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liamkendall/Dropbox/PhD/R/beebody/"/>
    </mc:Choice>
  </mc:AlternateContent>
  <bookViews>
    <workbookView xWindow="0" yWindow="460" windowWidth="28800" windowHeight="17540" activeTab="1"/>
  </bookViews>
  <sheets>
    <sheet name="Australia" sheetId="1" r:id="rId1"/>
    <sheet name="Germany" sheetId="3" r:id="rId2"/>
    <sheet name="UK" sheetId="5" r:id="rId3"/>
    <sheet name="CSIRO-australia" sheetId="4" r:id="rId4"/>
    <sheet name="Chile" sheetId="2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22" i="3" l="1"/>
  <c r="N318" i="3"/>
  <c r="N255" i="3"/>
  <c r="N324" i="3"/>
  <c r="N262" i="3"/>
  <c r="N320" i="3"/>
  <c r="N272" i="3"/>
  <c r="N278" i="3"/>
  <c r="N338" i="3"/>
  <c r="N347" i="3"/>
  <c r="N280" i="3"/>
  <c r="N334" i="3"/>
  <c r="N333" i="3"/>
  <c r="N329" i="3"/>
  <c r="N294" i="3"/>
  <c r="N291" i="3"/>
  <c r="N317" i="3"/>
  <c r="N287" i="3"/>
  <c r="N335" i="3"/>
  <c r="N345" i="3"/>
  <c r="N319" i="3"/>
  <c r="N299" i="3"/>
  <c r="N327" i="3"/>
  <c r="N342" i="3"/>
  <c r="N326" i="3"/>
  <c r="N339" i="3"/>
  <c r="N328" i="3"/>
  <c r="N316" i="3"/>
  <c r="N309" i="3"/>
  <c r="N298" i="3"/>
  <c r="N340" i="3"/>
  <c r="N256" i="3"/>
  <c r="N239" i="3"/>
  <c r="N295" i="3"/>
  <c r="N284" i="3"/>
  <c r="N285" i="3"/>
  <c r="N330" i="3"/>
  <c r="N321" i="3"/>
  <c r="N283" i="3"/>
  <c r="N310" i="3"/>
  <c r="N336" i="3"/>
  <c r="N249" i="3"/>
  <c r="N242" i="3"/>
  <c r="N337" i="3"/>
  <c r="N238" i="3"/>
  <c r="N259" i="3"/>
  <c r="N246" i="3"/>
  <c r="N257" i="3"/>
  <c r="N268" i="3"/>
  <c r="N275" i="3"/>
  <c r="N346" i="3"/>
  <c r="N288" i="3"/>
  <c r="N274" i="3"/>
  <c r="N271" i="3"/>
  <c r="N281" i="3"/>
  <c r="N276" i="3"/>
  <c r="N273" i="3"/>
  <c r="N314" i="3"/>
  <c r="N263" i="3"/>
  <c r="N344" i="3"/>
  <c r="N269" i="3"/>
  <c r="N300" i="3"/>
  <c r="N266" i="3"/>
  <c r="N343" i="3"/>
  <c r="N302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5" i="3"/>
  <c r="F206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436" i="3"/>
  <c r="G2" i="4"/>
  <c r="G3" i="4"/>
  <c r="G4" i="4"/>
  <c r="G5" i="4"/>
  <c r="G6" i="4"/>
  <c r="G7" i="4"/>
  <c r="G8" i="4"/>
  <c r="G9" i="4"/>
  <c r="G12" i="4"/>
  <c r="G13" i="4"/>
  <c r="G14" i="4"/>
  <c r="G15" i="4"/>
  <c r="G16" i="4"/>
  <c r="G17" i="4"/>
  <c r="G18" i="4"/>
  <c r="G19" i="4"/>
  <c r="G20" i="4"/>
  <c r="G21" i="4"/>
  <c r="G22" i="4"/>
  <c r="G23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J47" i="2"/>
  <c r="J46" i="2"/>
  <c r="J44" i="2"/>
  <c r="J43" i="2"/>
  <c r="J42" i="2"/>
  <c r="J41" i="2"/>
  <c r="J40" i="2"/>
  <c r="J39" i="2"/>
  <c r="J38" i="2"/>
  <c r="J37" i="2"/>
  <c r="J36" i="2"/>
  <c r="J34" i="2"/>
  <c r="J33" i="2"/>
  <c r="J32" i="2"/>
  <c r="J31" i="2"/>
  <c r="J29" i="2"/>
  <c r="J28" i="2"/>
  <c r="J26" i="2"/>
  <c r="J25" i="2"/>
  <c r="J24" i="2"/>
  <c r="J22" i="2"/>
  <c r="J21" i="2"/>
  <c r="J20" i="2"/>
  <c r="J19" i="2"/>
  <c r="J17" i="2"/>
  <c r="J16" i="2"/>
  <c r="J15" i="2"/>
  <c r="J14" i="2"/>
  <c r="J13" i="2"/>
  <c r="J11" i="2"/>
  <c r="J10" i="2"/>
  <c r="J9" i="2"/>
  <c r="J7" i="2"/>
  <c r="J6" i="2"/>
  <c r="J5" i="2"/>
  <c r="J4" i="2"/>
  <c r="J3" i="2"/>
  <c r="J2" i="2"/>
  <c r="Q255" i="1"/>
  <c r="Q254" i="1"/>
  <c r="Q252" i="1"/>
  <c r="Q251" i="1"/>
  <c r="Q249" i="1"/>
  <c r="Q248" i="1"/>
  <c r="Q247" i="1"/>
  <c r="Q245" i="1"/>
  <c r="Q243" i="1"/>
  <c r="Q240" i="1"/>
  <c r="Q237" i="1"/>
  <c r="Q234" i="1"/>
  <c r="Q232" i="1"/>
  <c r="Q230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3" i="1"/>
  <c r="Q210" i="1"/>
  <c r="Q198" i="1"/>
  <c r="Q197" i="1"/>
  <c r="Q196" i="1"/>
  <c r="Q195" i="1"/>
  <c r="Q194" i="1"/>
  <c r="Q193" i="1"/>
  <c r="Q192" i="1"/>
  <c r="Q191" i="1"/>
  <c r="Q190" i="1"/>
  <c r="Q189" i="1"/>
  <c r="Q187" i="1"/>
  <c r="Q186" i="1"/>
  <c r="Q185" i="1"/>
  <c r="Q184" i="1"/>
  <c r="Q183" i="1"/>
  <c r="Q182" i="1"/>
  <c r="Q181" i="1"/>
  <c r="Q180" i="1"/>
  <c r="Q179" i="1"/>
  <c r="Q178" i="1"/>
  <c r="P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2" i="1"/>
  <c r="Q159" i="1"/>
  <c r="Q158" i="1"/>
  <c r="Q157" i="1"/>
  <c r="Q156" i="1"/>
  <c r="Q140" i="1"/>
  <c r="Q138" i="1"/>
  <c r="Q133" i="1"/>
  <c r="Q132" i="1"/>
  <c r="Q131" i="1"/>
  <c r="Q130" i="1"/>
  <c r="Q129" i="1"/>
  <c r="Q126" i="1"/>
  <c r="Q125" i="1"/>
  <c r="Q124" i="1"/>
  <c r="Q123" i="1"/>
  <c r="Q121" i="1"/>
  <c r="Q117" i="1"/>
  <c r="Q115" i="1"/>
  <c r="Q113" i="1"/>
  <c r="Q112" i="1"/>
  <c r="Q110" i="1"/>
  <c r="Q109" i="1"/>
  <c r="Q108" i="1"/>
  <c r="Q107" i="1"/>
  <c r="Q106" i="1"/>
  <c r="Q105" i="1"/>
  <c r="Q104" i="1"/>
  <c r="Q103" i="1"/>
  <c r="Q101" i="1"/>
  <c r="Q99" i="1"/>
  <c r="Q97" i="1"/>
  <c r="Q96" i="1"/>
  <c r="Q95" i="1"/>
  <c r="Q94" i="1"/>
  <c r="Q92" i="1"/>
  <c r="Q91" i="1"/>
  <c r="Q89" i="1"/>
  <c r="Q88" i="1"/>
  <c r="Q87" i="1"/>
  <c r="Q86" i="1"/>
  <c r="Q85" i="1"/>
  <c r="Q84" i="1"/>
  <c r="Q83" i="1"/>
  <c r="Q82" i="1"/>
  <c r="Q80" i="1"/>
  <c r="Q79" i="1"/>
  <c r="Q76" i="1"/>
  <c r="Q75" i="1"/>
  <c r="Q74" i="1"/>
  <c r="Q73" i="1"/>
  <c r="Q72" i="1"/>
  <c r="Q69" i="1"/>
  <c r="Q67" i="1"/>
  <c r="Q66" i="1"/>
  <c r="Q64" i="1"/>
  <c r="Q60" i="1"/>
  <c r="Q59" i="1"/>
  <c r="Q58" i="1"/>
  <c r="Q57" i="1"/>
  <c r="Q50" i="1"/>
  <c r="Q49" i="1"/>
  <c r="Q48" i="1"/>
  <c r="Q47" i="1"/>
  <c r="Q45" i="1"/>
  <c r="Q43" i="1"/>
  <c r="Q42" i="1"/>
  <c r="Q41" i="1"/>
  <c r="Q40" i="1"/>
  <c r="Q39" i="1"/>
  <c r="Q38" i="1"/>
  <c r="Q37" i="1"/>
  <c r="Q35" i="1"/>
  <c r="Q34" i="1"/>
  <c r="Q31" i="1"/>
  <c r="Q30" i="1"/>
  <c r="Q29" i="1"/>
  <c r="Q28" i="1"/>
  <c r="Q27" i="1"/>
  <c r="Q23" i="1"/>
  <c r="Q22" i="1"/>
  <c r="Q20" i="1"/>
  <c r="Q18" i="1"/>
  <c r="Q16" i="1"/>
  <c r="Q15" i="1"/>
  <c r="Q14" i="1"/>
  <c r="Q13" i="1"/>
  <c r="Q12" i="1"/>
  <c r="Q11" i="1"/>
  <c r="Q10" i="1"/>
  <c r="Q9" i="1"/>
  <c r="Q8" i="1"/>
  <c r="Q7" i="1"/>
  <c r="Q5" i="1"/>
  <c r="Q4" i="1"/>
</calcChain>
</file>

<file path=xl/comments1.xml><?xml version="1.0" encoding="utf-8"?>
<comments xmlns="http://schemas.openxmlformats.org/spreadsheetml/2006/main">
  <authors>
    <author>Liam Kendall</author>
  </authors>
  <commentList>
    <comment ref="K94" authorId="0">
      <text>
        <r>
          <rPr>
            <b/>
            <sz val="9"/>
            <color indexed="81"/>
            <rFont val="Tahoma"/>
            <charset val="1"/>
          </rPr>
          <t>Liam Kendall:</t>
        </r>
        <r>
          <rPr>
            <sz val="9"/>
            <color indexed="81"/>
            <rFont val="Tahoma"/>
            <charset val="1"/>
          </rPr>
          <t xml:space="preserve">
DUP ID93 Hoverfly weight 0.0455, pin size 3</t>
        </r>
      </text>
    </comment>
  </commentList>
</comments>
</file>

<file path=xl/sharedStrings.xml><?xml version="1.0" encoding="utf-8"?>
<sst xmlns="http://schemas.openxmlformats.org/spreadsheetml/2006/main" count="8161" uniqueCount="2263">
  <si>
    <t>Tag</t>
  </si>
  <si>
    <t>Location</t>
  </si>
  <si>
    <t>Date</t>
  </si>
  <si>
    <t>Plant</t>
  </si>
  <si>
    <t>Vane/Net</t>
  </si>
  <si>
    <t>Species</t>
  </si>
  <si>
    <t>Taxon</t>
  </si>
  <si>
    <t>Weight</t>
  </si>
  <si>
    <t>Pin/Vial</t>
  </si>
  <si>
    <t>ID</t>
  </si>
  <si>
    <t>IT</t>
  </si>
  <si>
    <t>BL</t>
  </si>
  <si>
    <t>ALLO-AUS-01</t>
  </si>
  <si>
    <t>Roadside weeds</t>
  </si>
  <si>
    <t>Bee</t>
  </si>
  <si>
    <t>B</t>
  </si>
  <si>
    <t>ALLO-AUS-02</t>
  </si>
  <si>
    <t>Grays Road</t>
  </si>
  <si>
    <t>bee</t>
  </si>
  <si>
    <t>ALLO-AUS-03</t>
  </si>
  <si>
    <t>ALLO-AUS-04</t>
  </si>
  <si>
    <t>ALLO-AUS-05</t>
  </si>
  <si>
    <t>ALLO-AUS-06</t>
  </si>
  <si>
    <t>S1S</t>
  </si>
  <si>
    <t>hoverfly</t>
  </si>
  <si>
    <t>H</t>
  </si>
  <si>
    <t>ALLO-AUS-07</t>
  </si>
  <si>
    <t>ALLO-AUS-08</t>
  </si>
  <si>
    <t>fly</t>
  </si>
  <si>
    <t>ALLO-AUS-09</t>
  </si>
  <si>
    <t>ALLO-AUS-10</t>
  </si>
  <si>
    <t>Camellia</t>
  </si>
  <si>
    <t>Hoverfly</t>
  </si>
  <si>
    <t>ALLO-AUS-11</t>
  </si>
  <si>
    <t>ALLO-AUS-12</t>
  </si>
  <si>
    <t>ALLO-AUS-13</t>
  </si>
  <si>
    <t>ALLO-AUS-14</t>
  </si>
  <si>
    <t>ALLO-AUS-15</t>
  </si>
  <si>
    <t>ALLO-AUS-16</t>
  </si>
  <si>
    <t>Roadside S4?</t>
  </si>
  <si>
    <t>V</t>
  </si>
  <si>
    <t>ALLO-AUS-17</t>
  </si>
  <si>
    <t>Basil</t>
  </si>
  <si>
    <t>ALLO-AUS-18</t>
  </si>
  <si>
    <t>NA</t>
  </si>
  <si>
    <t>ALLO-AUS-19</t>
  </si>
  <si>
    <t xml:space="preserve">S1S </t>
  </si>
  <si>
    <t>Orange flower</t>
  </si>
  <si>
    <t>ALLO-AUS-20</t>
  </si>
  <si>
    <t>ALLO-AUS-21</t>
  </si>
  <si>
    <t>ALLO-AUS-22</t>
  </si>
  <si>
    <t>ALLO-AUS-23</t>
  </si>
  <si>
    <t>Roadside Tunnels</t>
  </si>
  <si>
    <t>ALLO-AUS-24</t>
  </si>
  <si>
    <t>ALLO-AUS-25</t>
  </si>
  <si>
    <t>Roadside Weeds</t>
  </si>
  <si>
    <t>ALLO-AUS-26</t>
  </si>
  <si>
    <t>ALLO-AUS-27</t>
  </si>
  <si>
    <t>ALLO-AUS-28</t>
  </si>
  <si>
    <t>S1s</t>
  </si>
  <si>
    <t>ALLO-AUS-29</t>
  </si>
  <si>
    <t>ALLO-AUS-30</t>
  </si>
  <si>
    <t>ALLO-AUS-31</t>
  </si>
  <si>
    <t>ALLO-AUS-32</t>
  </si>
  <si>
    <t>ALLO-AUS-33</t>
  </si>
  <si>
    <t>ALLO-AUS-34</t>
  </si>
  <si>
    <t>ALLO-AUS-35</t>
  </si>
  <si>
    <t>ALLO-AUS-36</t>
  </si>
  <si>
    <t>ALLO-AUS-37</t>
  </si>
  <si>
    <t>ALLO-AUS-38</t>
  </si>
  <si>
    <t>ALLO-AUS-39</t>
  </si>
  <si>
    <t>Roadside - S4</t>
  </si>
  <si>
    <t>ALLO-AUS-40</t>
  </si>
  <si>
    <t>Roadside - Ditch</t>
  </si>
  <si>
    <t>ALLO-AUS-41</t>
  </si>
  <si>
    <t>ALLO-AUS-42</t>
  </si>
  <si>
    <t>Featherstones</t>
  </si>
  <si>
    <t>ALLO-AUS-43</t>
  </si>
  <si>
    <t>ALLO-AUS-44</t>
  </si>
  <si>
    <t>ALLO-AUS-45</t>
  </si>
  <si>
    <t>Bean Plant</t>
  </si>
  <si>
    <t>ALLO-AUS-46</t>
  </si>
  <si>
    <t>Melaleuca - Caravan Pak</t>
  </si>
  <si>
    <t>Blue-banded Bee</t>
  </si>
  <si>
    <t>ALLO-AUS-47</t>
  </si>
  <si>
    <t>Weeds</t>
  </si>
  <si>
    <t>ALLO-AUS-48</t>
  </si>
  <si>
    <t>Bean Vine - Hardip</t>
  </si>
  <si>
    <t>ALLO-AUS-49</t>
  </si>
  <si>
    <t>Orange flowres</t>
  </si>
  <si>
    <t>ALLO-AUS-50</t>
  </si>
  <si>
    <t>Orange flowers</t>
  </si>
  <si>
    <t>ALLO-AUS-51</t>
  </si>
  <si>
    <t>bee?</t>
  </si>
  <si>
    <t>ALLO-AUS-52</t>
  </si>
  <si>
    <t>ALLO-AUS-53</t>
  </si>
  <si>
    <t>ALLO-AUS-54</t>
  </si>
  <si>
    <t>ALLO-AUS-55</t>
  </si>
  <si>
    <t>Bombilidae</t>
  </si>
  <si>
    <t>ALLO-AUS-56</t>
  </si>
  <si>
    <t>ALLO-AUS-57</t>
  </si>
  <si>
    <t>ALLO-AUS-58</t>
  </si>
  <si>
    <t>ALLO-AUS-59</t>
  </si>
  <si>
    <t>ALLO-AUS-60</t>
  </si>
  <si>
    <t>ALLO-AUS-61</t>
  </si>
  <si>
    <t>ALLO-AUS-62</t>
  </si>
  <si>
    <t>ALLO-AUS-63</t>
  </si>
  <si>
    <t>ALLO-AUS-64</t>
  </si>
  <si>
    <t>Wasp</t>
  </si>
  <si>
    <t>ALLO-AUS-65</t>
  </si>
  <si>
    <t>ALLO-AUS-66</t>
  </si>
  <si>
    <t>ALLO-AUS-67</t>
  </si>
  <si>
    <t>Orange</t>
  </si>
  <si>
    <t>ALLO-AUS-68</t>
  </si>
  <si>
    <t>ALLO-AUS-69</t>
  </si>
  <si>
    <t>ALLO-AUS-70</t>
  </si>
  <si>
    <t>Pan traps</t>
  </si>
  <si>
    <t>ALLO-AUS-71</t>
  </si>
  <si>
    <t>ALLO-AUS-72</t>
  </si>
  <si>
    <t>ALLO-AUS-73</t>
  </si>
  <si>
    <t>ALLO-AUS-74</t>
  </si>
  <si>
    <t>ALLO-AUS-75</t>
  </si>
  <si>
    <t>ALLO-AUS-76</t>
  </si>
  <si>
    <t>ALLO-AUS-77</t>
  </si>
  <si>
    <t>ALLO-AUS-78</t>
  </si>
  <si>
    <t>ALLO-AUS-79</t>
  </si>
  <si>
    <t>ALLO-AUS-80</t>
  </si>
  <si>
    <t>ALLO-AUS-81</t>
  </si>
  <si>
    <t>ALLO-AUS-82</t>
  </si>
  <si>
    <t>ALLO-AUS-83</t>
  </si>
  <si>
    <t>ALLO-AUS-84</t>
  </si>
  <si>
    <t>ALLO-AUS-85</t>
  </si>
  <si>
    <t>ALLO-AUS-86</t>
  </si>
  <si>
    <t>ALLO-AUS-87</t>
  </si>
  <si>
    <t>Kelly Potts</t>
  </si>
  <si>
    <t>ALLO-AUS-88</t>
  </si>
  <si>
    <t>Parminder</t>
  </si>
  <si>
    <t>Lakeside</t>
  </si>
  <si>
    <t>ALLO-AUS-89</t>
  </si>
  <si>
    <t>N-Yell_Gully</t>
  </si>
  <si>
    <t>ALLO-AUS-90</t>
  </si>
  <si>
    <t>N-Yell_second Ridge</t>
  </si>
  <si>
    <t>ALLO-AUS-91</t>
  </si>
  <si>
    <t>ALLO-AUS-92</t>
  </si>
  <si>
    <t>ALLO-AUS-93</t>
  </si>
  <si>
    <t>Hardip</t>
  </si>
  <si>
    <t>Lbean Vine</t>
  </si>
  <si>
    <t>ALLO-AUS-93-2</t>
  </si>
  <si>
    <t>ALLO-AUS-94</t>
  </si>
  <si>
    <t>ALLO-AUS-95</t>
  </si>
  <si>
    <t>N-Yell-Gully</t>
  </si>
  <si>
    <t>ALLO-AUS-96</t>
  </si>
  <si>
    <t>Farmers Friend</t>
  </si>
  <si>
    <t>ALLO-AUS-97</t>
  </si>
  <si>
    <t>Weed/Carrot</t>
  </si>
  <si>
    <t>ALLO-AUS-98</t>
  </si>
  <si>
    <t>Farmers Friend/bean Vine</t>
  </si>
  <si>
    <t>ALLO-AUS-99</t>
  </si>
  <si>
    <t>N-Yell</t>
  </si>
  <si>
    <t>ALLO-AUS-100</t>
  </si>
  <si>
    <t>ALLO-AUS-101</t>
  </si>
  <si>
    <t>Lake</t>
  </si>
  <si>
    <t>ALLO-AUS-102</t>
  </si>
  <si>
    <t>ALLO-AUS-103</t>
  </si>
  <si>
    <t>ALLO-AUS-104</t>
  </si>
  <si>
    <t>ALLO-AUS-105</t>
  </si>
  <si>
    <t>ALLO-AUS-106</t>
  </si>
  <si>
    <t>Vine</t>
  </si>
  <si>
    <t>ALLO-AUS-107</t>
  </si>
  <si>
    <t>ALLO-AUS-108</t>
  </si>
  <si>
    <t>ALLO-AUS-109</t>
  </si>
  <si>
    <t>ALLO-AUS-110</t>
  </si>
  <si>
    <t>ALLO-AUS-111</t>
  </si>
  <si>
    <t>ALLO-AUS-112</t>
  </si>
  <si>
    <t>ALLO-AUS-113</t>
  </si>
  <si>
    <t>Sherwood</t>
  </si>
  <si>
    <t>ALLO-AUS-114</t>
  </si>
  <si>
    <t>ALLO-AUS-115</t>
  </si>
  <si>
    <t>ALLO-AUS-116</t>
  </si>
  <si>
    <t>Kangaroo</t>
  </si>
  <si>
    <t>Dandelion</t>
  </si>
  <si>
    <t>ALLO-AUS-117</t>
  </si>
  <si>
    <t>ALLO-AUS-118</t>
  </si>
  <si>
    <t>ALLO-AUS-119</t>
  </si>
  <si>
    <t>Vane</t>
  </si>
  <si>
    <t>ALLO-AUS-120</t>
  </si>
  <si>
    <t>ALLO-AUS-121</t>
  </si>
  <si>
    <t>ALLO-AUS-122</t>
  </si>
  <si>
    <t>ALLO-AUS-123</t>
  </si>
  <si>
    <t>Yellow inflorescene</t>
  </si>
  <si>
    <t>ALLO-AUS-124</t>
  </si>
  <si>
    <t>ALLO-AUS-125</t>
  </si>
  <si>
    <t>ALLO-AUS-126</t>
  </si>
  <si>
    <t>ALLO-AUS-127</t>
  </si>
  <si>
    <t>ALLO-AUS-128</t>
  </si>
  <si>
    <t>ALLO-AUS-129</t>
  </si>
  <si>
    <t>ALLO-AUS-130</t>
  </si>
  <si>
    <t>ALLO-AUS-131</t>
  </si>
  <si>
    <t>ALLO-AUS-132</t>
  </si>
  <si>
    <t>ALLO-AUS-133</t>
  </si>
  <si>
    <t>ALLO-AUS-134</t>
  </si>
  <si>
    <t>Purple - Westringia?</t>
  </si>
  <si>
    <t>ALLO-AUS-135</t>
  </si>
  <si>
    <t>ALLO-AUS-136</t>
  </si>
  <si>
    <t>ALLO-AUS-137</t>
  </si>
  <si>
    <t>ALLO-AUS-138</t>
  </si>
  <si>
    <t>ALLO-AUS-139</t>
  </si>
  <si>
    <t>Ponds</t>
  </si>
  <si>
    <t>ALLO-AUS-140</t>
  </si>
  <si>
    <t>Bee &amp; Wasp</t>
  </si>
  <si>
    <t>Net</t>
  </si>
  <si>
    <t>ALLO-AUS-141</t>
  </si>
  <si>
    <t>Bee x 2</t>
  </si>
  <si>
    <t>ALLO-AUS-142</t>
  </si>
  <si>
    <t>ALLO-AUS-143</t>
  </si>
  <si>
    <t>ALLO-AUS-144</t>
  </si>
  <si>
    <t>ALLO-AUS-145</t>
  </si>
  <si>
    <t>ALLO-AUS-146</t>
  </si>
  <si>
    <t>ALLO-AUS-147</t>
  </si>
  <si>
    <t>ALLO-AUS-148</t>
  </si>
  <si>
    <t>ALLO-AUS-149</t>
  </si>
  <si>
    <t>vane</t>
  </si>
  <si>
    <t>ALLO-AUS-150</t>
  </si>
  <si>
    <t>ALLO-AUS-151</t>
  </si>
  <si>
    <t>ALLO-AUS-152</t>
  </si>
  <si>
    <t>ALLO-AUS-153</t>
  </si>
  <si>
    <t>ALLO-AUS-154</t>
  </si>
  <si>
    <t>ALLO-AUS-155</t>
  </si>
  <si>
    <t>roadside weeds</t>
  </si>
  <si>
    <t>ALLO-AUS-156</t>
  </si>
  <si>
    <t>ALLO-AUS-157</t>
  </si>
  <si>
    <t>ALLO-AUS-158</t>
  </si>
  <si>
    <t>ALLO-AUS-159</t>
  </si>
  <si>
    <t>ALLO-AUS-160</t>
  </si>
  <si>
    <t>net</t>
  </si>
  <si>
    <t>ALLO-AUS-161</t>
  </si>
  <si>
    <t>ALLO-AUS-162</t>
  </si>
  <si>
    <t>ALLO-AUS-163</t>
  </si>
  <si>
    <t>ALLO-AUS-164</t>
  </si>
  <si>
    <t>ALLO-AUS-165</t>
  </si>
  <si>
    <t>ALLO-AUS-166</t>
  </si>
  <si>
    <t>Camelia</t>
  </si>
  <si>
    <t>ALLO-AUS-167</t>
  </si>
  <si>
    <t>ALLO-AUS-168</t>
  </si>
  <si>
    <t>ALLO-AUS-169</t>
  </si>
  <si>
    <t>ALLO-AUS-170</t>
  </si>
  <si>
    <t>ALLO-AUS-171</t>
  </si>
  <si>
    <t>ALLO-AUS-172</t>
  </si>
  <si>
    <t>ALLO-AUS-173</t>
  </si>
  <si>
    <t>ALLO-AUS-174</t>
  </si>
  <si>
    <t>ALLO-AUS-175</t>
  </si>
  <si>
    <t>ALLO-AUS-176</t>
  </si>
  <si>
    <t>ALLO-AUS-177</t>
  </si>
  <si>
    <t>ALLO-AUS-178</t>
  </si>
  <si>
    <t>COMPOUND-YELLOW</t>
  </si>
  <si>
    <t>ALLO-AUS-179</t>
  </si>
  <si>
    <t>Sweeping</t>
  </si>
  <si>
    <t>ALLO-AUS-180</t>
  </si>
  <si>
    <t>ALLO-AUS-181</t>
  </si>
  <si>
    <t>ALLO-AUS-182</t>
  </si>
  <si>
    <t>ALLO-AUS-183</t>
  </si>
  <si>
    <t>ALLO-AUS-184</t>
  </si>
  <si>
    <t>ALLO-AUS-185</t>
  </si>
  <si>
    <t>ALLO-AUS-186</t>
  </si>
  <si>
    <t>ALLO-AUS-187</t>
  </si>
  <si>
    <t>ALLO-AUS-188</t>
  </si>
  <si>
    <t>ALLO-AUS-189</t>
  </si>
  <si>
    <t>ALLO-AUS-190</t>
  </si>
  <si>
    <t>ALLO-AUS-191</t>
  </si>
  <si>
    <t>ALLO-AUS-192</t>
  </si>
  <si>
    <t>ALLO-AUS-193</t>
  </si>
  <si>
    <t>ALLO-AUS-194</t>
  </si>
  <si>
    <t>ALLO-AUS-195</t>
  </si>
  <si>
    <t>ALLO-AUS-196</t>
  </si>
  <si>
    <t>ALLO-AUS-197</t>
  </si>
  <si>
    <t>ALLO-AUS-198</t>
  </si>
  <si>
    <t>ALLO-AUS-199</t>
  </si>
  <si>
    <t>UNE</t>
  </si>
  <si>
    <t>Bottlebrush</t>
  </si>
  <si>
    <t>ALLO-AUS-200</t>
  </si>
  <si>
    <t>ALLO-AUS-201</t>
  </si>
  <si>
    <t>ALLO-AUS-202</t>
  </si>
  <si>
    <t>ALLO-AUS-203</t>
  </si>
  <si>
    <t>ALLO-AUS-204</t>
  </si>
  <si>
    <t>ALLO-AUS-205</t>
  </si>
  <si>
    <t>Rosemary</t>
  </si>
  <si>
    <t>ALLO-AUS-206</t>
  </si>
  <si>
    <t>ALLO-AUS-207</t>
  </si>
  <si>
    <t>ALLO-AUS-208</t>
  </si>
  <si>
    <t>ALLO-AUS-209</t>
  </si>
  <si>
    <t>ALLO-AUS-210</t>
  </si>
  <si>
    <t>Brisbane - CSIRO</t>
  </si>
  <si>
    <t>ALLO-AUS-211</t>
  </si>
  <si>
    <t>ALLO-AUS-212</t>
  </si>
  <si>
    <t>ALLO-AUS-213</t>
  </si>
  <si>
    <t>ALLO-AUS-214</t>
  </si>
  <si>
    <t>ALLO-AUS-215</t>
  </si>
  <si>
    <t>ALLO-AUS-216</t>
  </si>
  <si>
    <t>ALLO-AUS-217</t>
  </si>
  <si>
    <t>ALLO-AUS-218</t>
  </si>
  <si>
    <t>Bundaberg</t>
  </si>
  <si>
    <t>ALLO-AUS-219</t>
  </si>
  <si>
    <t>Woolgoolga</t>
  </si>
  <si>
    <t>ALLO-AUS-220</t>
  </si>
  <si>
    <t>ALLO-AUS-221</t>
  </si>
  <si>
    <t>ALLO-AUS-222</t>
  </si>
  <si>
    <t>ALLO-AUS-223</t>
  </si>
  <si>
    <t>ALLO-AUS-224</t>
  </si>
  <si>
    <t>ALLO-AUS-225</t>
  </si>
  <si>
    <t>ALLO-AUS-226</t>
  </si>
  <si>
    <t>ALLO-AUS-227</t>
  </si>
  <si>
    <t>ALLO-AUS-228</t>
  </si>
  <si>
    <t>ALLO-AUS-229</t>
  </si>
  <si>
    <t>ALLO-AUS-230</t>
  </si>
  <si>
    <t>ALLO-AUS-231</t>
  </si>
  <si>
    <t>ALLO-AUS-232</t>
  </si>
  <si>
    <t>ALLO-AUS-233</t>
  </si>
  <si>
    <t>ALLO-AUS-234</t>
  </si>
  <si>
    <t>ALLO-AUS-235</t>
  </si>
  <si>
    <t>ALLO-AUS-236</t>
  </si>
  <si>
    <t>ALLO-AUS-237</t>
  </si>
  <si>
    <t>ALLO-AUS-238</t>
  </si>
  <si>
    <t>ALLO-AUS-239</t>
  </si>
  <si>
    <t>ALLO-AUS-240</t>
  </si>
  <si>
    <t>J.Lumbers</t>
  </si>
  <si>
    <t>ALLO-AUS-241</t>
  </si>
  <si>
    <t>ALLO-AUS-242</t>
  </si>
  <si>
    <t>ALLO-AUS-243</t>
  </si>
  <si>
    <t>Bee_Fly</t>
  </si>
  <si>
    <t>Label</t>
  </si>
  <si>
    <t>Origin</t>
  </si>
  <si>
    <t>Weight+pin</t>
  </si>
  <si>
    <t>Pin_Type</t>
  </si>
  <si>
    <t>Spec.number</t>
  </si>
  <si>
    <t>CH-AL-1</t>
  </si>
  <si>
    <t>Chile</t>
  </si>
  <si>
    <t>CH_AL</t>
  </si>
  <si>
    <t>CH-AL-2</t>
  </si>
  <si>
    <t>CH-AL-3</t>
  </si>
  <si>
    <t>CH-AL-4</t>
  </si>
  <si>
    <t>CH-AL-5</t>
  </si>
  <si>
    <t>CH-AL-6</t>
  </si>
  <si>
    <t>CH-AL-7</t>
  </si>
  <si>
    <t>CH-AL-8</t>
  </si>
  <si>
    <t>CH-AL-9</t>
  </si>
  <si>
    <t>CH-AL-10</t>
  </si>
  <si>
    <t>CH-AL-11</t>
  </si>
  <si>
    <t>CH-AL-12</t>
  </si>
  <si>
    <t>CH-AL-13</t>
  </si>
  <si>
    <t>CH-AL-14</t>
  </si>
  <si>
    <t>CH-AL-15</t>
  </si>
  <si>
    <t>CH-AL-16</t>
  </si>
  <si>
    <t>CH-AL-17</t>
  </si>
  <si>
    <t>CH-AL-18</t>
  </si>
  <si>
    <t>CH-AL-19</t>
  </si>
  <si>
    <t>CH-AL-20</t>
  </si>
  <si>
    <t>CH-AL-21</t>
  </si>
  <si>
    <t>CH-AL-22</t>
  </si>
  <si>
    <t>CH-AL-23</t>
  </si>
  <si>
    <t>CH-AL-24</t>
  </si>
  <si>
    <t>CH-AL-25</t>
  </si>
  <si>
    <t>CH-AL-26</t>
  </si>
  <si>
    <t>CH-AL-27</t>
  </si>
  <si>
    <t>CH-AL-28</t>
  </si>
  <si>
    <t>CH-AL-29</t>
  </si>
  <si>
    <t>CH-AL-30</t>
  </si>
  <si>
    <t>CH-AL-31</t>
  </si>
  <si>
    <t>CH-AL-32</t>
  </si>
  <si>
    <t>CH-AL-33</t>
  </si>
  <si>
    <t>CH-AL-34</t>
  </si>
  <si>
    <t>CH-AL-35</t>
  </si>
  <si>
    <t>CH-AL-36</t>
  </si>
  <si>
    <t>CH-AL-37</t>
  </si>
  <si>
    <t>CH-AL-38</t>
  </si>
  <si>
    <t>CH-AL-39</t>
  </si>
  <si>
    <t>CH-AL-40</t>
  </si>
  <si>
    <t>CH-AL-41</t>
  </si>
  <si>
    <t>CH-AL-42</t>
  </si>
  <si>
    <t>CH-AL-43</t>
  </si>
  <si>
    <t>CH-AL-44</t>
  </si>
  <si>
    <t>CH-AL-45</t>
  </si>
  <si>
    <t>CH-AL-46</t>
  </si>
  <si>
    <t>CH-AL-47</t>
  </si>
  <si>
    <t>CH-AL-48</t>
  </si>
  <si>
    <t>CH-AL-49</t>
  </si>
  <si>
    <t>CH-AL-50</t>
  </si>
  <si>
    <t>Longitude</t>
  </si>
  <si>
    <t>Latitude</t>
  </si>
  <si>
    <t>Family</t>
  </si>
  <si>
    <t>Tribe</t>
  </si>
  <si>
    <t>Genus</t>
  </si>
  <si>
    <t>Pres.time</t>
  </si>
  <si>
    <t>Weight-Pin</t>
  </si>
  <si>
    <t>ALLO-AUS-244</t>
  </si>
  <si>
    <t>ALLO-AUS-245</t>
  </si>
  <si>
    <t>ALLO-AUS-246</t>
  </si>
  <si>
    <t>ALLO-AUS-247</t>
  </si>
  <si>
    <t>ALLO-AUS-248</t>
  </si>
  <si>
    <t>ALLO-AUS-249</t>
  </si>
  <si>
    <t>ALLO-AUS-250</t>
  </si>
  <si>
    <t>ALLO-AUS-251</t>
  </si>
  <si>
    <t>ALLO-AUS-252</t>
  </si>
  <si>
    <t>ALLO-AUS-253</t>
  </si>
  <si>
    <t>ALLO-AUS-254</t>
  </si>
  <si>
    <t>ALLO-AUS-255</t>
  </si>
  <si>
    <t>ALLO-AUS-256</t>
  </si>
  <si>
    <t>ALLO-AUS-257</t>
  </si>
  <si>
    <t>ALLO-AUS-258</t>
  </si>
  <si>
    <t>ALLO-AUS-259</t>
  </si>
  <si>
    <t>ALLO-AUS-260</t>
  </si>
  <si>
    <t>ALLO-AUS-261</t>
  </si>
  <si>
    <t>ALLO-AUS-262</t>
  </si>
  <si>
    <t>ALLO-AUS-263</t>
  </si>
  <si>
    <t>ALLO-AUS-264</t>
  </si>
  <si>
    <t>ALLO-AUS-265</t>
  </si>
  <si>
    <t>ALLO-AUS-266</t>
  </si>
  <si>
    <t>ALLO-AUS-267</t>
  </si>
  <si>
    <t>ALLO-AUS-268</t>
  </si>
  <si>
    <t>ALLO-AUS-269</t>
  </si>
  <si>
    <t>ALLO-AUS-270</t>
  </si>
  <si>
    <t>ALLO-AUS-271</t>
  </si>
  <si>
    <t>ALLO-AUS-272</t>
  </si>
  <si>
    <t>ALLO-AUS-273</t>
  </si>
  <si>
    <t>ALLO-AUS-274</t>
  </si>
  <si>
    <t>ALLO-AUS-275</t>
  </si>
  <si>
    <t>ALLO-AUS-276</t>
  </si>
  <si>
    <t>ALLO-AUS-277</t>
  </si>
  <si>
    <t>ALLO-AUS-278</t>
  </si>
  <si>
    <t>ALLO-AUS-279</t>
  </si>
  <si>
    <t>ALLO-AUS-280</t>
  </si>
  <si>
    <t>ALLO-AUS-281</t>
  </si>
  <si>
    <t>ALLO-AUS-282</t>
  </si>
  <si>
    <t>ALLO-AUS-283</t>
  </si>
  <si>
    <t>ALLO-AUS-284</t>
  </si>
  <si>
    <t>ALLO-AUS-285</t>
  </si>
  <si>
    <t>ALLO-AUS-286</t>
  </si>
  <si>
    <t>ALLO-AUS-287</t>
  </si>
  <si>
    <t>ALLO-AUS-288</t>
  </si>
  <si>
    <t>ALLO-AUS-289</t>
  </si>
  <si>
    <t>ALLO-AUS-290</t>
  </si>
  <si>
    <t>ALLO-AUS-291</t>
  </si>
  <si>
    <t>ALLO-AUS-292</t>
  </si>
  <si>
    <t>ALLO-AUS-293</t>
  </si>
  <si>
    <t>ALLO-AUS-294</t>
  </si>
  <si>
    <t>ALLO-AUS-295</t>
  </si>
  <si>
    <t>ALLO-AUS-296</t>
  </si>
  <si>
    <t>ALLO-AUS-297</t>
  </si>
  <si>
    <t>ALLO-AUS-298</t>
  </si>
  <si>
    <t>ALLO-AUS-299</t>
  </si>
  <si>
    <t>ALLO-AUS-300</t>
  </si>
  <si>
    <t>Costa Coffs</t>
  </si>
  <si>
    <t>CSIRO specimens SA/NT</t>
  </si>
  <si>
    <t>ID#</t>
  </si>
  <si>
    <t>Col.Date</t>
  </si>
  <si>
    <t>Pres.Date</t>
  </si>
  <si>
    <t>Pres.Time</t>
  </si>
  <si>
    <t>State</t>
  </si>
  <si>
    <t>Locality</t>
  </si>
  <si>
    <t>Method</t>
  </si>
  <si>
    <t>ALLO-CSI-1</t>
  </si>
  <si>
    <t>ID1</t>
  </si>
  <si>
    <t>SA</t>
  </si>
  <si>
    <t>Witjira NP, Pumi Bore</t>
  </si>
  <si>
    <t>Malaise</t>
  </si>
  <si>
    <t>ALLO-CSI-2</t>
  </si>
  <si>
    <t>ID16</t>
  </si>
  <si>
    <t>ID4</t>
  </si>
  <si>
    <t>ALLO-CSI-3</t>
  </si>
  <si>
    <t>ALLO-CSI-4</t>
  </si>
  <si>
    <t>ID13</t>
  </si>
  <si>
    <t>Witjira NP, 3O'Clock Creek</t>
  </si>
  <si>
    <t>ALLO-CSI-5</t>
  </si>
  <si>
    <t>ALLO-CSI-6</t>
  </si>
  <si>
    <t>ALLO-CSI-7</t>
  </si>
  <si>
    <t>ALLO-CSI-8</t>
  </si>
  <si>
    <t>MAYBE ID2</t>
  </si>
  <si>
    <t>ALLO-CSI-9</t>
  </si>
  <si>
    <t>ALLO-CSI-10</t>
  </si>
  <si>
    <t>ALLO-CSI-11</t>
  </si>
  <si>
    <t>ALLO-CSI-12</t>
  </si>
  <si>
    <t>ALLO-CSI-13</t>
  </si>
  <si>
    <t>ALLO-CSI-14</t>
  </si>
  <si>
    <t>ALLO-CSI-15</t>
  </si>
  <si>
    <t>ALLO-CSI-16</t>
  </si>
  <si>
    <t>ALLO-CSI-17</t>
  </si>
  <si>
    <t>ALLO-CSI-18</t>
  </si>
  <si>
    <t>ALLO-CSI-19</t>
  </si>
  <si>
    <t>ALLO-CSI-20</t>
  </si>
  <si>
    <t>ALLO-CSI-21</t>
  </si>
  <si>
    <t>ALLO-CSI-22</t>
  </si>
  <si>
    <t>ALLO-CSI-23</t>
  </si>
  <si>
    <t>ALLO-CSI-24</t>
  </si>
  <si>
    <t>ALLO-CSI-25</t>
  </si>
  <si>
    <t>ALLO-CSI-26</t>
  </si>
  <si>
    <t>ALLO-CSI-27</t>
  </si>
  <si>
    <t>ALLO-CSI-28</t>
  </si>
  <si>
    <t>ALLO-CSI-29</t>
  </si>
  <si>
    <t>ALLO-CSI-30</t>
  </si>
  <si>
    <t>ALLO-CSI-31</t>
  </si>
  <si>
    <t>ALLO-CSI-32</t>
  </si>
  <si>
    <t>ALLO-CSI-33</t>
  </si>
  <si>
    <t>ALLO-CSI-34</t>
  </si>
  <si>
    <t>ID15</t>
  </si>
  <si>
    <t>Mount Dare Rd, Creek</t>
  </si>
  <si>
    <t>ALLO-CSI-35</t>
  </si>
  <si>
    <t>ID2</t>
  </si>
  <si>
    <t>NT</t>
  </si>
  <si>
    <t>Dune W Binns Track</t>
  </si>
  <si>
    <t>ALLO-CSI-36</t>
  </si>
  <si>
    <t>ID3</t>
  </si>
  <si>
    <t>Witjira NP, Mound spring</t>
  </si>
  <si>
    <t>ALLO-CSI-37</t>
  </si>
  <si>
    <t>ALLO-CSI-38</t>
  </si>
  <si>
    <t>ALLO-CSI-39</t>
  </si>
  <si>
    <t>ALLO-CSI-40</t>
  </si>
  <si>
    <t>ALLO-CSI-41</t>
  </si>
  <si>
    <t>ALLO-CSI-42</t>
  </si>
  <si>
    <t>ALLO-CSI-43</t>
  </si>
  <si>
    <t>ALLO-CSI-44</t>
  </si>
  <si>
    <t>ALLO-CSI-45</t>
  </si>
  <si>
    <t>ALLO-CSI-46</t>
  </si>
  <si>
    <t>ALLO-CSI-47</t>
  </si>
  <si>
    <t>ALLO-CSI-48</t>
  </si>
  <si>
    <t>ALLO-CSI-49</t>
  </si>
  <si>
    <t>ALLO-CSI-50</t>
  </si>
  <si>
    <t>ALLO-CSI-51</t>
  </si>
  <si>
    <t>ALLO-CSI-52</t>
  </si>
  <si>
    <t>ALLO-CSI-53</t>
  </si>
  <si>
    <t>ALLO-CSI-54</t>
  </si>
  <si>
    <t>ALLO-CSI-55</t>
  </si>
  <si>
    <t>ALLO-CSI-56</t>
  </si>
  <si>
    <t>ALLO-CSI-57</t>
  </si>
  <si>
    <t>ALLO-CSI-58</t>
  </si>
  <si>
    <t>ALLO-CSI-59</t>
  </si>
  <si>
    <t>ALLO-CSI-60</t>
  </si>
  <si>
    <t>ALLO-CSI-61</t>
  </si>
  <si>
    <t>ALLO-CSI-62</t>
  </si>
  <si>
    <t>ALLO-CSI-63</t>
  </si>
  <si>
    <t>ALLO-CSI-64</t>
  </si>
  <si>
    <t>ALLO-CSI-65</t>
  </si>
  <si>
    <t>ALLO-CSI-66</t>
  </si>
  <si>
    <t>ALLO-CSI-67</t>
  </si>
  <si>
    <t>ALLO-CSI-68</t>
  </si>
  <si>
    <t>ALLO-CSI-69</t>
  </si>
  <si>
    <t>ALLO-CSI-70</t>
  </si>
  <si>
    <t>ALLO-CSI-71</t>
  </si>
  <si>
    <t>ALLO-CSI-72</t>
  </si>
  <si>
    <t>ALLO-CSI-73</t>
  </si>
  <si>
    <t>ALLO-CSI-74</t>
  </si>
  <si>
    <t>ALLO-CSI-75</t>
  </si>
  <si>
    <t>ALLO-CSI-76</t>
  </si>
  <si>
    <t>ALLO-CSI-77</t>
  </si>
  <si>
    <t>ALLO-CSI-78</t>
  </si>
  <si>
    <t>ALLO-CSI-79</t>
  </si>
  <si>
    <t>ALLO-CSI-80</t>
  </si>
  <si>
    <t>ID5</t>
  </si>
  <si>
    <t>ALLO-CSI-81</t>
  </si>
  <si>
    <t>ALLO-CSI-82</t>
  </si>
  <si>
    <t>ALLO-CSI-83</t>
  </si>
  <si>
    <t>ALLO-CSI-84</t>
  </si>
  <si>
    <t>ALLO-CSI-85</t>
  </si>
  <si>
    <t>ALLO-CSI-86</t>
  </si>
  <si>
    <t>ALLO-CSI-87</t>
  </si>
  <si>
    <t>ALLO-CSI-88</t>
  </si>
  <si>
    <t>ALLO-CSI-89</t>
  </si>
  <si>
    <t>ALLO-CSI-90</t>
  </si>
  <si>
    <t>ALLO-CSI-91</t>
  </si>
  <si>
    <t>ALLO-CSI-92</t>
  </si>
  <si>
    <t>ALLO-CSI-93</t>
  </si>
  <si>
    <t>ALLO-CSI-94</t>
  </si>
  <si>
    <t>ALLO-CSI-95</t>
  </si>
  <si>
    <t>ALLO-CSI-96</t>
  </si>
  <si>
    <t>ALLO-CSI-97</t>
  </si>
  <si>
    <t>ALLO-CSI-98</t>
  </si>
  <si>
    <t>ALLO-CSI-99</t>
  </si>
  <si>
    <t>ALLO-CSI-100</t>
  </si>
  <si>
    <t>ALLO-CSI-101</t>
  </si>
  <si>
    <t>ALLO-CSI-102</t>
  </si>
  <si>
    <t>ALLO-CSI-103</t>
  </si>
  <si>
    <t>ALLO-CSI-104</t>
  </si>
  <si>
    <t>ALLO-CSI-105</t>
  </si>
  <si>
    <t>ALLO-CSI-106</t>
  </si>
  <si>
    <t>ALLO-CSI-107</t>
  </si>
  <si>
    <t>ALLO-CSI-108</t>
  </si>
  <si>
    <t>ALLO-CSI-109</t>
  </si>
  <si>
    <t>ALLO-CSI-110</t>
  </si>
  <si>
    <t>ALLO-CSI-111</t>
  </si>
  <si>
    <t>ALLO-CSI-112</t>
  </si>
  <si>
    <t>ALLO-CSI-113</t>
  </si>
  <si>
    <t>ALLO-CSI-114</t>
  </si>
  <si>
    <t>ALLO-CSI-115</t>
  </si>
  <si>
    <t>ALLO-CSI-116</t>
  </si>
  <si>
    <t>ALLO-CSI-117</t>
  </si>
  <si>
    <t>ALLO-CSI-118</t>
  </si>
  <si>
    <t>ALLO-CSI-119</t>
  </si>
  <si>
    <t>ALLO-CSI-120</t>
  </si>
  <si>
    <t>ALLO-CSI-121</t>
  </si>
  <si>
    <t>ALLO-CSI-122</t>
  </si>
  <si>
    <t>ALLO-CSI-123</t>
  </si>
  <si>
    <t>ALLO-CSI-124</t>
  </si>
  <si>
    <t>ALLO-CSI-125</t>
  </si>
  <si>
    <t>ALLO-CSI-126</t>
  </si>
  <si>
    <t>ALLO-CSI-127</t>
  </si>
  <si>
    <t>ALLO-CSI-128</t>
  </si>
  <si>
    <t>ALLO-CSI-129</t>
  </si>
  <si>
    <t>ALLO-CSI-130</t>
  </si>
  <si>
    <t>ALLO-CSI-131</t>
  </si>
  <si>
    <t>ID6</t>
  </si>
  <si>
    <t>Witjira NP, Binns Track</t>
  </si>
  <si>
    <t>ALLO-CSI-132</t>
  </si>
  <si>
    <t>ID7</t>
  </si>
  <si>
    <t>Witjira NP, Melaleuca</t>
  </si>
  <si>
    <t>ALLO-CSI-133</t>
  </si>
  <si>
    <t>ID8</t>
  </si>
  <si>
    <t>ALLO-CSI-134</t>
  </si>
  <si>
    <t>ALLO-CSI-135</t>
  </si>
  <si>
    <t>ALLO-CSI-136</t>
  </si>
  <si>
    <t>ID9</t>
  </si>
  <si>
    <t>ALLO-CSI-137</t>
  </si>
  <si>
    <t>ALLO-CSI-138</t>
  </si>
  <si>
    <t>ALLO-CSI-139</t>
  </si>
  <si>
    <t>ALLO-CSI-140</t>
  </si>
  <si>
    <t>ALLO-CSI-141</t>
  </si>
  <si>
    <t>ALLO-CSI-142</t>
  </si>
  <si>
    <t>ALLO-CSI-143</t>
  </si>
  <si>
    <t>ALLO-CSI-144</t>
  </si>
  <si>
    <t>ALLO-CSI-145</t>
  </si>
  <si>
    <t>ALLO-CSI-146</t>
  </si>
  <si>
    <t>ALLO-CSI-147</t>
  </si>
  <si>
    <t>ALLO-CSI-148</t>
  </si>
  <si>
    <t>ALLO-CSI-149</t>
  </si>
  <si>
    <t>ALLO-CSI-150</t>
  </si>
  <si>
    <t>ALLO-CSI-151</t>
  </si>
  <si>
    <t>ALLO-CSI-152</t>
  </si>
  <si>
    <t>ALLO-CSI-153</t>
  </si>
  <si>
    <t>ALLO-CSI-154</t>
  </si>
  <si>
    <t>ID10</t>
  </si>
  <si>
    <t>Witjira NP, Creek</t>
  </si>
  <si>
    <t>ALLO-CSI-155</t>
  </si>
  <si>
    <t>ALLO-CSI-156</t>
  </si>
  <si>
    <t>ALLO-CSI-157</t>
  </si>
  <si>
    <t>ALLO-CSI-158</t>
  </si>
  <si>
    <t>ALLO-CSI-159</t>
  </si>
  <si>
    <t>ALLO-CSI-160</t>
  </si>
  <si>
    <t>ALLO-CSI-161</t>
  </si>
  <si>
    <t>ALLO-CSI-162</t>
  </si>
  <si>
    <t>ALLO-CSI-163</t>
  </si>
  <si>
    <t>ALLO-CSI-164</t>
  </si>
  <si>
    <t>ALLO-CSI-165</t>
  </si>
  <si>
    <t>ALLO-CSI-166</t>
  </si>
  <si>
    <t>ALLO-CSI-167</t>
  </si>
  <si>
    <t>ALLO-CSI-168</t>
  </si>
  <si>
    <t>ALLO-CSI-169</t>
  </si>
  <si>
    <t>ALLO-CSI-170</t>
  </si>
  <si>
    <t>ALLO-CSI-171</t>
  </si>
  <si>
    <t>ALLO-CSI-172</t>
  </si>
  <si>
    <t>ALLO-CSI-173</t>
  </si>
  <si>
    <t>ALLO-CSI-174</t>
  </si>
  <si>
    <t>ALLO-CSI-175</t>
  </si>
  <si>
    <t>ALLO-CSI-176</t>
  </si>
  <si>
    <t>ALLO-CSI-177</t>
  </si>
  <si>
    <t>ALLO-CSI-178</t>
  </si>
  <si>
    <t>ALLO-CSI-179</t>
  </si>
  <si>
    <t>ALLO-CSI-180</t>
  </si>
  <si>
    <t>ALLO-CSI-181</t>
  </si>
  <si>
    <t>ALLO-CSI-182</t>
  </si>
  <si>
    <t>ALLO-CSI-183</t>
  </si>
  <si>
    <t>ALLO-CSI-184</t>
  </si>
  <si>
    <t>ALLO-CSI-185</t>
  </si>
  <si>
    <t>ALLO-CSI-186</t>
  </si>
  <si>
    <t>ALLO-CSI-187</t>
  </si>
  <si>
    <t>ALLO-CSI-188</t>
  </si>
  <si>
    <t>ALLO-CSI-189</t>
  </si>
  <si>
    <t>ALLO-CSI-190</t>
  </si>
  <si>
    <t>ALLO-CSI-191</t>
  </si>
  <si>
    <t>ALLO-CSI-192</t>
  </si>
  <si>
    <t>ALLO-CSI-193</t>
  </si>
  <si>
    <t>ALLO-CSI-194</t>
  </si>
  <si>
    <t>ALLO-CSI-195</t>
  </si>
  <si>
    <t>ALLO-CSI-196</t>
  </si>
  <si>
    <t>ALLO-CSI-197</t>
  </si>
  <si>
    <t>ALLO-CSI-198</t>
  </si>
  <si>
    <t>ALLO-CSI-199</t>
  </si>
  <si>
    <t>ALLO-CSI-200</t>
  </si>
  <si>
    <t>ALLO-CSI-201</t>
  </si>
  <si>
    <t>ALLO-CSI-202</t>
  </si>
  <si>
    <t>ALLO-CSI-203</t>
  </si>
  <si>
    <t>ALLO-CSI-204</t>
  </si>
  <si>
    <t>ALLO-CSI-205</t>
  </si>
  <si>
    <t>ALLO-CSI-206</t>
  </si>
  <si>
    <t>ALLO-CSI-207</t>
  </si>
  <si>
    <t>ALLO-CSI-208</t>
  </si>
  <si>
    <t>ALLO-CSI-209</t>
  </si>
  <si>
    <t>ALLO-CSI-210</t>
  </si>
  <si>
    <t>ALLO-CSI-211</t>
  </si>
  <si>
    <t>ALLO-CSI-212</t>
  </si>
  <si>
    <t>ALLO-CSI-213</t>
  </si>
  <si>
    <t>ALLO-CSI-214</t>
  </si>
  <si>
    <t>ALLO-CSI-215</t>
  </si>
  <si>
    <t>ALLO-CSI-216</t>
  </si>
  <si>
    <t>ALLO-CSI-217</t>
  </si>
  <si>
    <t>ALLO-CSI-218</t>
  </si>
  <si>
    <t>ALLO-CSI-219</t>
  </si>
  <si>
    <t>ALLO-CSI-220</t>
  </si>
  <si>
    <t>ALLO-CSI-221</t>
  </si>
  <si>
    <t>ALLO-CSI-222</t>
  </si>
  <si>
    <t>ALLO-CSI-223</t>
  </si>
  <si>
    <t>ALLO-CSI-224</t>
  </si>
  <si>
    <t>ALLO-CSI-225</t>
  </si>
  <si>
    <t>ALLO-CSI-226</t>
  </si>
  <si>
    <t>ALLO-CSI-227</t>
  </si>
  <si>
    <t>ALLO-CSI-228</t>
  </si>
  <si>
    <t>ALLO-CSI-229</t>
  </si>
  <si>
    <t>ALLO-CSI-230</t>
  </si>
  <si>
    <t>ALLO-CSI-231</t>
  </si>
  <si>
    <t>ALLO-CSI-232</t>
  </si>
  <si>
    <t>ALLO-CSI-233</t>
  </si>
  <si>
    <t>ALLO-CSI-234</t>
  </si>
  <si>
    <t>ALLO-CSI-235</t>
  </si>
  <si>
    <t>ALLO-CSI-236</t>
  </si>
  <si>
    <t>ALLO-CSI-237</t>
  </si>
  <si>
    <t>ALLO-CSI-238</t>
  </si>
  <si>
    <t>ALLO-CSI-239</t>
  </si>
  <si>
    <t>ALLO-CSI-240</t>
  </si>
  <si>
    <t>ALLO-CSI-241</t>
  </si>
  <si>
    <t>ALLO-CSI-242</t>
  </si>
  <si>
    <t>ALLO-CSI-243</t>
  </si>
  <si>
    <t>ALLO-CSI-244</t>
  </si>
  <si>
    <t>ALLO-CSI-245</t>
  </si>
  <si>
    <t>ALLO-CSI-246</t>
  </si>
  <si>
    <t>ALLO-CSI-247</t>
  </si>
  <si>
    <t>ALLO-CSI-248</t>
  </si>
  <si>
    <t>ALLO-CSI-249</t>
  </si>
  <si>
    <t>ALLO-CSI-250</t>
  </si>
  <si>
    <t>ALLO-CSI-251</t>
  </si>
  <si>
    <t>ALLO-CSI-252</t>
  </si>
  <si>
    <t>ALLO-CSI-253</t>
  </si>
  <si>
    <t>ALLO-CSI-254</t>
  </si>
  <si>
    <t>ALLO-CSI-255</t>
  </si>
  <si>
    <t>ALLO-CSI-256</t>
  </si>
  <si>
    <t>ALLO-CSI-257</t>
  </si>
  <si>
    <t>ALLO-CSI-258</t>
  </si>
  <si>
    <t>ALLO-CSI-259</t>
  </si>
  <si>
    <t>ALLO-CSI-260</t>
  </si>
  <si>
    <t>ALLO-CSI-261</t>
  </si>
  <si>
    <t>ALLO-CSI-262</t>
  </si>
  <si>
    <t>ALLO-CSI-263</t>
  </si>
  <si>
    <t>ALLO-CSI-264</t>
  </si>
  <si>
    <t>ALLO-CSI-265</t>
  </si>
  <si>
    <t>ALLO-CSI-266</t>
  </si>
  <si>
    <t>ALLO-CSI-267</t>
  </si>
  <si>
    <t>ALLO-CSI-268</t>
  </si>
  <si>
    <t>ALLO-CSI-269</t>
  </si>
  <si>
    <t>ALLO-CSI-270</t>
  </si>
  <si>
    <t>ALLO-CSI-271</t>
  </si>
  <si>
    <t>ALLO-CSI-272</t>
  </si>
  <si>
    <t>ALLO-CSI-273</t>
  </si>
  <si>
    <t>ALLO-CSI-274</t>
  </si>
  <si>
    <t>ALLO-CSI-275</t>
  </si>
  <si>
    <t>ALLO-CSI-276</t>
  </si>
  <si>
    <t>ALLO-CSI-277</t>
  </si>
  <si>
    <t>ALLO-CSI-278</t>
  </si>
  <si>
    <t>ALLO-CSI-279</t>
  </si>
  <si>
    <t>ALLO-CSI-280</t>
  </si>
  <si>
    <t>ALLO-CSI-281</t>
  </si>
  <si>
    <t>ALLO-CSI-282</t>
  </si>
  <si>
    <t>ALLO-CSI-283</t>
  </si>
  <si>
    <t>ALLO-CSI-284</t>
  </si>
  <si>
    <t>ALLO-CSI-285</t>
  </si>
  <si>
    <t>ALLO-CSI-286</t>
  </si>
  <si>
    <t>ALLO-CSI-287</t>
  </si>
  <si>
    <t>ALLO-CSI-288</t>
  </si>
  <si>
    <t>ALLO-CSI-289</t>
  </si>
  <si>
    <t>ALLO-CSI-290</t>
  </si>
  <si>
    <t>ALLO-CSI-291</t>
  </si>
  <si>
    <t>ALLO-CSI-292</t>
  </si>
  <si>
    <t>ALLO-CSI-293</t>
  </si>
  <si>
    <t>ALLO-CSI-294</t>
  </si>
  <si>
    <t>ALLO-CSI-295</t>
  </si>
  <si>
    <t>ALLO-CSI-296</t>
  </si>
  <si>
    <t>ALLO-CSI-297</t>
  </si>
  <si>
    <t>ALLO-CSI-298</t>
  </si>
  <si>
    <t>ALLO-CSI-299</t>
  </si>
  <si>
    <t>ALLO-CSI-300</t>
  </si>
  <si>
    <t>ALLO-CSI-301</t>
  </si>
  <si>
    <t>ALLO-CSI-302</t>
  </si>
  <si>
    <t>ALLO-CSI-303</t>
  </si>
  <si>
    <t>ALLO-CSI-304</t>
  </si>
  <si>
    <t>ALLO-CSI-305</t>
  </si>
  <si>
    <t>ALLO-CSI-306</t>
  </si>
  <si>
    <t>ALLO-CSI-307</t>
  </si>
  <si>
    <t>ALLO-CSI-308</t>
  </si>
  <si>
    <t>ALLO-CSI-309</t>
  </si>
  <si>
    <t>ALLO-CSI-310</t>
  </si>
  <si>
    <t>ALLO-CSI-311</t>
  </si>
  <si>
    <t>ALLO-CSI-312</t>
  </si>
  <si>
    <t>ALLO-CSI-313</t>
  </si>
  <si>
    <t>ALLO-CSI-314</t>
  </si>
  <si>
    <t>ALLO-CSI-315</t>
  </si>
  <si>
    <t>ALLO-CSI-316</t>
  </si>
  <si>
    <t>ALLO-CSI-317</t>
  </si>
  <si>
    <t>ALLO-CSI-318</t>
  </si>
  <si>
    <t>ALLO-CSI-319</t>
  </si>
  <si>
    <t>ALLO-CSI-320</t>
  </si>
  <si>
    <t>ALLO-CSI-321</t>
  </si>
  <si>
    <t>ALLO-CSI-322</t>
  </si>
  <si>
    <t>ALLO-CSI-323</t>
  </si>
  <si>
    <t>ALLO-CSI-324</t>
  </si>
  <si>
    <t>ALLO-CSI-325</t>
  </si>
  <si>
    <t>ALLO-CSI-326</t>
  </si>
  <si>
    <t>ALLO-CSI-327</t>
  </si>
  <si>
    <t>ALLO-CSI-328</t>
  </si>
  <si>
    <t>ALLO-CSI-329</t>
  </si>
  <si>
    <t>ALLO-CSI-330</t>
  </si>
  <si>
    <t>ALLO-CSI-331</t>
  </si>
  <si>
    <t>ALLO-CSI-332</t>
  </si>
  <si>
    <t>ALLO-CSI-333</t>
  </si>
  <si>
    <t>ALLO-CSI-334</t>
  </si>
  <si>
    <t>ALLO-CSI-335</t>
  </si>
  <si>
    <t>ALLO-CSI-336</t>
  </si>
  <si>
    <t>ALLO-CSI-337</t>
  </si>
  <si>
    <t>ALLO-CSI-338</t>
  </si>
  <si>
    <t>ALLO-CSI-339</t>
  </si>
  <si>
    <t>ALLO-CSI-340</t>
  </si>
  <si>
    <t>ALLO-CSI-341</t>
  </si>
  <si>
    <t>ALLO-CSI-342</t>
  </si>
  <si>
    <t>ALLO-CSI-343</t>
  </si>
  <si>
    <t>ALLO-CSI-344</t>
  </si>
  <si>
    <t>ALLO-CSI-345</t>
  </si>
  <si>
    <t>ALLO-CSI-346</t>
  </si>
  <si>
    <t>ALLO-CSI-347</t>
  </si>
  <si>
    <t>ALLO-CSI-348</t>
  </si>
  <si>
    <t>ALLO-CSI-349</t>
  </si>
  <si>
    <t>ALLO-CSI-350</t>
  </si>
  <si>
    <t>ALLO-CSI-351</t>
  </si>
  <si>
    <t>ALLO-CSI-352</t>
  </si>
  <si>
    <t>ALLO-CSI-353</t>
  </si>
  <si>
    <t>ALLO-CSI-354</t>
  </si>
  <si>
    <t>ALLO-CSI-355</t>
  </si>
  <si>
    <t>ALLO-CSI-356</t>
  </si>
  <si>
    <t>ALLO-CSI-357</t>
  </si>
  <si>
    <t>ALLO-CSI-358</t>
  </si>
  <si>
    <t>ALLO-CSI-359</t>
  </si>
  <si>
    <t>ALLO-CSI-360</t>
  </si>
  <si>
    <t>ALLO-CSI-361</t>
  </si>
  <si>
    <t>ALLO-CSI-362</t>
  </si>
  <si>
    <t>ALLO-CSI-363</t>
  </si>
  <si>
    <t>ALLO-CSI-364</t>
  </si>
  <si>
    <t>ALLO-CSI-365</t>
  </si>
  <si>
    <t>ALLO-CSI-366</t>
  </si>
  <si>
    <t>ALLO-CSI-367</t>
  </si>
  <si>
    <t>ALLO-CSI-368</t>
  </si>
  <si>
    <t>ALLO-CSI-369</t>
  </si>
  <si>
    <t>ALLO-CSI-370</t>
  </si>
  <si>
    <t>ALLO-CSI-371</t>
  </si>
  <si>
    <t>ALLO-CSI-372</t>
  </si>
  <si>
    <t>ALLO-CSI-373</t>
  </si>
  <si>
    <t>ALLO-CSI-374</t>
  </si>
  <si>
    <t>ALLO-CSI-375</t>
  </si>
  <si>
    <t>ALLO-CSI-376</t>
  </si>
  <si>
    <t>ALLO-CSI-377</t>
  </si>
  <si>
    <t>ALLO-CSI-378</t>
  </si>
  <si>
    <t>ALLO-CSI-379</t>
  </si>
  <si>
    <t>ALLO-CSI-380</t>
  </si>
  <si>
    <t>ALLO-CSI-381</t>
  </si>
  <si>
    <t>ALLO-CSI-382</t>
  </si>
  <si>
    <t>ALLO-CSI-383</t>
  </si>
  <si>
    <t>ALLO-CSI-384</t>
  </si>
  <si>
    <t>ALLO-CSI-385</t>
  </si>
  <si>
    <t>ALLO-CSI-386</t>
  </si>
  <si>
    <t>ALLO-CSI-387</t>
  </si>
  <si>
    <t>ALLO-CSI-388</t>
  </si>
  <si>
    <t>ALLO-CSI-389</t>
  </si>
  <si>
    <t>ALLO-CSI-390</t>
  </si>
  <si>
    <t>ALLO-CSI-391</t>
  </si>
  <si>
    <t>ALLO-CSI-392</t>
  </si>
  <si>
    <t>ALLO-CSI-393</t>
  </si>
  <si>
    <t>ALLO-CSI-394</t>
  </si>
  <si>
    <t>ALLO-CSI-395</t>
  </si>
  <si>
    <t>ALLO-CSI-396</t>
  </si>
  <si>
    <t>ALLO-CSI-397</t>
  </si>
  <si>
    <t>ALLO-CSI-398</t>
  </si>
  <si>
    <t>ALLO-CSI-399</t>
  </si>
  <si>
    <t>ALLO-CSI-400</t>
  </si>
  <si>
    <t>ALLO-CSI-401</t>
  </si>
  <si>
    <t>ALLO-CSI-402</t>
  </si>
  <si>
    <t>ALLO-CSI-403</t>
  </si>
  <si>
    <t>ALLO-CSI-404</t>
  </si>
  <si>
    <t>ALLO-CSI-405</t>
  </si>
  <si>
    <t>ALLO-CSI-406</t>
  </si>
  <si>
    <t>ALLO-CSI-407</t>
  </si>
  <si>
    <t>ALLO-CSI-408</t>
  </si>
  <si>
    <t>ALLO-CSI-409</t>
  </si>
  <si>
    <t>ID11</t>
  </si>
  <si>
    <t>Dune NW off Finke Road</t>
  </si>
  <si>
    <t>Hand</t>
  </si>
  <si>
    <t>ALLO-CSI-410</t>
  </si>
  <si>
    <t>ALLO-CSI-411</t>
  </si>
  <si>
    <t>ALLO-CSI-412</t>
  </si>
  <si>
    <t>ALLO-CSI-413</t>
  </si>
  <si>
    <t>ALLO-CSI-414</t>
  </si>
  <si>
    <t>ALLO-CSI-415</t>
  </si>
  <si>
    <t>ALLO-CSI-416</t>
  </si>
  <si>
    <t>ALLO-CSI-417</t>
  </si>
  <si>
    <t>ALLO-CSI-418</t>
  </si>
  <si>
    <t>ALLO-CSI-419</t>
  </si>
  <si>
    <t>ALLO-CSI-420</t>
  </si>
  <si>
    <t>ALLO-CSI-421</t>
  </si>
  <si>
    <t>ALLO-CSI-422</t>
  </si>
  <si>
    <t>ALLO-CSI-423</t>
  </si>
  <si>
    <t>ALLO-CSI-424</t>
  </si>
  <si>
    <t>ALLO-CSI-425</t>
  </si>
  <si>
    <t>ALLO-CSI-426</t>
  </si>
  <si>
    <t>ALLO-CSI-427</t>
  </si>
  <si>
    <t>ALLO-CSI-428</t>
  </si>
  <si>
    <t>ALLO-CSI-429</t>
  </si>
  <si>
    <t>ALLO-CSI-430</t>
  </si>
  <si>
    <t>ALLO-CSI-431</t>
  </si>
  <si>
    <t>ALLO-CSI-432</t>
  </si>
  <si>
    <t>ALLO-CSI-433</t>
  </si>
  <si>
    <t>ALLO-CSI-434</t>
  </si>
  <si>
    <t>ALLO-CSI-435</t>
  </si>
  <si>
    <t>ALLO-CSI-436</t>
  </si>
  <si>
    <t>ALLO-CSI-437</t>
  </si>
  <si>
    <t>ALLO-CSI-438</t>
  </si>
  <si>
    <t>ALLO-CSI-439</t>
  </si>
  <si>
    <t>ALLO-CSI-440</t>
  </si>
  <si>
    <t>ALLO-CSI-441</t>
  </si>
  <si>
    <t>ALLO-CSI-442</t>
  </si>
  <si>
    <t>ALLO-CSI-443</t>
  </si>
  <si>
    <t>ALLO-CSI-444</t>
  </si>
  <si>
    <t>ALLO-CSI-445</t>
  </si>
  <si>
    <t>ID12</t>
  </si>
  <si>
    <t>ALLO-CSI-446</t>
  </si>
  <si>
    <t>ALLO-CSI-447</t>
  </si>
  <si>
    <t>ALLO-CSI-448</t>
  </si>
  <si>
    <t>ALLO-CSI-449</t>
  </si>
  <si>
    <t>ALLO-CSI-450</t>
  </si>
  <si>
    <t>ALLO-CSI-451</t>
  </si>
  <si>
    <t>ALLO-CSI-452</t>
  </si>
  <si>
    <t>ALLO-CSI-453</t>
  </si>
  <si>
    <t>ALLO-CSI-454</t>
  </si>
  <si>
    <t>ALLO-CSI-455</t>
  </si>
  <si>
    <t>ALLO-CSI-456</t>
  </si>
  <si>
    <t>ALLO-CSI-457</t>
  </si>
  <si>
    <t>ALLO-CSI-458</t>
  </si>
  <si>
    <t>ALLO-CSI-459</t>
  </si>
  <si>
    <t>ALLO-CSI-460</t>
  </si>
  <si>
    <t>ALLO-CSI-461</t>
  </si>
  <si>
    <t>ANDRENA</t>
  </si>
  <si>
    <t>NOT.PRES</t>
  </si>
  <si>
    <t>PINNED</t>
  </si>
  <si>
    <t>ALLO-GER-437</t>
  </si>
  <si>
    <t>ALCOHOL</t>
  </si>
  <si>
    <t>VIAL</t>
  </si>
  <si>
    <t>ALLO-GER-436</t>
  </si>
  <si>
    <t>Halictus</t>
  </si>
  <si>
    <t>ALLO-GER-435</t>
  </si>
  <si>
    <t>ALLO-GER-434</t>
  </si>
  <si>
    <t>ALLO-GER-433</t>
  </si>
  <si>
    <t>ALLO-GER-432</t>
  </si>
  <si>
    <t>ALLO-GER-431</t>
  </si>
  <si>
    <t>ALLO-GER-430</t>
  </si>
  <si>
    <t>ALLO-GER-429</t>
  </si>
  <si>
    <t>ALLO-GER-428</t>
  </si>
  <si>
    <t>ALLO-GER-427</t>
  </si>
  <si>
    <t>ALLO-GER-426</t>
  </si>
  <si>
    <t>ALLO-GER-425</t>
  </si>
  <si>
    <t>ALLO-GER-424</t>
  </si>
  <si>
    <t>ALLO-GER-423</t>
  </si>
  <si>
    <t>ALLO-GER-422</t>
  </si>
  <si>
    <t>Bombus</t>
  </si>
  <si>
    <t>ALLO-GER-421</t>
  </si>
  <si>
    <t>ALLO-GER-420</t>
  </si>
  <si>
    <t>ALLO-GER-419</t>
  </si>
  <si>
    <t>ALLO-GER-418</t>
  </si>
  <si>
    <t>ALLO-GER-417</t>
  </si>
  <si>
    <t>ALLO-GER-416</t>
  </si>
  <si>
    <t>ALLO-GER-415</t>
  </si>
  <si>
    <t>ALLO-GER-414</t>
  </si>
  <si>
    <t>ALLO-GER-413</t>
  </si>
  <si>
    <t>F</t>
  </si>
  <si>
    <t>BOMBUS</t>
  </si>
  <si>
    <t>GER-412</t>
  </si>
  <si>
    <t>ALLO-GER-412</t>
  </si>
  <si>
    <t>0.0996</t>
  </si>
  <si>
    <t>GER-411</t>
  </si>
  <si>
    <t>ALLO-GER-411</t>
  </si>
  <si>
    <t>ALLO-GER-410</t>
  </si>
  <si>
    <t>0.0634</t>
  </si>
  <si>
    <t>GER-409</t>
  </si>
  <si>
    <t>ALLO-GER-409</t>
  </si>
  <si>
    <t>ALLO-GER-408</t>
  </si>
  <si>
    <t>0.1011</t>
  </si>
  <si>
    <t>GER-407</t>
  </si>
  <si>
    <t>ALLO-GER-407</t>
  </si>
  <si>
    <t>ALLO-GER-406</t>
  </si>
  <si>
    <t>ALLO-GER-405</t>
  </si>
  <si>
    <t>ALLO-GER-404</t>
  </si>
  <si>
    <t>0.0955</t>
  </si>
  <si>
    <t>GER-403</t>
  </si>
  <si>
    <t>ALLO-GER-403</t>
  </si>
  <si>
    <t>ALLO-GER-402</t>
  </si>
  <si>
    <t>ALLO-GER-401</t>
  </si>
  <si>
    <t>ALLO-GER-400</t>
  </si>
  <si>
    <t>0.0939</t>
  </si>
  <si>
    <t>GER-399</t>
  </si>
  <si>
    <t>ALLO-GER-399</t>
  </si>
  <si>
    <t>ALLO-GER-398</t>
  </si>
  <si>
    <t>ALLO-GER-397</t>
  </si>
  <si>
    <t>0.0825</t>
  </si>
  <si>
    <t>GER-396</t>
  </si>
  <si>
    <t>ALLO-GER-396</t>
  </si>
  <si>
    <t>0.1046</t>
  </si>
  <si>
    <t>GER-395</t>
  </si>
  <si>
    <t>ALLO-GER-395</t>
  </si>
  <si>
    <t>0.0874</t>
  </si>
  <si>
    <t>GER-394</t>
  </si>
  <si>
    <t>ALLO-GER-394</t>
  </si>
  <si>
    <t>ALLO-GER-393</t>
  </si>
  <si>
    <t>0.1113</t>
  </si>
  <si>
    <t>GER-392</t>
  </si>
  <si>
    <t>ALLO-GER-392</t>
  </si>
  <si>
    <t>0.0736</t>
  </si>
  <si>
    <t>GER-391</t>
  </si>
  <si>
    <t>ALLO-GER-391</t>
  </si>
  <si>
    <t>ALLO-GER-390</t>
  </si>
  <si>
    <t>0.0961</t>
  </si>
  <si>
    <t>GER-389</t>
  </si>
  <si>
    <t>ALLO-GER-389</t>
  </si>
  <si>
    <t>ALLO-GER-388</t>
  </si>
  <si>
    <t>0.0772</t>
  </si>
  <si>
    <t>GER-387</t>
  </si>
  <si>
    <t>ALLO-GER-387</t>
  </si>
  <si>
    <t>0.0957</t>
  </si>
  <si>
    <t>GER-386</t>
  </si>
  <si>
    <t>ALLO-GER-386</t>
  </si>
  <si>
    <t>0.1658</t>
  </si>
  <si>
    <t>GER-385</t>
  </si>
  <si>
    <t>ALLO-GER-385</t>
  </si>
  <si>
    <t>M</t>
  </si>
  <si>
    <t>0.1240</t>
  </si>
  <si>
    <t>GER-384</t>
  </si>
  <si>
    <t>ALLO-GER-384</t>
  </si>
  <si>
    <t>ALLO-GER-383</t>
  </si>
  <si>
    <t>ALLO-GER-382</t>
  </si>
  <si>
    <t>0.0830</t>
  </si>
  <si>
    <t>GER-381</t>
  </si>
  <si>
    <t>ALLO-GER-381</t>
  </si>
  <si>
    <t>ALLO-GER-380</t>
  </si>
  <si>
    <t>ALLO-GER-379</t>
  </si>
  <si>
    <t>0.1442</t>
  </si>
  <si>
    <t>GER-378</t>
  </si>
  <si>
    <t>ALLO-GER-378</t>
  </si>
  <si>
    <t>ALLO-GER-377</t>
  </si>
  <si>
    <t>ALLO-GER-376</t>
  </si>
  <si>
    <t>ALLO-GER-375</t>
  </si>
  <si>
    <t>0.0696</t>
  </si>
  <si>
    <t>GER-374</t>
  </si>
  <si>
    <t>ALLO-GER-374</t>
  </si>
  <si>
    <t>ALLO-GER-373</t>
  </si>
  <si>
    <t>ALLO-GER-372</t>
  </si>
  <si>
    <t>ALLO-GER-371</t>
  </si>
  <si>
    <t>0.0815</t>
  </si>
  <si>
    <t>GER-370</t>
  </si>
  <si>
    <t>ALLO-GER-370</t>
  </si>
  <si>
    <t>ALLO-GER-369</t>
  </si>
  <si>
    <t>0.0841</t>
  </si>
  <si>
    <t>GER-368</t>
  </si>
  <si>
    <t>ALLO-GER-368</t>
  </si>
  <si>
    <t>0.0620</t>
  </si>
  <si>
    <t>GER-367</t>
  </si>
  <si>
    <t>ALLO-GER-367</t>
  </si>
  <si>
    <t>ALLO-GER-366</t>
  </si>
  <si>
    <t>abdomen lost</t>
  </si>
  <si>
    <t>0.0631</t>
  </si>
  <si>
    <t>GER-365</t>
  </si>
  <si>
    <t>ALLO-GER-365</t>
  </si>
  <si>
    <t>GER-364</t>
  </si>
  <si>
    <t>ALLO-GER-364</t>
  </si>
  <si>
    <t>GER-363</t>
  </si>
  <si>
    <t>ALLO-GER-363</t>
  </si>
  <si>
    <t>GER-362</t>
  </si>
  <si>
    <t>ALLO-GER-362</t>
  </si>
  <si>
    <t>GER-361</t>
  </si>
  <si>
    <t>ALLO-GER-361</t>
  </si>
  <si>
    <t>GER-360</t>
  </si>
  <si>
    <t>ALLO-GER-360</t>
  </si>
  <si>
    <t>GER-359</t>
  </si>
  <si>
    <t>ALLO-GER-359</t>
  </si>
  <si>
    <t>GER-358</t>
  </si>
  <si>
    <t>ALLO-GER-358</t>
  </si>
  <si>
    <t>GER-357</t>
  </si>
  <si>
    <t>ALLO-GER-357</t>
  </si>
  <si>
    <t>GER-356</t>
  </si>
  <si>
    <t>ALLO-GER-356</t>
  </si>
  <si>
    <t>GER-355</t>
  </si>
  <si>
    <t>ALLO-GER-355</t>
  </si>
  <si>
    <t>GER-354</t>
  </si>
  <si>
    <t>ALLO-GER-354</t>
  </si>
  <si>
    <t>GER-353</t>
  </si>
  <si>
    <t>ALLO-GER-353</t>
  </si>
  <si>
    <t>GER-352</t>
  </si>
  <si>
    <t>ALLO-GER-352</t>
  </si>
  <si>
    <t>GER-351</t>
  </si>
  <si>
    <t>ALLO-GER-351</t>
  </si>
  <si>
    <t>0.0898</t>
  </si>
  <si>
    <t>GER-350</t>
  </si>
  <si>
    <t>ALLO-GER-350</t>
  </si>
  <si>
    <t>GER-349</t>
  </si>
  <si>
    <t>ALLO-GER-349</t>
  </si>
  <si>
    <t>GER-348</t>
  </si>
  <si>
    <t>ALLO-GER-348</t>
  </si>
  <si>
    <t>GER-347</t>
  </si>
  <si>
    <t>ALLO-GER-347</t>
  </si>
  <si>
    <t>0.0635</t>
  </si>
  <si>
    <t>GER-346</t>
  </si>
  <si>
    <t>ALLO-GER-346</t>
  </si>
  <si>
    <t>GER-345</t>
  </si>
  <si>
    <t>ALLO-GER-345</t>
  </si>
  <si>
    <t>GER-344</t>
  </si>
  <si>
    <t>ALLO-GER-344</t>
  </si>
  <si>
    <t>GER-343</t>
  </si>
  <si>
    <t>ALLO-GER-343</t>
  </si>
  <si>
    <t>GER-342</t>
  </si>
  <si>
    <t>ALLO-GER-342</t>
  </si>
  <si>
    <t>GER-341</t>
  </si>
  <si>
    <t>ALLO-GER-341</t>
  </si>
  <si>
    <t>GER-340</t>
  </si>
  <si>
    <t>ALLO-GER-340</t>
  </si>
  <si>
    <t>GER-339</t>
  </si>
  <si>
    <t>ALLO-GER-339</t>
  </si>
  <si>
    <t>GER-338</t>
  </si>
  <si>
    <t>ALLO-GER-338</t>
  </si>
  <si>
    <t>GER-337</t>
  </si>
  <si>
    <t>ALLO-GER-337</t>
  </si>
  <si>
    <t>0.0755</t>
  </si>
  <si>
    <t>GER-336</t>
  </si>
  <si>
    <t>ALLO-GER-336</t>
  </si>
  <si>
    <t>GER-335</t>
  </si>
  <si>
    <t>ALLO-GER-335</t>
  </si>
  <si>
    <t>GER-334</t>
  </si>
  <si>
    <t>ALLO-GER-334</t>
  </si>
  <si>
    <t>GER-333</t>
  </si>
  <si>
    <t>ALLO-GER-333</t>
  </si>
  <si>
    <t>GER-332</t>
  </si>
  <si>
    <t>ALLO-GER-332</t>
  </si>
  <si>
    <t>0.0866</t>
  </si>
  <si>
    <t>GER-331</t>
  </si>
  <si>
    <t>ALLO-GER-331</t>
  </si>
  <si>
    <t>GER-330</t>
  </si>
  <si>
    <t>ALLO-GER-330</t>
  </si>
  <si>
    <t>GER-329</t>
  </si>
  <si>
    <t>ALLO-GER-329</t>
  </si>
  <si>
    <t>GER-328</t>
  </si>
  <si>
    <t>ALLO-GER-328</t>
  </si>
  <si>
    <t>0.0986</t>
  </si>
  <si>
    <t>GER-327</t>
  </si>
  <si>
    <t>ALLO-GER-327</t>
  </si>
  <si>
    <t>GER-326</t>
  </si>
  <si>
    <t>ALLO-GER-326</t>
  </si>
  <si>
    <t>0.0809</t>
  </si>
  <si>
    <t>GER-325</t>
  </si>
  <si>
    <t>ALLO-GER-325</t>
  </si>
  <si>
    <t>GER-324</t>
  </si>
  <si>
    <t>ALLO-GER-324</t>
  </si>
  <si>
    <t>GER-323</t>
  </si>
  <si>
    <t>ALLO-GER-323</t>
  </si>
  <si>
    <t>0.0719</t>
  </si>
  <si>
    <t>GER-322</t>
  </si>
  <si>
    <t>ALLO-GER-322</t>
  </si>
  <si>
    <t>GER-321</t>
  </si>
  <si>
    <t>ALLO-GER-321</t>
  </si>
  <si>
    <t>GER-320</t>
  </si>
  <si>
    <t>ALLO-GER-320</t>
  </si>
  <si>
    <t>GER-319</t>
  </si>
  <si>
    <t>ALLO-GER-319</t>
  </si>
  <si>
    <t>GER-318</t>
  </si>
  <si>
    <t>ALLO-GER-318</t>
  </si>
  <si>
    <t>GER-317</t>
  </si>
  <si>
    <t>ALLO-GER-317</t>
  </si>
  <si>
    <t>0.0998</t>
  </si>
  <si>
    <t>GER-316</t>
  </si>
  <si>
    <t>ALLO-GER-316</t>
  </si>
  <si>
    <t>GER-315</t>
  </si>
  <si>
    <t>ALLO-GER-315</t>
  </si>
  <si>
    <t>GER-314</t>
  </si>
  <si>
    <t>ALLO-GER-314</t>
  </si>
  <si>
    <t>GER-313</t>
  </si>
  <si>
    <t>ALLO-GER-313</t>
  </si>
  <si>
    <t>GER-312</t>
  </si>
  <si>
    <t>ALLO-GER-312</t>
  </si>
  <si>
    <t>GER-311</t>
  </si>
  <si>
    <t>ALLO-GER-311</t>
  </si>
  <si>
    <t>GER-310</t>
  </si>
  <si>
    <t>ALLO-GER-310</t>
  </si>
  <si>
    <t>GER-309</t>
  </si>
  <si>
    <t>ALLO-GER-309</t>
  </si>
  <si>
    <t>GER-308</t>
  </si>
  <si>
    <t>ALLO-GER-308</t>
  </si>
  <si>
    <t>GER-307</t>
  </si>
  <si>
    <t>ALLO-GER-307</t>
  </si>
  <si>
    <t>GER-306</t>
  </si>
  <si>
    <t>ALLO-GER-306</t>
  </si>
  <si>
    <t>GER-305</t>
  </si>
  <si>
    <t>ALLO-GER-305</t>
  </si>
  <si>
    <t>GER-304</t>
  </si>
  <si>
    <t>ALLO-GER-304</t>
  </si>
  <si>
    <t>GER-303</t>
  </si>
  <si>
    <t>ALLO-GER-303</t>
  </si>
  <si>
    <t>GER-302</t>
  </si>
  <si>
    <t>ALLO-GER-302</t>
  </si>
  <si>
    <t>GER-301</t>
  </si>
  <si>
    <t>ALLO-GER-301</t>
  </si>
  <si>
    <t>GER-300</t>
  </si>
  <si>
    <t>ALLO-GER-300</t>
  </si>
  <si>
    <t>GER-299</t>
  </si>
  <si>
    <t>ALLO-GER-299</t>
  </si>
  <si>
    <t>GER-298</t>
  </si>
  <si>
    <t>ALLO-GER-298</t>
  </si>
  <si>
    <t>GER-297</t>
  </si>
  <si>
    <t>ALLO-GER-297</t>
  </si>
  <si>
    <t>GER-296</t>
  </si>
  <si>
    <t>ALLO-GER-296</t>
  </si>
  <si>
    <t>0.0806</t>
  </si>
  <si>
    <t>GER-295</t>
  </si>
  <si>
    <t>ALLO-GER-295</t>
  </si>
  <si>
    <t>ALLO-GER-294</t>
  </si>
  <si>
    <t>0.0664</t>
  </si>
  <si>
    <t>GER-293</t>
  </si>
  <si>
    <t>ALLO-GER-293</t>
  </si>
  <si>
    <t>GER-292</t>
  </si>
  <si>
    <t>ALLO-GER-292</t>
  </si>
  <si>
    <t>GER-291</t>
  </si>
  <si>
    <t>ALLO-GER-291</t>
  </si>
  <si>
    <t>GER-290</t>
  </si>
  <si>
    <t>ALLO-GER-290</t>
  </si>
  <si>
    <t>GER-289</t>
  </si>
  <si>
    <t>ALLO-GER-289</t>
  </si>
  <si>
    <t>GER-288</t>
  </si>
  <si>
    <t>ALLO-GER-288</t>
  </si>
  <si>
    <t>GER-287</t>
  </si>
  <si>
    <t>ALLO-GER-287</t>
  </si>
  <si>
    <t>GER-286</t>
  </si>
  <si>
    <t>ALLO-GER-286</t>
  </si>
  <si>
    <t>GER-285</t>
  </si>
  <si>
    <t>ALLO-GER-285</t>
  </si>
  <si>
    <t>0.0853</t>
  </si>
  <si>
    <t>GER-284</t>
  </si>
  <si>
    <t>ALLO-GER-284</t>
  </si>
  <si>
    <t>GER-283</t>
  </si>
  <si>
    <t>ALLO-GER-283</t>
  </si>
  <si>
    <t>GER-282</t>
  </si>
  <si>
    <t>ALLO-GER-282</t>
  </si>
  <si>
    <t>GER-281</t>
  </si>
  <si>
    <t>ALLO-GER-281</t>
  </si>
  <si>
    <t>GER-280</t>
  </si>
  <si>
    <t>ALLO-GER-280</t>
  </si>
  <si>
    <t>GER-279</t>
  </si>
  <si>
    <t>ALLO-GER-279</t>
  </si>
  <si>
    <t>0.0921</t>
  </si>
  <si>
    <t>GER-278</t>
  </si>
  <si>
    <t>ALLO-GER-278</t>
  </si>
  <si>
    <t>GER-277</t>
  </si>
  <si>
    <t>ALLO-GER-277</t>
  </si>
  <si>
    <t>GER-276</t>
  </si>
  <si>
    <t>ALLO-GER-276</t>
  </si>
  <si>
    <t>GER-275</t>
  </si>
  <si>
    <t>ALLO-GER-275</t>
  </si>
  <si>
    <t>GER-274</t>
  </si>
  <si>
    <t>ALLO-GER-274</t>
  </si>
  <si>
    <t>GER-272</t>
  </si>
  <si>
    <t>ALLO-GER-273</t>
  </si>
  <si>
    <t>GER-271</t>
  </si>
  <si>
    <t>ALLO-GER-272</t>
  </si>
  <si>
    <t>GER-270</t>
  </si>
  <si>
    <t>ALLO-GER-271</t>
  </si>
  <si>
    <t>GER-269</t>
  </si>
  <si>
    <t>ALLO-GER-270</t>
  </si>
  <si>
    <t>GER-268</t>
  </si>
  <si>
    <t>ALLO-GER-269</t>
  </si>
  <si>
    <t>GER-267</t>
  </si>
  <si>
    <t>ALLO-GER-268</t>
  </si>
  <si>
    <t>GER-266</t>
  </si>
  <si>
    <t>ALLO-GER-267</t>
  </si>
  <si>
    <t>GER-265</t>
  </si>
  <si>
    <t>ALLO-GER-266</t>
  </si>
  <si>
    <t>GER-264</t>
  </si>
  <si>
    <t>ALLO-GER-265</t>
  </si>
  <si>
    <t>ALLO-GER-264</t>
  </si>
  <si>
    <t>0.0775</t>
  </si>
  <si>
    <t>GER-263</t>
  </si>
  <si>
    <t>ALLO-GER-263</t>
  </si>
  <si>
    <t>GER-262</t>
  </si>
  <si>
    <t>ALLO-GER-262</t>
  </si>
  <si>
    <t>GER-261</t>
  </si>
  <si>
    <t>ALLO-GER-261</t>
  </si>
  <si>
    <t>0.0652</t>
  </si>
  <si>
    <t>GER-260</t>
  </si>
  <si>
    <t>ALLO-GER-260</t>
  </si>
  <si>
    <t>GER-259</t>
  </si>
  <si>
    <t>ALLO-GER-259</t>
  </si>
  <si>
    <t>GER-258</t>
  </si>
  <si>
    <t>ALLO-GER-258</t>
  </si>
  <si>
    <t>0.0649</t>
  </si>
  <si>
    <t>GER-257</t>
  </si>
  <si>
    <t>ALLO-GER-257</t>
  </si>
  <si>
    <t>GER-256</t>
  </si>
  <si>
    <t>ALLO-GER-256</t>
  </si>
  <si>
    <t>GER-255</t>
  </si>
  <si>
    <t>ALLO-GER-255</t>
  </si>
  <si>
    <t>GER-254</t>
  </si>
  <si>
    <t>ALLO-GER-254</t>
  </si>
  <si>
    <t>GER-253</t>
  </si>
  <si>
    <t>ALLO-GER-253</t>
  </si>
  <si>
    <t>GER-252</t>
  </si>
  <si>
    <t>ALLO-GER-252</t>
  </si>
  <si>
    <t>GER-251</t>
  </si>
  <si>
    <t>ALLO-GER-251</t>
  </si>
  <si>
    <t>GER-250</t>
  </si>
  <si>
    <t>ALLO-GER-250</t>
  </si>
  <si>
    <t>GER-249</t>
  </si>
  <si>
    <t>ALLO-GER-249</t>
  </si>
  <si>
    <t>GER-248</t>
  </si>
  <si>
    <t>ALLO-GER-248</t>
  </si>
  <si>
    <t>GER-247</t>
  </si>
  <si>
    <t>ALLO-GER-247</t>
  </si>
  <si>
    <t>GER-246</t>
  </si>
  <si>
    <t>ALLO-GER-246</t>
  </si>
  <si>
    <t>GER-245</t>
  </si>
  <si>
    <t>ALLO-GER-245</t>
  </si>
  <si>
    <t>GER-244</t>
  </si>
  <si>
    <t>ALLO-GER-244</t>
  </si>
  <si>
    <t>GER-243</t>
  </si>
  <si>
    <t>ALLO-GER-243</t>
  </si>
  <si>
    <t>GER-242</t>
  </si>
  <si>
    <t>ALLO-GER-242</t>
  </si>
  <si>
    <t>GER-241</t>
  </si>
  <si>
    <t>ALLO-GER-241</t>
  </si>
  <si>
    <t>GER-240</t>
  </si>
  <si>
    <t>ALLO-GER-240</t>
  </si>
  <si>
    <t>GER-239</t>
  </si>
  <si>
    <t>ALLO-GER-239</t>
  </si>
  <si>
    <t>GER-238</t>
  </si>
  <si>
    <t>ALLO-GER-238</t>
  </si>
  <si>
    <t>GER-237</t>
  </si>
  <si>
    <t>ALLO-GER-237</t>
  </si>
  <si>
    <t>Gender</t>
  </si>
  <si>
    <t>ALLO-GER-236</t>
  </si>
  <si>
    <t>ALLO-GER-235</t>
  </si>
  <si>
    <t>ALLO-GER-234</t>
  </si>
  <si>
    <t>ALLO-GER-233</t>
  </si>
  <si>
    <t>ALLO-GER-232</t>
  </si>
  <si>
    <t>ALLO-GER-231</t>
  </si>
  <si>
    <t>ALLO-GER-230</t>
  </si>
  <si>
    <t>ALLO-GER-229</t>
  </si>
  <si>
    <t>ALLO-GER-228</t>
  </si>
  <si>
    <t>ALLO-GER-227</t>
  </si>
  <si>
    <t>ALLO-GER-226</t>
  </si>
  <si>
    <t>ALLO-GER-225</t>
  </si>
  <si>
    <t>ALLO-GER-224</t>
  </si>
  <si>
    <t>ALLO-GER-223</t>
  </si>
  <si>
    <t>ALLO-GER-222</t>
  </si>
  <si>
    <t>ALLO-GER-221</t>
  </si>
  <si>
    <t>ALLO-GER-220</t>
  </si>
  <si>
    <t>ALLO-GER-219</t>
  </si>
  <si>
    <t>ALLO-GER-218</t>
  </si>
  <si>
    <t>ALLO-GER-217</t>
  </si>
  <si>
    <t>ALLO-GER-216</t>
  </si>
  <si>
    <t>ALLO-GER-215</t>
  </si>
  <si>
    <t>ALLO-GER-214</t>
  </si>
  <si>
    <t>ALLO-GER-213</t>
  </si>
  <si>
    <t>ALLO-GER-212</t>
  </si>
  <si>
    <t>ALLO-GER-211</t>
  </si>
  <si>
    <t>ALLO-GER-210</t>
  </si>
  <si>
    <t>ALLO-GER-209</t>
  </si>
  <si>
    <t>ALLO-GER-208</t>
  </si>
  <si>
    <t>ALLO-GER-207</t>
  </si>
  <si>
    <t>ALLO-GER-206</t>
  </si>
  <si>
    <t>ALLO-GER-205</t>
  </si>
  <si>
    <t>ALLO-GER-204</t>
  </si>
  <si>
    <t>ALLO-GER-203</t>
  </si>
  <si>
    <t>ALLO-GER-202</t>
  </si>
  <si>
    <t>ALLO-GER-201</t>
  </si>
  <si>
    <t>ALLO-GER-200</t>
  </si>
  <si>
    <t>ALLO-GER-199</t>
  </si>
  <si>
    <t>ALLO-GER-198</t>
  </si>
  <si>
    <t>ALLO-GER-197</t>
  </si>
  <si>
    <t>ALLO-GER-196</t>
  </si>
  <si>
    <t>ALLO-GER-195</t>
  </si>
  <si>
    <t>ALLO-GER-194</t>
  </si>
  <si>
    <t>ALLO-GER-193</t>
  </si>
  <si>
    <t>ALLO-GER-192</t>
  </si>
  <si>
    <t>ALLO-GER-191</t>
  </si>
  <si>
    <t>ALLO-GER-190</t>
  </si>
  <si>
    <t>ALLO-GER-189</t>
  </si>
  <si>
    <t>ALLO-GER-188</t>
  </si>
  <si>
    <t>ALLO-GER-187</t>
  </si>
  <si>
    <t>ALLO-GER-186</t>
  </si>
  <si>
    <t>ALLO-GER-185</t>
  </si>
  <si>
    <t>ALLO-GER-184</t>
  </si>
  <si>
    <t>ALLO-GER-183</t>
  </si>
  <si>
    <t>ALLO-GER-182</t>
  </si>
  <si>
    <t>ALLO-GER-181</t>
  </si>
  <si>
    <t>ALLO-GER-180</t>
  </si>
  <si>
    <t>ALLO-GER-179</t>
  </si>
  <si>
    <t>ALLO-GER-178</t>
  </si>
  <si>
    <t>ALLO-GER-177</t>
  </si>
  <si>
    <t>ALLO-GER-176</t>
  </si>
  <si>
    <t>ALLO-GER-175</t>
  </si>
  <si>
    <t>ALLO-GER-174</t>
  </si>
  <si>
    <t>ALLO-GER-173</t>
  </si>
  <si>
    <t>ALLO-GER-172</t>
  </si>
  <si>
    <t>ALLO-GER-171</t>
  </si>
  <si>
    <t>ALLO-GER-170</t>
  </si>
  <si>
    <t>ALLO-GER-169</t>
  </si>
  <si>
    <t>ALLO-GER-168</t>
  </si>
  <si>
    <t>ALLO-GER-167</t>
  </si>
  <si>
    <t>ALLO-GER-166</t>
  </si>
  <si>
    <t>ALLO-GER-165</t>
  </si>
  <si>
    <t>ALLO-GER-164</t>
  </si>
  <si>
    <t>ALLO-GER-163</t>
  </si>
  <si>
    <t>ALLO-GER-162</t>
  </si>
  <si>
    <t>ALLO-GER-161</t>
  </si>
  <si>
    <t>ALLO-GER-160</t>
  </si>
  <si>
    <t>ALLO-GER-159</t>
  </si>
  <si>
    <t>ALLO-GER-158</t>
  </si>
  <si>
    <t>ALLO-GER-157</t>
  </si>
  <si>
    <t>ALLO-GER-156</t>
  </si>
  <si>
    <t>ALLO-GER-155</t>
  </si>
  <si>
    <t>ALLO-GER-154</t>
  </si>
  <si>
    <t>ALLO-GER-153</t>
  </si>
  <si>
    <t>ALLO-GER-152</t>
  </si>
  <si>
    <t>ALLO-GER-151</t>
  </si>
  <si>
    <t>ALLO-GER-150</t>
  </si>
  <si>
    <t>ALLO-GER-149</t>
  </si>
  <si>
    <t>ALLO-GER-148</t>
  </si>
  <si>
    <t>ALLO-GER-147</t>
  </si>
  <si>
    <t>ALLO-GER-146</t>
  </si>
  <si>
    <t>ALLO-GER-145</t>
  </si>
  <si>
    <t>ALLO-GER-144</t>
  </si>
  <si>
    <t>ALLO-GER-143</t>
  </si>
  <si>
    <t>ALLO-GER-142</t>
  </si>
  <si>
    <t>ALLO-GER-141</t>
  </si>
  <si>
    <t>ALLO-GER-140</t>
  </si>
  <si>
    <t>ALLO-GER-139</t>
  </si>
  <si>
    <t>ALLO-GER-138</t>
  </si>
  <si>
    <t>ALLO-GER-137</t>
  </si>
  <si>
    <t>ALLO-GER-136</t>
  </si>
  <si>
    <t>ALLO-GER-135</t>
  </si>
  <si>
    <t>ALLO-GER-134</t>
  </si>
  <si>
    <t>ALLO-GER-133</t>
  </si>
  <si>
    <t>ALLO-GER-132</t>
  </si>
  <si>
    <t>ALLO-GER-131</t>
  </si>
  <si>
    <t>ALLO-GER-130</t>
  </si>
  <si>
    <t>ALLO-GER-129</t>
  </si>
  <si>
    <t>ALLO-GER-128</t>
  </si>
  <si>
    <t>ALLO-GER-127</t>
  </si>
  <si>
    <t>ALLO-GER-126</t>
  </si>
  <si>
    <t>ALLO-GER-125</t>
  </si>
  <si>
    <t>ALLO-GER-124</t>
  </si>
  <si>
    <t>ALLO-GER-123</t>
  </si>
  <si>
    <t>ALLO-GER-122</t>
  </si>
  <si>
    <t>ALLO-GER-121</t>
  </si>
  <si>
    <t>ALLO-GER-120</t>
  </si>
  <si>
    <t>ALLO-GER-119</t>
  </si>
  <si>
    <t>ALLO-GER-118</t>
  </si>
  <si>
    <t>ALLO-GER-117</t>
  </si>
  <si>
    <t>ALLO-GER-116</t>
  </si>
  <si>
    <t>ALLO-GER-115</t>
  </si>
  <si>
    <t>ALLO-GER-114</t>
  </si>
  <si>
    <t>ALLO-GER-113</t>
  </si>
  <si>
    <t>ALLO-GER-112</t>
  </si>
  <si>
    <t>ALLO-GER-111</t>
  </si>
  <si>
    <t>ALLO-GER-110</t>
  </si>
  <si>
    <t>ALLO-GER-109</t>
  </si>
  <si>
    <t>ALLO-GER-108</t>
  </si>
  <si>
    <t>ALLO-GER-106</t>
  </si>
  <si>
    <t>ALLO-GER-105</t>
  </si>
  <si>
    <t>ALLO-GER-104</t>
  </si>
  <si>
    <t>ALLO-GER-103</t>
  </si>
  <si>
    <t>ALLO-GER-102</t>
  </si>
  <si>
    <t>ALLO-GER-101</t>
  </si>
  <si>
    <t>ALLO-GER-100</t>
  </si>
  <si>
    <t>ALLO-GER-99</t>
  </si>
  <si>
    <t>ALLO-GER-98</t>
  </si>
  <si>
    <t>ALLO-GER-97</t>
  </si>
  <si>
    <t>ALLO-GER-96</t>
  </si>
  <si>
    <t>ALLO-GER-95</t>
  </si>
  <si>
    <t>ALLO-GER-94</t>
  </si>
  <si>
    <t>ALLO-GER-93</t>
  </si>
  <si>
    <t>ALLO-GER-92</t>
  </si>
  <si>
    <t>ALLO-GER-91</t>
  </si>
  <si>
    <t>ALLO-GER-90</t>
  </si>
  <si>
    <t>ALLO-GER-89</t>
  </si>
  <si>
    <t>ALLO-GER-88</t>
  </si>
  <si>
    <t>ALLO-GER-87</t>
  </si>
  <si>
    <t>ALLO-GER-86</t>
  </si>
  <si>
    <t>ALLO-GER-85</t>
  </si>
  <si>
    <t>ALLO-GER-84</t>
  </si>
  <si>
    <t>ALLO-GER-83</t>
  </si>
  <si>
    <t>ALLO-GER-82</t>
  </si>
  <si>
    <t>ALLO-GER-81</t>
  </si>
  <si>
    <t>ALLO-GER-80</t>
  </si>
  <si>
    <t>ALLO-GER-79</t>
  </si>
  <si>
    <t>ALLO-GER-78</t>
  </si>
  <si>
    <t>ALLO-GER-77</t>
  </si>
  <si>
    <t>ALLO-GER-76</t>
  </si>
  <si>
    <t>ALLO-GER-75</t>
  </si>
  <si>
    <t>ALLO-GER-74</t>
  </si>
  <si>
    <t>ALLO-GER-73</t>
  </si>
  <si>
    <t>ALLO-GER-72</t>
  </si>
  <si>
    <t>ALLO-GER-71</t>
  </si>
  <si>
    <t>ALLO-GER-70</t>
  </si>
  <si>
    <t>ALLO-GER-69</t>
  </si>
  <si>
    <t>ALLO-GER-68</t>
  </si>
  <si>
    <t>ALLO-GER-67</t>
  </si>
  <si>
    <t>ALLO-GER-66</t>
  </si>
  <si>
    <t>ALLO-GER-65</t>
  </si>
  <si>
    <t>ALLO-GER-64</t>
  </si>
  <si>
    <t>ALLO-GER-63</t>
  </si>
  <si>
    <t>ALLO-GER-62</t>
  </si>
  <si>
    <t>ALLO-GER-61</t>
  </si>
  <si>
    <t>ALLO-GER-60</t>
  </si>
  <si>
    <t>ALLO-GER-59</t>
  </si>
  <si>
    <t>ALLO-GER-58</t>
  </si>
  <si>
    <t>ALLO-GER-57</t>
  </si>
  <si>
    <t>ALLO-GER-56</t>
  </si>
  <si>
    <t>ALLO-GER-55</t>
  </si>
  <si>
    <t>ALLO-GER-54</t>
  </si>
  <si>
    <t>ALLO-GER-53</t>
  </si>
  <si>
    <t>ALLO-GER-52</t>
  </si>
  <si>
    <t>ALLO-GER-51</t>
  </si>
  <si>
    <t>ALLO-GER-50</t>
  </si>
  <si>
    <t>ALLO-GER-49</t>
  </si>
  <si>
    <t>ALLO-GER-48</t>
  </si>
  <si>
    <t>ALLO-GER-47</t>
  </si>
  <si>
    <t>ALLO-GER-46</t>
  </si>
  <si>
    <t>ALLO-GER-45</t>
  </si>
  <si>
    <t>ALLO-GER-44</t>
  </si>
  <si>
    <t>ALLO-GER-43</t>
  </si>
  <si>
    <t>ALLO-GER-42</t>
  </si>
  <si>
    <t>ALLO-GER-41</t>
  </si>
  <si>
    <t>ALLO-GER-40</t>
  </si>
  <si>
    <t>ALLO-GER-39</t>
  </si>
  <si>
    <t>ALLO-GER-38</t>
  </si>
  <si>
    <t>ALLO-GER-37</t>
  </si>
  <si>
    <t>ALLO-GER-36</t>
  </si>
  <si>
    <t>ALLO-GER-35</t>
  </si>
  <si>
    <t>ALLO-GER-34</t>
  </si>
  <si>
    <t>ALLO-GER-33</t>
  </si>
  <si>
    <t>ALLO-GER-32</t>
  </si>
  <si>
    <t>ALLO-GER-31</t>
  </si>
  <si>
    <t>ALLO-GER-30</t>
  </si>
  <si>
    <t>ALLO-GER-29</t>
  </si>
  <si>
    <t>ALLO-GER-28</t>
  </si>
  <si>
    <t>ALLO-GER-27</t>
  </si>
  <si>
    <t>ALLO-GER-26</t>
  </si>
  <si>
    <t>ALLO-GER-25</t>
  </si>
  <si>
    <t>ALLO-GER-24</t>
  </si>
  <si>
    <t>ALLO-GER-23</t>
  </si>
  <si>
    <t>ALLO-GER-22</t>
  </si>
  <si>
    <t>ALLO-GER-21</t>
  </si>
  <si>
    <t>ALLO-GER-20</t>
  </si>
  <si>
    <t>ALLO-GER-19</t>
  </si>
  <si>
    <t>ALLO-GER-18</t>
  </si>
  <si>
    <t>ALLO-GER-17</t>
  </si>
  <si>
    <t>ALLO-GER-16</t>
  </si>
  <si>
    <t>ALLO-GER-15</t>
  </si>
  <si>
    <t>ALLO-GER-14</t>
  </si>
  <si>
    <t>ALLO-GER-13</t>
  </si>
  <si>
    <t>ALLO-GER-12</t>
  </si>
  <si>
    <t>ALLO-GER-11</t>
  </si>
  <si>
    <t>ALLO-GER-10</t>
  </si>
  <si>
    <t>ALLO-GER-9</t>
  </si>
  <si>
    <t>ALLO-GER-8</t>
  </si>
  <si>
    <t>ALLO-GER-7</t>
  </si>
  <si>
    <t>ALLO-GER-6</t>
  </si>
  <si>
    <t>ALLO-GER-5</t>
  </si>
  <si>
    <t>ALLO-GER-4</t>
  </si>
  <si>
    <t>ALLO-GER-3</t>
  </si>
  <si>
    <t>ALLO-GER-2</t>
  </si>
  <si>
    <t>ALLO-GER-1</t>
  </si>
  <si>
    <t>Pres.date</t>
  </si>
  <si>
    <t>Col.date</t>
  </si>
  <si>
    <t>Treatment</t>
  </si>
  <si>
    <t>Stored</t>
  </si>
  <si>
    <t>ANDRENA SANDBIENE</t>
  </si>
  <si>
    <t>ANDRENA LASOPUS</t>
  </si>
  <si>
    <t>ALLO-GER-738</t>
  </si>
  <si>
    <t>ALLO-GER-737</t>
  </si>
  <si>
    <t>ALLO-GER-719</t>
  </si>
  <si>
    <t>0.0645</t>
  </si>
  <si>
    <t>ALLO-GER-715</t>
  </si>
  <si>
    <t>ALLO-GER-714</t>
  </si>
  <si>
    <t>0.0573</t>
  </si>
  <si>
    <t>ALLO-GER-696</t>
  </si>
  <si>
    <t>0.0582</t>
  </si>
  <si>
    <t>ALLO-GER-695</t>
  </si>
  <si>
    <t>0.0545</t>
  </si>
  <si>
    <t>ALLO-GER-694</t>
  </si>
  <si>
    <t>ALLO-GER-693</t>
  </si>
  <si>
    <t>0.0614</t>
  </si>
  <si>
    <t>ALLO-GER-692</t>
  </si>
  <si>
    <t>0.0577</t>
  </si>
  <si>
    <t>ALLO-GER-691</t>
  </si>
  <si>
    <t>0.0595</t>
  </si>
  <si>
    <t>ALLO-GER-673</t>
  </si>
  <si>
    <t>0.0646</t>
  </si>
  <si>
    <t>ALLO-GER-672</t>
  </si>
  <si>
    <t>0.0823</t>
  </si>
  <si>
    <t>ALLO-GER-671</t>
  </si>
  <si>
    <t>0.0546</t>
  </si>
  <si>
    <t>ALLO-GER-670</t>
  </si>
  <si>
    <t>ALLO-GER-668</t>
  </si>
  <si>
    <t>0.0707</t>
  </si>
  <si>
    <t>ALLO-GER-650</t>
  </si>
  <si>
    <t>0.0506</t>
  </si>
  <si>
    <t>ALLO-GER-648</t>
  </si>
  <si>
    <t>0.0741</t>
  </si>
  <si>
    <t>ALLO-GER-647</t>
  </si>
  <si>
    <t>0.0616</t>
  </si>
  <si>
    <t>ALLO-GER-646</t>
  </si>
  <si>
    <t>0.0789</t>
  </si>
  <si>
    <t>ALLO-GER-645</t>
  </si>
  <si>
    <t>0.0590</t>
  </si>
  <si>
    <t>ALLO-GER-644</t>
  </si>
  <si>
    <t>0.0783</t>
  </si>
  <si>
    <t>ALLO-GER-627</t>
  </si>
  <si>
    <t>0.0574</t>
  </si>
  <si>
    <t>ALLO-GER-625</t>
  </si>
  <si>
    <t>0.0531</t>
  </si>
  <si>
    <t>ALLO-GER-621</t>
  </si>
  <si>
    <t>0.0</t>
  </si>
  <si>
    <t>0.0788</t>
  </si>
  <si>
    <t>ALLO-GER-604</t>
  </si>
  <si>
    <t>0.0493</t>
  </si>
  <si>
    <t>ALLO-GER-603</t>
  </si>
  <si>
    <t>0.0637</t>
  </si>
  <si>
    <t>ALLO-GER-601</t>
  </si>
  <si>
    <t>0.0606</t>
  </si>
  <si>
    <t>ALLO-GER-600</t>
  </si>
  <si>
    <t>ALLO-GER-599</t>
  </si>
  <si>
    <t>0.0650</t>
  </si>
  <si>
    <t>ALLO-GER-598</t>
  </si>
  <si>
    <t>0.0585</t>
  </si>
  <si>
    <t>ALLO-GER-597</t>
  </si>
  <si>
    <t>0.0643</t>
  </si>
  <si>
    <t>ALLO-GER-596</t>
  </si>
  <si>
    <t>0.0751</t>
  </si>
  <si>
    <t>ALLO-GER-595</t>
  </si>
  <si>
    <t>0.0723</t>
  </si>
  <si>
    <t>ALLO-GER-594</t>
  </si>
  <si>
    <t>0.0681</t>
  </si>
  <si>
    <t>ALLO-GER-593</t>
  </si>
  <si>
    <t>0.0677</t>
  </si>
  <si>
    <t>ALLO-GER-592</t>
  </si>
  <si>
    <t>0.0505</t>
  </si>
  <si>
    <t>ALLO-GER-591</t>
  </si>
  <si>
    <t>0.0499</t>
  </si>
  <si>
    <t>ALLO-GER-590</t>
  </si>
  <si>
    <t>0.0553</t>
  </si>
  <si>
    <t>ALLO-GER-589</t>
  </si>
  <si>
    <t>0.0598</t>
  </si>
  <si>
    <t>ALLO-GER-588</t>
  </si>
  <si>
    <t>0.0640</t>
  </si>
  <si>
    <t>ALLO-GER-587</t>
  </si>
  <si>
    <t>0.0695</t>
  </si>
  <si>
    <t>ALLO-GER-586</t>
  </si>
  <si>
    <t>0.0411</t>
  </si>
  <si>
    <t>ALLO-GER-585</t>
  </si>
  <si>
    <t>0.0417</t>
  </si>
  <si>
    <t>ALLO-GER-584</t>
  </si>
  <si>
    <t>ALLO-GER-583</t>
  </si>
  <si>
    <t>0.0687</t>
  </si>
  <si>
    <t>ALLO-GER-582</t>
  </si>
  <si>
    <t>0.0549</t>
  </si>
  <si>
    <t>ALLO-GER-581</t>
  </si>
  <si>
    <t>0.0762</t>
  </si>
  <si>
    <t>ALLO-GER-580</t>
  </si>
  <si>
    <t>ALLO-GER-579</t>
  </si>
  <si>
    <t>ALLO-GER-578</t>
  </si>
  <si>
    <t>0.0671</t>
  </si>
  <si>
    <t>ALLO-GER-577</t>
  </si>
  <si>
    <t>0.0552</t>
  </si>
  <si>
    <t>ALLO-GER-576</t>
  </si>
  <si>
    <t>0.0784</t>
  </si>
  <si>
    <t>ALLO-GER-575</t>
  </si>
  <si>
    <t>0.0812</t>
  </si>
  <si>
    <t>ALLO-GER-574</t>
  </si>
  <si>
    <t>0.0511</t>
  </si>
  <si>
    <t>ALLO-GER-573</t>
  </si>
  <si>
    <t>0.0610</t>
  </si>
  <si>
    <t>ALLO-GER-572</t>
  </si>
  <si>
    <t>0.0780</t>
  </si>
  <si>
    <t>ALLO-GER-571</t>
  </si>
  <si>
    <t>0.0535</t>
  </si>
  <si>
    <t>ALLO-GER-570</t>
  </si>
  <si>
    <t>0.0450</t>
  </si>
  <si>
    <t>ALLO-GER-569</t>
  </si>
  <si>
    <t>ALLO-GER-568</t>
  </si>
  <si>
    <t>0.0600</t>
  </si>
  <si>
    <t>ALLO-GER-567</t>
  </si>
  <si>
    <t>0.0525</t>
  </si>
  <si>
    <t>ALLO-GER-566</t>
  </si>
  <si>
    <t>0.0819</t>
  </si>
  <si>
    <t>ALLO-GER-565</t>
  </si>
  <si>
    <t>0.0739</t>
  </si>
  <si>
    <t>ALLO-GER-564</t>
  </si>
  <si>
    <t>0.0572</t>
  </si>
  <si>
    <t>ALLO-GER-563</t>
  </si>
  <si>
    <t>0.0619</t>
  </si>
  <si>
    <t>ALLO-GER-562</t>
  </si>
  <si>
    <t>0.0434</t>
  </si>
  <si>
    <t>ALLO-GER-561</t>
  </si>
  <si>
    <t>0.0421</t>
  </si>
  <si>
    <t>ALLO-GER-560</t>
  </si>
  <si>
    <t>0.0476</t>
  </si>
  <si>
    <t>ALLO-GER-559</t>
  </si>
  <si>
    <t>0.0827</t>
  </si>
  <si>
    <t>ALLO-GER-558</t>
  </si>
  <si>
    <t>0.0576</t>
  </si>
  <si>
    <t>ALLO-GER-557</t>
  </si>
  <si>
    <t>ALLO-GER-556</t>
  </si>
  <si>
    <t>0.0428</t>
  </si>
  <si>
    <t>ALLO-GER-555</t>
  </si>
  <si>
    <t>0.0756</t>
  </si>
  <si>
    <t>ALLO-GER-554</t>
  </si>
  <si>
    <t>0.0774</t>
  </si>
  <si>
    <t>ALLO-GER-553</t>
  </si>
  <si>
    <t>0.0461</t>
  </si>
  <si>
    <t>ALLO-GER-552</t>
  </si>
  <si>
    <t>0.0716</t>
  </si>
  <si>
    <t>ALLO-GER-551</t>
  </si>
  <si>
    <t>0.0532</t>
  </si>
  <si>
    <t>ALLO-GER-550</t>
  </si>
  <si>
    <t>ALLO-GER-549</t>
  </si>
  <si>
    <t>0.0675</t>
  </si>
  <si>
    <t>ALLO-GER-548</t>
  </si>
  <si>
    <t>0.0831</t>
  </si>
  <si>
    <t>ALLO-GER-547</t>
  </si>
  <si>
    <t>0.0588</t>
  </si>
  <si>
    <t>ALLO-GER-546</t>
  </si>
  <si>
    <t>0.0728</t>
  </si>
  <si>
    <t>ALLO-GER-545</t>
  </si>
  <si>
    <t>0.0877</t>
  </si>
  <si>
    <t>ALLO-GER-544</t>
  </si>
  <si>
    <t>ALLO-GER-543</t>
  </si>
  <si>
    <t>ALLO-GER-542</t>
  </si>
  <si>
    <t>0.0618</t>
  </si>
  <si>
    <t>ALLO-GER-541</t>
  </si>
  <si>
    <t>0.0655</t>
  </si>
  <si>
    <t>ALLO-GER-540</t>
  </si>
  <si>
    <t>0.0423</t>
  </si>
  <si>
    <t>ALLO-GER-539</t>
  </si>
  <si>
    <t>0.0912</t>
  </si>
  <si>
    <t>ALLO-GER-538</t>
  </si>
  <si>
    <t>0.0891</t>
  </si>
  <si>
    <t>ALLO-GER-537</t>
  </si>
  <si>
    <t>ALLO-GER-536</t>
  </si>
  <si>
    <t>ALLO-GER-535</t>
  </si>
  <si>
    <t>0.0621</t>
  </si>
  <si>
    <t>ALLO-GER-534</t>
  </si>
  <si>
    <t>0.0740</t>
  </si>
  <si>
    <t>ALLO-GER-533</t>
  </si>
  <si>
    <t>0.0746</t>
  </si>
  <si>
    <t>ALLO-GER-532</t>
  </si>
  <si>
    <t>0.0556</t>
  </si>
  <si>
    <t>ALLO-GER-531</t>
  </si>
  <si>
    <t>0.0782</t>
  </si>
  <si>
    <t>ALLO-GER-530</t>
  </si>
  <si>
    <t>ALLO-GER-529</t>
  </si>
  <si>
    <t>0.0560</t>
  </si>
  <si>
    <t>ALLO-GER-528</t>
  </si>
  <si>
    <t>0.0415</t>
  </si>
  <si>
    <t>ALLO-GER-527</t>
  </si>
  <si>
    <t>ALLO-GER-526</t>
  </si>
  <si>
    <t>0.0626</t>
  </si>
  <si>
    <t>ALLO-GER-525</t>
  </si>
  <si>
    <t>0.0515</t>
  </si>
  <si>
    <t>ALLO-GER-524</t>
  </si>
  <si>
    <t>0.0685</t>
  </si>
  <si>
    <t>ALLO-GER-523</t>
  </si>
  <si>
    <t>0.0584</t>
  </si>
  <si>
    <t>ALLO-GER-522</t>
  </si>
  <si>
    <t>0.0485</t>
  </si>
  <si>
    <t>ALLO-GER-521</t>
  </si>
  <si>
    <t>0.0720</t>
  </si>
  <si>
    <t>ALLO-GER-520</t>
  </si>
  <si>
    <t>0.0661</t>
  </si>
  <si>
    <t>ALLO-GER-519</t>
  </si>
  <si>
    <t>0.0408</t>
  </si>
  <si>
    <t>ALLO-GER-518</t>
  </si>
  <si>
    <t>0.0691</t>
  </si>
  <si>
    <t>ALLO-GER-517</t>
  </si>
  <si>
    <t>0.0579</t>
  </si>
  <si>
    <t>ALLO-GER-516</t>
  </si>
  <si>
    <t>0.0698</t>
  </si>
  <si>
    <t>ALLO-GER-515</t>
  </si>
  <si>
    <t>ALLO-GER-514</t>
  </si>
  <si>
    <t>ALLO-GER-513</t>
  </si>
  <si>
    <t>ALLO-GER-512</t>
  </si>
  <si>
    <t>0.0711</t>
  </si>
  <si>
    <t>ALLO-GER-511</t>
  </si>
  <si>
    <t>ALLO-GER-510</t>
  </si>
  <si>
    <t>ALLO-GER-509</t>
  </si>
  <si>
    <t>ALLO-GER-508</t>
  </si>
  <si>
    <t>0.0771</t>
  </si>
  <si>
    <t>ALLO-GER-507</t>
  </si>
  <si>
    <t>ALLO-GER-506</t>
  </si>
  <si>
    <t>0.0496</t>
  </si>
  <si>
    <t>ALLO-GER-505</t>
  </si>
  <si>
    <t>0.0524</t>
  </si>
  <si>
    <t>ALLO-GER-504</t>
  </si>
  <si>
    <t>0.0435</t>
  </si>
  <si>
    <t>ALLO-GER-503</t>
  </si>
  <si>
    <t>0.0712</t>
  </si>
  <si>
    <t>ALLO-GER-502</t>
  </si>
  <si>
    <t>ALLO-GER-501</t>
  </si>
  <si>
    <t>0.0479</t>
  </si>
  <si>
    <t>ALLO-GER-500</t>
  </si>
  <si>
    <t>0.0489</t>
  </si>
  <si>
    <t>ALLO-GER-499</t>
  </si>
  <si>
    <t>ALLO-GER-498</t>
  </si>
  <si>
    <t>0.0422</t>
  </si>
  <si>
    <t>ALLO-GER-497</t>
  </si>
  <si>
    <t>0.0471</t>
  </si>
  <si>
    <t>ALLO-GER-496</t>
  </si>
  <si>
    <t>0.0473</t>
  </si>
  <si>
    <t>ALLO-GER-495</t>
  </si>
  <si>
    <t>0.0678</t>
  </si>
  <si>
    <t>ALLO-GER-494</t>
  </si>
  <si>
    <t>0.0448</t>
  </si>
  <si>
    <t>ALLO-GER-493</t>
  </si>
  <si>
    <t>ALLO-GER-492</t>
  </si>
  <si>
    <t>0.0460</t>
  </si>
  <si>
    <t>ALLO-GER-491</t>
  </si>
  <si>
    <t>0.0495</t>
  </si>
  <si>
    <t>ALLO-GER-490</t>
  </si>
  <si>
    <t>ALLO-GER-489</t>
  </si>
  <si>
    <t>ALLO-GER-488</t>
  </si>
  <si>
    <t>0.0759</t>
  </si>
  <si>
    <t>ALLO-GER-487</t>
  </si>
  <si>
    <t>ALLO-GER-486</t>
  </si>
  <si>
    <t>0.0501</t>
  </si>
  <si>
    <t>ALLO-GER-485</t>
  </si>
  <si>
    <t>0.0561</t>
  </si>
  <si>
    <t>ALLO-GER-484</t>
  </si>
  <si>
    <t>0.0533</t>
  </si>
  <si>
    <t>ALLO-GER-483</t>
  </si>
  <si>
    <t>0.0468</t>
  </si>
  <si>
    <t>ALLO-GER-482</t>
  </si>
  <si>
    <t>0.0793</t>
  </si>
  <si>
    <t>ALLO-GER-481</t>
  </si>
  <si>
    <t>0.0654</t>
  </si>
  <si>
    <t>ALLO-GER-480</t>
  </si>
  <si>
    <t>0.0628</t>
  </si>
  <si>
    <t>ALLO-GER-479</t>
  </si>
  <si>
    <t>ALLO-GER-478</t>
  </si>
  <si>
    <t>ALLO-GER-477</t>
  </si>
  <si>
    <t>0.0571</t>
  </si>
  <si>
    <t>ALLO-GER-476</t>
  </si>
  <si>
    <t>ALLO-GER-475</t>
  </si>
  <si>
    <t>0.0669</t>
  </si>
  <si>
    <t>ALLO-GER-474</t>
  </si>
  <si>
    <t>0.0796</t>
  </si>
  <si>
    <t>ALLO-GER-473</t>
  </si>
  <si>
    <t>0.0568</t>
  </si>
  <si>
    <t>ALLO-GER-472</t>
  </si>
  <si>
    <t>0.0777</t>
  </si>
  <si>
    <t>ALLO-GER-471</t>
  </si>
  <si>
    <t>0.0602</t>
  </si>
  <si>
    <t>ALLO-GER-470</t>
  </si>
  <si>
    <t>ALLO-GER-469</t>
  </si>
  <si>
    <t>0.0732</t>
  </si>
  <si>
    <t>ALLO-GER-468</t>
  </si>
  <si>
    <t>0.0569</t>
  </si>
  <si>
    <t>ALLO-GER-467</t>
  </si>
  <si>
    <t>0.0639</t>
  </si>
  <si>
    <t>ALLO-GER-466</t>
  </si>
  <si>
    <t>0.0559</t>
  </si>
  <si>
    <t>ALLO-GER-465</t>
  </si>
  <si>
    <t>0.0611</t>
  </si>
  <si>
    <t>ALLO-GER-464</t>
  </si>
  <si>
    <t>ALLO-GER-463</t>
  </si>
  <si>
    <t>ALLO-GER-462</t>
  </si>
  <si>
    <t>ALLO-GER-461</t>
  </si>
  <si>
    <t>0.0673</t>
  </si>
  <si>
    <t>ALLO-GER-460</t>
  </si>
  <si>
    <t>0.0609</t>
  </si>
  <si>
    <t>ALLO-GER-459</t>
  </si>
  <si>
    <t>ALLO-GER-458</t>
  </si>
  <si>
    <t>0.0589</t>
  </si>
  <si>
    <t>ALLO-GER-457</t>
  </si>
  <si>
    <t>0.0724</t>
  </si>
  <si>
    <t>ALLO-GER-456</t>
  </si>
  <si>
    <t>ALLO-GER-455</t>
  </si>
  <si>
    <t>ALLO-GER-454</t>
  </si>
  <si>
    <t>0.0562</t>
  </si>
  <si>
    <t>ALLO-GER-453</t>
  </si>
  <si>
    <t>0.0693</t>
  </si>
  <si>
    <t>ALLO-GER-452</t>
  </si>
  <si>
    <t>ALLO-GER-451</t>
  </si>
  <si>
    <t>0.0604</t>
  </si>
  <si>
    <t>ALLO-GER-450</t>
  </si>
  <si>
    <t>0.0578</t>
  </si>
  <si>
    <t>ALLO-GER-449</t>
  </si>
  <si>
    <t>ALLO-GER-448</t>
  </si>
  <si>
    <t>ALLO-GER-447</t>
  </si>
  <si>
    <t>0.0567</t>
  </si>
  <si>
    <t>ALLO-GER-446</t>
  </si>
  <si>
    <t>ALLO-GER-445</t>
  </si>
  <si>
    <t>ALLO-GER-444</t>
  </si>
  <si>
    <t>0.0597</t>
  </si>
  <si>
    <t>ALLO-GER-443</t>
  </si>
  <si>
    <t>ALLO-GER-442</t>
  </si>
  <si>
    <t>0.0622</t>
  </si>
  <si>
    <t>ALLO-GER-441</t>
  </si>
  <si>
    <t>ALLO-GER-440</t>
  </si>
  <si>
    <t>ALLO-GER-439</t>
  </si>
  <si>
    <t>0.0623</t>
  </si>
  <si>
    <t>ALLO-GER-438</t>
  </si>
  <si>
    <t>0.0701</t>
  </si>
  <si>
    <t>ALLO-GER-697</t>
  </si>
  <si>
    <t>ALLO-GER-698</t>
  </si>
  <si>
    <t>ALLO-GER-699</t>
  </si>
  <si>
    <t>ALLO-GER-700</t>
  </si>
  <si>
    <t>ALLO-GER-701</t>
  </si>
  <si>
    <t>ALLO-GER-702</t>
  </si>
  <si>
    <t>ALLO-GER-703</t>
  </si>
  <si>
    <t>ALLO-GER-704</t>
  </si>
  <si>
    <t>ALLO-GER-705</t>
  </si>
  <si>
    <t>ALLO-GER-706</t>
  </si>
  <si>
    <t>ALLO-GER-707</t>
  </si>
  <si>
    <t>ALLO-GER-708</t>
  </si>
  <si>
    <t>ALLO-GER-709</t>
  </si>
  <si>
    <t>ALLO-GER-710</t>
  </si>
  <si>
    <t>ALLO-GER-711</t>
  </si>
  <si>
    <t>ALLO-GER-712</t>
  </si>
  <si>
    <t>ALLO-GER-713</t>
  </si>
  <si>
    <t>ALLO-GER-602</t>
  </si>
  <si>
    <t>0.2704</t>
  </si>
  <si>
    <t>0.0927</t>
  </si>
  <si>
    <t>0.1233</t>
  </si>
  <si>
    <t>0.1044</t>
  </si>
  <si>
    <t>0.1003</t>
  </si>
  <si>
    <t>0.0940</t>
  </si>
  <si>
    <t>0.0949</t>
  </si>
  <si>
    <t>0.2266</t>
  </si>
  <si>
    <t>0.3743</t>
  </si>
  <si>
    <t>0.0992</t>
  </si>
  <si>
    <t>0.1101</t>
  </si>
  <si>
    <t>0.0953</t>
  </si>
  <si>
    <t>0.0991</t>
  </si>
  <si>
    <t>0.1088</t>
  </si>
  <si>
    <t>0.1263</t>
  </si>
  <si>
    <t>0.1413</t>
  </si>
  <si>
    <t>0.0747</t>
  </si>
  <si>
    <t>0.1287</t>
  </si>
  <si>
    <t>0.0994</t>
  </si>
  <si>
    <t>0.2255</t>
  </si>
  <si>
    <t>0.0642</t>
  </si>
  <si>
    <t>0.0794</t>
  </si>
  <si>
    <t>0.2155</t>
  </si>
  <si>
    <t>0.0396</t>
  </si>
  <si>
    <t>HALICTUS</t>
  </si>
  <si>
    <t>0.0429</t>
  </si>
  <si>
    <t>0.0414</t>
  </si>
  <si>
    <t>0.0430</t>
  </si>
  <si>
    <t>0.0394</t>
  </si>
  <si>
    <t>0.0424</t>
  </si>
  <si>
    <t>0.0393</t>
  </si>
  <si>
    <t>0.0426</t>
  </si>
  <si>
    <t>0.0403</t>
  </si>
  <si>
    <t>0.0400</t>
  </si>
  <si>
    <t>OSMIA</t>
  </si>
  <si>
    <t>ALLO-GER-606</t>
  </si>
  <si>
    <t>0.0425</t>
  </si>
  <si>
    <t>HYLAEUS</t>
  </si>
  <si>
    <t>ALLO-GER-608</t>
  </si>
  <si>
    <t>0.0665</t>
  </si>
  <si>
    <t>ALLO-GER-609</t>
  </si>
  <si>
    <t>0.0389</t>
  </si>
  <si>
    <t>ALLO-GER-610</t>
  </si>
  <si>
    <t>ANTHIDIUM</t>
  </si>
  <si>
    <t>ALLO-GER-620</t>
  </si>
  <si>
    <t>0.0443</t>
  </si>
  <si>
    <t>ALLO-GER-622</t>
  </si>
  <si>
    <t>0.0405</t>
  </si>
  <si>
    <t>ALLO-GER-623</t>
  </si>
  <si>
    <t>ALLO-GER-624</t>
  </si>
  <si>
    <t>0.0438</t>
  </si>
  <si>
    <t>ALLO-GER-626</t>
  </si>
  <si>
    <t>0.0734</t>
  </si>
  <si>
    <t>ALLO-GER-628</t>
  </si>
  <si>
    <t>0.1052</t>
  </si>
  <si>
    <t>ANTHOPHORA</t>
  </si>
  <si>
    <t>ALLO-GER-632</t>
  </si>
  <si>
    <t>0.0472</t>
  </si>
  <si>
    <t>ALLO-GER-643</t>
  </si>
  <si>
    <t>ALLO-GER-649</t>
  </si>
  <si>
    <t>0.0446</t>
  </si>
  <si>
    <t>ALLO-GER-651</t>
  </si>
  <si>
    <t>0.0413</t>
  </si>
  <si>
    <t>ALLO-GER-652</t>
  </si>
  <si>
    <t>ALLO-GER-654</t>
  </si>
  <si>
    <t>0.0395</t>
  </si>
  <si>
    <t>ALLO-GER-666</t>
  </si>
  <si>
    <t>ALLO-GER-667</t>
  </si>
  <si>
    <t>ALLO-GER-669</t>
  </si>
  <si>
    <t>ALLO-GER-675</t>
  </si>
  <si>
    <t>0.0439</t>
  </si>
  <si>
    <t>ALLO-GER-678</t>
  </si>
  <si>
    <t>0.0679</t>
  </si>
  <si>
    <t>ALLO-GER-679</t>
  </si>
  <si>
    <t>COELIOXYS</t>
  </si>
  <si>
    <t>ALLO-GER-689</t>
  </si>
  <si>
    <t>0.0592</t>
  </si>
  <si>
    <t>ALLO-GER-690</t>
  </si>
  <si>
    <t>0.0436</t>
  </si>
  <si>
    <t>SPHECODES</t>
  </si>
  <si>
    <t>EUCERA</t>
  </si>
  <si>
    <t>0.0599</t>
  </si>
  <si>
    <t>0.0605</t>
  </si>
  <si>
    <t>ALLO-GER-716</t>
  </si>
  <si>
    <t>0.0487</t>
  </si>
  <si>
    <t>ALLO-GER-717</t>
  </si>
  <si>
    <t>ALLO-GER-718</t>
  </si>
  <si>
    <t>ALLO-GER-721</t>
  </si>
  <si>
    <t>0.0397</t>
  </si>
  <si>
    <t>ALLO-GER-722</t>
  </si>
  <si>
    <t>0.0401</t>
  </si>
  <si>
    <t>ALLO-GER-723</t>
  </si>
  <si>
    <t>ALLO-GER-724</t>
  </si>
  <si>
    <t>0.0465</t>
  </si>
  <si>
    <t>NOMADA</t>
  </si>
  <si>
    <t>ALLO-GER-735</t>
  </si>
  <si>
    <t>ALLO-GER-736</t>
  </si>
  <si>
    <t>0.0459</t>
  </si>
  <si>
    <t>ALLO-GER-739</t>
  </si>
  <si>
    <t>ALLO-GER-741</t>
  </si>
  <si>
    <t>0.0444</t>
  </si>
  <si>
    <t>ALLO-GER-742</t>
  </si>
  <si>
    <t>0.0667</t>
  </si>
  <si>
    <t>ALLO-GER-743</t>
  </si>
  <si>
    <t>0.0390</t>
  </si>
  <si>
    <t>ALLO-GER-744</t>
  </si>
  <si>
    <t>0.0392</t>
  </si>
  <si>
    <t>ALLO-GER-745</t>
  </si>
  <si>
    <t>ALLO-GER-746</t>
  </si>
  <si>
    <t>ALLO-GER-747</t>
  </si>
  <si>
    <t>ALLO-GER-748</t>
  </si>
  <si>
    <t>0.0470</t>
  </si>
  <si>
    <t>ALLO-GER-605</t>
  </si>
  <si>
    <t>ALLO-GER-607</t>
  </si>
  <si>
    <t>ALLO-GER-611</t>
  </si>
  <si>
    <t>ALLO-GER-612</t>
  </si>
  <si>
    <t>ALLO-GER-613</t>
  </si>
  <si>
    <t>ALLO-GER-614</t>
  </si>
  <si>
    <t>ALLO-GER-615</t>
  </si>
  <si>
    <t>ALLO-GER-616</t>
  </si>
  <si>
    <t>ALLO-GER-617</t>
  </si>
  <si>
    <t>ALLO-GER-618</t>
  </si>
  <si>
    <t>ALLO-GER-619</t>
  </si>
  <si>
    <t>MEGACHILE</t>
  </si>
  <si>
    <t>ALLO-GER-629</t>
  </si>
  <si>
    <t>ALLO-GER-630</t>
  </si>
  <si>
    <t>ALLO-GER-631</t>
  </si>
  <si>
    <t>ALLO-GER-633</t>
  </si>
  <si>
    <t>ALLO-GER-634</t>
  </si>
  <si>
    <t>ALLO-GER-635</t>
  </si>
  <si>
    <t>ALLO-GER-636</t>
  </si>
  <si>
    <t>ALLO-GER-637</t>
  </si>
  <si>
    <t>ALLO-GER-638</t>
  </si>
  <si>
    <t>ALLO-GER-639</t>
  </si>
  <si>
    <t>ALLO-GER-640</t>
  </si>
  <si>
    <t>ALLO-GER-641</t>
  </si>
  <si>
    <t>ALLO-GER-642</t>
  </si>
  <si>
    <t>ALLO-GER-653</t>
  </si>
  <si>
    <t>ALLO-GER-655</t>
  </si>
  <si>
    <t>ALLO-GER-656</t>
  </si>
  <si>
    <t>ALLO-GER-657</t>
  </si>
  <si>
    <t>ALLO-GER-658</t>
  </si>
  <si>
    <t>ALLO-GER-659</t>
  </si>
  <si>
    <t>ALLO-GER-660</t>
  </si>
  <si>
    <t>ALLO-GER-661</t>
  </si>
  <si>
    <t>ALLO-GER-662</t>
  </si>
  <si>
    <t>ALLO-GER-663</t>
  </si>
  <si>
    <t>ALLO-GER-664</t>
  </si>
  <si>
    <t>ALLO-GER-665</t>
  </si>
  <si>
    <t>ALLO-GER-674</t>
  </si>
  <si>
    <t>ALLO-GER-676</t>
  </si>
  <si>
    <t>ALLO-GER-677</t>
  </si>
  <si>
    <t>ALLO-GER-680</t>
  </si>
  <si>
    <t>ALLO-GER-681</t>
  </si>
  <si>
    <t>ALLO-GER-682</t>
  </si>
  <si>
    <t>ALLO-GER-683</t>
  </si>
  <si>
    <t>ALLO-GER-684</t>
  </si>
  <si>
    <t>ALLO-GER-685</t>
  </si>
  <si>
    <t>ALLO-GER-686</t>
  </si>
  <si>
    <t>ALLO-GER-687</t>
  </si>
  <si>
    <t>ALLO-GER-688</t>
  </si>
  <si>
    <t>ALLO-GER-720</t>
  </si>
  <si>
    <t>ALLO-GER-725</t>
  </si>
  <si>
    <t>ALLO-GER-726</t>
  </si>
  <si>
    <t>ALLO-GER-727</t>
  </si>
  <si>
    <t>ALLO-GER-728</t>
  </si>
  <si>
    <t>ALLO-GER-729</t>
  </si>
  <si>
    <t>ALLO-GER-730</t>
  </si>
  <si>
    <t>ALLO-GER-731</t>
  </si>
  <si>
    <t>ALLO-GER-732</t>
  </si>
  <si>
    <t>ALLO-GER-733</t>
  </si>
  <si>
    <t>ALLO-GER-734</t>
  </si>
  <si>
    <t>0.0580</t>
  </si>
  <si>
    <t>0.0490</t>
  </si>
  <si>
    <t>0.0500</t>
  </si>
  <si>
    <t>0.0462</t>
  </si>
  <si>
    <t>0.0484</t>
  </si>
  <si>
    <t>0.0541</t>
  </si>
  <si>
    <t>0.0383</t>
  </si>
  <si>
    <t>0.0437</t>
  </si>
  <si>
    <t>0.0452</t>
  </si>
  <si>
    <t>0.0467</t>
  </si>
  <si>
    <t>0.0686</t>
  </si>
  <si>
    <t>0.0706</t>
  </si>
  <si>
    <t>0.0538</t>
  </si>
  <si>
    <t>ABDOMEN LOST</t>
  </si>
  <si>
    <t>0.0508</t>
  </si>
  <si>
    <t>0.0477</t>
  </si>
  <si>
    <t>0.0447</t>
  </si>
  <si>
    <t>0.0657</t>
  </si>
  <si>
    <t>0.0659</t>
  </si>
  <si>
    <t>0.0656</t>
  </si>
  <si>
    <t>0.0480</t>
  </si>
  <si>
    <t>0.0440</t>
  </si>
  <si>
    <t>0.0497</t>
  </si>
  <si>
    <t>0.0464</t>
  </si>
  <si>
    <t>0.0445</t>
  </si>
  <si>
    <t>0.0587</t>
  </si>
  <si>
    <t>0.0486</t>
  </si>
  <si>
    <t>0.0412</t>
  </si>
  <si>
    <t>0.0457</t>
  </si>
  <si>
    <t>0.0502</t>
  </si>
  <si>
    <t>0.0519</t>
  </si>
  <si>
    <t>ALLO-GER-749</t>
  </si>
  <si>
    <t>ALLO-GER-750</t>
  </si>
  <si>
    <t>ALLO-GER-751</t>
  </si>
  <si>
    <t>ALLO-GER-752</t>
  </si>
  <si>
    <t>ALLO-GER-753</t>
  </si>
  <si>
    <t>ALLO-GER-754</t>
  </si>
  <si>
    <t>ALLO-GER-755</t>
  </si>
  <si>
    <t>ALLO-GER-756</t>
  </si>
  <si>
    <t>ALLO-GER-757</t>
  </si>
  <si>
    <t>ALLO-GER-758</t>
  </si>
  <si>
    <t>0.0454</t>
  </si>
  <si>
    <t>ALLO-GER-759</t>
  </si>
  <si>
    <t>0.0391</t>
  </si>
  <si>
    <t>ALLO-GER-760</t>
  </si>
  <si>
    <t>ALLO-GER-761</t>
  </si>
  <si>
    <t>ALLO-GER-762</t>
  </si>
  <si>
    <t>ALLO-GER-781</t>
  </si>
  <si>
    <t>ALLO-GER-782</t>
  </si>
  <si>
    <t>ALLO-GER-783</t>
  </si>
  <si>
    <t>ALLO-GER-784</t>
  </si>
  <si>
    <t>ALLO-GER-785</t>
  </si>
  <si>
    <t>0.0399</t>
  </si>
  <si>
    <t>ALLO-GER-804</t>
  </si>
  <si>
    <t>ALLO-GER-805</t>
  </si>
  <si>
    <t>0.0456</t>
  </si>
  <si>
    <t>ALLO-GER-806</t>
  </si>
  <si>
    <t>ALLO-GER-807</t>
  </si>
  <si>
    <t>ALLO-GER-808</t>
  </si>
  <si>
    <t>0.0410</t>
  </si>
  <si>
    <t>ALLO-GER-827</t>
  </si>
  <si>
    <t>ALLO-GER-828</t>
  </si>
  <si>
    <t>0.0478</t>
  </si>
  <si>
    <t>ALLO-GER-829</t>
  </si>
  <si>
    <t>ALLO-GER-830</t>
  </si>
  <si>
    <t>ALLO-GER-831</t>
  </si>
  <si>
    <t>ALLO-GER-850</t>
  </si>
  <si>
    <t>ALLO-GER-851</t>
  </si>
  <si>
    <t>ALLO-GER-852</t>
  </si>
  <si>
    <t>ALLO-GER-853</t>
  </si>
  <si>
    <t>0.0458</t>
  </si>
  <si>
    <t>ALLO-GER-854</t>
  </si>
  <si>
    <t>ALLO-GER-873</t>
  </si>
  <si>
    <t>ALLO-GER-874</t>
  </si>
  <si>
    <t>0.0455</t>
  </si>
  <si>
    <t>ALLO-GER-875</t>
  </si>
  <si>
    <t>ALLO-GER-876</t>
  </si>
  <si>
    <t>ALLO-GER-877</t>
  </si>
  <si>
    <t>ALLO-GER-896</t>
  </si>
  <si>
    <t>0.0404</t>
  </si>
  <si>
    <t>ALLO-GER-897</t>
  </si>
  <si>
    <t>ALLO-GER-898</t>
  </si>
  <si>
    <t>0.0449</t>
  </si>
  <si>
    <t>ALLO-GER-899</t>
  </si>
  <si>
    <t>ALLO-GER-900</t>
  </si>
  <si>
    <t>0.0386</t>
  </si>
  <si>
    <t xml:space="preserve">Location </t>
  </si>
  <si>
    <t>Location Latitude</t>
  </si>
  <si>
    <t>Location Longitude</t>
  </si>
  <si>
    <t>Specimen code</t>
  </si>
  <si>
    <t>Order</t>
  </si>
  <si>
    <t>comment</t>
  </si>
  <si>
    <t>Pin weight (g)</t>
  </si>
  <si>
    <t>ITD</t>
  </si>
  <si>
    <t>Royal Fort Gardens</t>
  </si>
  <si>
    <t>BRIS_002</t>
  </si>
  <si>
    <t>Hymenoptera</t>
  </si>
  <si>
    <t>Apidae</t>
  </si>
  <si>
    <t>lapidarius</t>
  </si>
  <si>
    <t>male</t>
  </si>
  <si>
    <t>BRIS_007</t>
  </si>
  <si>
    <t>BRIS_012</t>
  </si>
  <si>
    <t>BRIS_023</t>
  </si>
  <si>
    <t>BRIS_028</t>
  </si>
  <si>
    <t>BRIS_036</t>
  </si>
  <si>
    <t>Stoke Bishop Halls</t>
  </si>
  <si>
    <t>BRIS_051</t>
  </si>
  <si>
    <t>BRIS_001</t>
  </si>
  <si>
    <t>worker</t>
  </si>
  <si>
    <t>BRIS_004</t>
  </si>
  <si>
    <t>BRIS_005</t>
  </si>
  <si>
    <t>BRIS_006</t>
  </si>
  <si>
    <t>BRIS_008</t>
  </si>
  <si>
    <t>BRIS_010</t>
  </si>
  <si>
    <t>BRIS_011</t>
  </si>
  <si>
    <t>BRIS_027</t>
  </si>
  <si>
    <t>BRIS_041</t>
  </si>
  <si>
    <t>lucorum</t>
  </si>
  <si>
    <t>BRIS_042</t>
  </si>
  <si>
    <t>BRIS_037</t>
  </si>
  <si>
    <t>BRIS_043</t>
  </si>
  <si>
    <t>BRIS_038</t>
  </si>
  <si>
    <t>pascuorum</t>
  </si>
  <si>
    <t>BRIS_044</t>
  </si>
  <si>
    <t>BRIS_024</t>
  </si>
  <si>
    <t>BRIS_039</t>
  </si>
  <si>
    <t>BRIS_040</t>
  </si>
  <si>
    <t>BRIS_045</t>
  </si>
  <si>
    <t>BRIS_046</t>
  </si>
  <si>
    <t>BRIS_047</t>
  </si>
  <si>
    <t>BRIS_048</t>
  </si>
  <si>
    <t>BRIS_049</t>
  </si>
  <si>
    <t>BRIS_050</t>
  </si>
  <si>
    <t>BRIS_003</t>
  </si>
  <si>
    <t>terrestris</t>
  </si>
  <si>
    <t>BRIS_009</t>
  </si>
  <si>
    <t>BRIS_014</t>
  </si>
  <si>
    <t>BRIS_015</t>
  </si>
  <si>
    <t>BRIS_017</t>
  </si>
  <si>
    <t>BRIS_018</t>
  </si>
  <si>
    <t>BRIS_019</t>
  </si>
  <si>
    <t>BRIS_020</t>
  </si>
  <si>
    <t>BRIS_021</t>
  </si>
  <si>
    <t>BRIS_022</t>
  </si>
  <si>
    <t>BRIS_025</t>
  </si>
  <si>
    <t>BRIS_026</t>
  </si>
  <si>
    <t>BRIS_030</t>
  </si>
  <si>
    <t>BRIS_031</t>
  </si>
  <si>
    <t>BRIS_032</t>
  </si>
  <si>
    <t>BRIS_033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</si>
</sst>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3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2"/>
      <name val="Arial"/>
      <family val="2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6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quotePrefix="1"/>
    <xf numFmtId="14" fontId="0" fillId="0" borderId="0" xfId="0" quotePrefix="1" applyNumberFormat="1"/>
    <xf numFmtId="0" fontId="0" fillId="0" borderId="0" xfId="0" applyFont="1"/>
    <xf numFmtId="0" fontId="0" fillId="2" borderId="0" xfId="0" applyFont="1" applyFill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4" fillId="2" borderId="0" xfId="0" applyFont="1" applyFill="1"/>
    <xf numFmtId="0" fontId="5" fillId="3" borderId="0" xfId="0" applyFont="1" applyFill="1"/>
    <xf numFmtId="0" fontId="0" fillId="0" borderId="0" xfId="0" applyFill="1"/>
    <xf numFmtId="0" fontId="0" fillId="4" borderId="0" xfId="0" applyFill="1"/>
    <xf numFmtId="2" fontId="0" fillId="0" borderId="0" xfId="0" applyNumberFormat="1"/>
    <xf numFmtId="0" fontId="0" fillId="5" borderId="0" xfId="0" applyFill="1"/>
    <xf numFmtId="0" fontId="0" fillId="0" borderId="1" xfId="0" applyBorder="1"/>
    <xf numFmtId="2" fontId="0" fillId="0" borderId="1" xfId="0" applyNumberFormat="1" applyBorder="1"/>
    <xf numFmtId="0" fontId="0" fillId="5" borderId="1" xfId="0" applyFill="1" applyBorder="1"/>
    <xf numFmtId="0" fontId="6" fillId="0" borderId="1" xfId="0" applyFont="1" applyBorder="1"/>
    <xf numFmtId="0" fontId="0" fillId="0" borderId="1" xfId="0" applyNumberFormat="1" applyBorder="1"/>
    <xf numFmtId="0" fontId="0" fillId="4" borderId="1" xfId="0" applyFill="1" applyBorder="1"/>
    <xf numFmtId="0" fontId="0" fillId="0" borderId="1" xfId="0" applyFill="1" applyBorder="1"/>
    <xf numFmtId="0" fontId="0" fillId="0" borderId="0" xfId="0" applyBorder="1"/>
    <xf numFmtId="0" fontId="0" fillId="3" borderId="1" xfId="0" applyFill="1" applyBorder="1"/>
    <xf numFmtId="0" fontId="0" fillId="3" borderId="0" xfId="0" applyFill="1"/>
    <xf numFmtId="14" fontId="0" fillId="3" borderId="0" xfId="0" applyNumberFormat="1" applyFill="1"/>
    <xf numFmtId="2" fontId="0" fillId="3" borderId="0" xfId="0" applyNumberFormat="1" applyFill="1"/>
    <xf numFmtId="2" fontId="0" fillId="3" borderId="1" xfId="0" applyNumberFormat="1" applyFill="1" applyBorder="1"/>
    <xf numFmtId="0" fontId="7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/>
    </xf>
    <xf numFmtId="14" fontId="11" fillId="0" borderId="0" xfId="0" applyNumberFormat="1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164" fontId="11" fillId="0" borderId="0" xfId="0" applyNumberFormat="1" applyFont="1" applyFill="1" applyAlignment="1">
      <alignment horizontal="center" vertical="center"/>
    </xf>
    <xf numFmtId="0" fontId="12" fillId="0" borderId="0" xfId="0" applyFont="1" applyAlignment="1">
      <alignment horizontal="center"/>
    </xf>
    <xf numFmtId="0" fontId="10" fillId="0" borderId="0" xfId="0" applyFont="1"/>
    <xf numFmtId="14" fontId="10" fillId="0" borderId="0" xfId="0" applyNumberFormat="1" applyFont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Germany!$M$1</c:f>
              <c:strCache>
                <c:ptCount val="1"/>
                <c:pt idx="0">
                  <c:v>ITD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Germany!$L$2:$L$816</c:f>
              <c:strCache>
                <c:ptCount val="792"/>
                <c:pt idx="235">
                  <c:v>0.17</c:v>
                </c:pt>
                <c:pt idx="236">
                  <c:v>0.1024</c:v>
                </c:pt>
                <c:pt idx="237">
                  <c:v>0.0942</c:v>
                </c:pt>
                <c:pt idx="238">
                  <c:v>0.2495</c:v>
                </c:pt>
                <c:pt idx="239">
                  <c:v>0.1475</c:v>
                </c:pt>
                <c:pt idx="240">
                  <c:v>0.1134</c:v>
                </c:pt>
                <c:pt idx="241">
                  <c:v>0.1556</c:v>
                </c:pt>
                <c:pt idx="242">
                  <c:v>0.1079</c:v>
                </c:pt>
                <c:pt idx="243">
                  <c:v>0.0879</c:v>
                </c:pt>
                <c:pt idx="244">
                  <c:v>0.083</c:v>
                </c:pt>
                <c:pt idx="245">
                  <c:v>0.1587</c:v>
                </c:pt>
                <c:pt idx="246">
                  <c:v>0.1143</c:v>
                </c:pt>
                <c:pt idx="247">
                  <c:v>0.0993</c:v>
                </c:pt>
                <c:pt idx="248">
                  <c:v>0.0832</c:v>
                </c:pt>
                <c:pt idx="249">
                  <c:v>0.1128</c:v>
                </c:pt>
                <c:pt idx="250">
                  <c:v>0.1294</c:v>
                </c:pt>
                <c:pt idx="251">
                  <c:v>0.1719</c:v>
                </c:pt>
                <c:pt idx="252">
                  <c:v>0.163</c:v>
                </c:pt>
                <c:pt idx="253">
                  <c:v>0.0948</c:v>
                </c:pt>
                <c:pt idx="254">
                  <c:v>0.1142</c:v>
                </c:pt>
                <c:pt idx="255">
                  <c:v>0.0649</c:v>
                </c:pt>
                <c:pt idx="256">
                  <c:v>0.1791</c:v>
                </c:pt>
                <c:pt idx="257">
                  <c:v>0.0768</c:v>
                </c:pt>
                <c:pt idx="258">
                  <c:v>0.0652</c:v>
                </c:pt>
                <c:pt idx="259">
                  <c:v>0.1091</c:v>
                </c:pt>
                <c:pt idx="260">
                  <c:v>0.1149</c:v>
                </c:pt>
                <c:pt idx="261">
                  <c:v>0.0775</c:v>
                </c:pt>
                <c:pt idx="262">
                  <c:v>0.0993</c:v>
                </c:pt>
                <c:pt idx="263">
                  <c:v>0.086</c:v>
                </c:pt>
                <c:pt idx="264">
                  <c:v>0.1022</c:v>
                </c:pt>
                <c:pt idx="265">
                  <c:v>0.0974</c:v>
                </c:pt>
                <c:pt idx="266">
                  <c:v>0.0773</c:v>
                </c:pt>
                <c:pt idx="267">
                  <c:v>0.1012</c:v>
                </c:pt>
                <c:pt idx="268">
                  <c:v>0.0826</c:v>
                </c:pt>
                <c:pt idx="269">
                  <c:v>0.0964</c:v>
                </c:pt>
                <c:pt idx="270">
                  <c:v>0.1042</c:v>
                </c:pt>
                <c:pt idx="271">
                  <c:v>0.1102</c:v>
                </c:pt>
                <c:pt idx="272">
                  <c:v>0.1033</c:v>
                </c:pt>
                <c:pt idx="273">
                  <c:v>0.076</c:v>
                </c:pt>
                <c:pt idx="274">
                  <c:v>0.1096</c:v>
                </c:pt>
                <c:pt idx="275">
                  <c:v>0.1046</c:v>
                </c:pt>
                <c:pt idx="276">
                  <c:v>0.0921</c:v>
                </c:pt>
                <c:pt idx="277">
                  <c:v>0.0919</c:v>
                </c:pt>
                <c:pt idx="278">
                  <c:v>0.1042</c:v>
                </c:pt>
                <c:pt idx="279">
                  <c:v>0.069</c:v>
                </c:pt>
                <c:pt idx="280">
                  <c:v>0.1188</c:v>
                </c:pt>
                <c:pt idx="281">
                  <c:v>0.1118</c:v>
                </c:pt>
                <c:pt idx="282">
                  <c:v>0.0853</c:v>
                </c:pt>
                <c:pt idx="283">
                  <c:v>0.1033</c:v>
                </c:pt>
                <c:pt idx="284">
                  <c:v>0.0985</c:v>
                </c:pt>
                <c:pt idx="285">
                  <c:v>0.1252</c:v>
                </c:pt>
                <c:pt idx="286">
                  <c:v>0.0938</c:v>
                </c:pt>
                <c:pt idx="287">
                  <c:v>0.0961</c:v>
                </c:pt>
                <c:pt idx="288">
                  <c:v>0.1134</c:v>
                </c:pt>
                <c:pt idx="289">
                  <c:v>0.118</c:v>
                </c:pt>
                <c:pt idx="290">
                  <c:v>0.1189</c:v>
                </c:pt>
                <c:pt idx="291">
                  <c:v>0.0664</c:v>
                </c:pt>
                <c:pt idx="293">
                  <c:v>0.0806</c:v>
                </c:pt>
                <c:pt idx="294">
                  <c:v>0.1039</c:v>
                </c:pt>
                <c:pt idx="295">
                  <c:v>0.0974</c:v>
                </c:pt>
                <c:pt idx="296">
                  <c:v>0.1051</c:v>
                </c:pt>
                <c:pt idx="297">
                  <c:v>0.0856</c:v>
                </c:pt>
                <c:pt idx="298">
                  <c:v>0.0772</c:v>
                </c:pt>
                <c:pt idx="299">
                  <c:v>0.2783</c:v>
                </c:pt>
                <c:pt idx="300">
                  <c:v>0.0583</c:v>
                </c:pt>
                <c:pt idx="301">
                  <c:v>0.0894</c:v>
                </c:pt>
                <c:pt idx="302">
                  <c:v>0.0941</c:v>
                </c:pt>
                <c:pt idx="303">
                  <c:v>0.077</c:v>
                </c:pt>
                <c:pt idx="304">
                  <c:v>0.1115</c:v>
                </c:pt>
                <c:pt idx="305">
                  <c:v>0.0795</c:v>
                </c:pt>
                <c:pt idx="306">
                  <c:v>0.1097</c:v>
                </c:pt>
                <c:pt idx="307">
                  <c:v>0.1419</c:v>
                </c:pt>
                <c:pt idx="308">
                  <c:v>0.0916</c:v>
                </c:pt>
                <c:pt idx="309">
                  <c:v>0.2558</c:v>
                </c:pt>
                <c:pt idx="310">
                  <c:v>0.1627</c:v>
                </c:pt>
                <c:pt idx="311">
                  <c:v>0.1045</c:v>
                </c:pt>
                <c:pt idx="312">
                  <c:v>0.0729</c:v>
                </c:pt>
                <c:pt idx="313">
                  <c:v>0.1649</c:v>
                </c:pt>
                <c:pt idx="314">
                  <c:v>0.0998</c:v>
                </c:pt>
                <c:pt idx="315">
                  <c:v>0.0903</c:v>
                </c:pt>
                <c:pt idx="316">
                  <c:v>0.0966</c:v>
                </c:pt>
                <c:pt idx="317">
                  <c:v>0.1262</c:v>
                </c:pt>
                <c:pt idx="318">
                  <c:v>0.1108</c:v>
                </c:pt>
                <c:pt idx="319">
                  <c:v>0.0914</c:v>
                </c:pt>
                <c:pt idx="320">
                  <c:v>0.0719</c:v>
                </c:pt>
                <c:pt idx="321">
                  <c:v>0.2045</c:v>
                </c:pt>
                <c:pt idx="322">
                  <c:v>0.0989</c:v>
                </c:pt>
                <c:pt idx="323">
                  <c:v>0.0809</c:v>
                </c:pt>
                <c:pt idx="324">
                  <c:v>0.1656</c:v>
                </c:pt>
                <c:pt idx="325">
                  <c:v>0.0986</c:v>
                </c:pt>
                <c:pt idx="326">
                  <c:v>0.0859</c:v>
                </c:pt>
                <c:pt idx="327">
                  <c:v>0.1056</c:v>
                </c:pt>
                <c:pt idx="328">
                  <c:v>0.0972</c:v>
                </c:pt>
                <c:pt idx="329">
                  <c:v>0.0866</c:v>
                </c:pt>
                <c:pt idx="330">
                  <c:v>0.0892</c:v>
                </c:pt>
                <c:pt idx="331">
                  <c:v>0.0898</c:v>
                </c:pt>
                <c:pt idx="332">
                  <c:v>0.0997</c:v>
                </c:pt>
                <c:pt idx="333">
                  <c:v>0.0962</c:v>
                </c:pt>
                <c:pt idx="334">
                  <c:v>0.0755</c:v>
                </c:pt>
                <c:pt idx="335">
                  <c:v>0.1541</c:v>
                </c:pt>
                <c:pt idx="336">
                  <c:v>0.0763</c:v>
                </c:pt>
                <c:pt idx="337">
                  <c:v>0.1013</c:v>
                </c:pt>
                <c:pt idx="338">
                  <c:v>0.1153</c:v>
                </c:pt>
                <c:pt idx="339">
                  <c:v>0.0957</c:v>
                </c:pt>
                <c:pt idx="340">
                  <c:v>0.1162</c:v>
                </c:pt>
                <c:pt idx="341">
                  <c:v>0.1083</c:v>
                </c:pt>
                <c:pt idx="342">
                  <c:v>0.0735</c:v>
                </c:pt>
                <c:pt idx="343">
                  <c:v>0.0916</c:v>
                </c:pt>
                <c:pt idx="344">
                  <c:v>0.0635</c:v>
                </c:pt>
                <c:pt idx="345">
                  <c:v>0.0735</c:v>
                </c:pt>
                <c:pt idx="346">
                  <c:v>0.0803</c:v>
                </c:pt>
                <c:pt idx="347">
                  <c:v>0.1428</c:v>
                </c:pt>
                <c:pt idx="348">
                  <c:v>0.0898</c:v>
                </c:pt>
                <c:pt idx="349">
                  <c:v>0.1577</c:v>
                </c:pt>
                <c:pt idx="350">
                  <c:v>0.1232</c:v>
                </c:pt>
                <c:pt idx="351">
                  <c:v>0.2617</c:v>
                </c:pt>
                <c:pt idx="352">
                  <c:v>0.1293</c:v>
                </c:pt>
                <c:pt idx="353">
                  <c:v>0.127</c:v>
                </c:pt>
                <c:pt idx="354">
                  <c:v>0.1398</c:v>
                </c:pt>
                <c:pt idx="355">
                  <c:v>0.2074</c:v>
                </c:pt>
                <c:pt idx="356">
                  <c:v>0.0829</c:v>
                </c:pt>
                <c:pt idx="357">
                  <c:v>0.0865</c:v>
                </c:pt>
                <c:pt idx="358">
                  <c:v>0.0781</c:v>
                </c:pt>
                <c:pt idx="359">
                  <c:v>0.0735</c:v>
                </c:pt>
                <c:pt idx="360">
                  <c:v>0.0767</c:v>
                </c:pt>
                <c:pt idx="361">
                  <c:v>0.2629</c:v>
                </c:pt>
                <c:pt idx="362">
                  <c:v>0.2433</c:v>
                </c:pt>
                <c:pt idx="363">
                  <c:v>0.0631</c:v>
                </c:pt>
                <c:pt idx="365">
                  <c:v>0.0620</c:v>
                </c:pt>
                <c:pt idx="366">
                  <c:v>0.0841</c:v>
                </c:pt>
                <c:pt idx="368">
                  <c:v>0.0815</c:v>
                </c:pt>
                <c:pt idx="372">
                  <c:v>0.0696</c:v>
                </c:pt>
                <c:pt idx="376">
                  <c:v>0.1442</c:v>
                </c:pt>
                <c:pt idx="379">
                  <c:v>0.0830</c:v>
                </c:pt>
                <c:pt idx="382">
                  <c:v>0.1240</c:v>
                </c:pt>
                <c:pt idx="383">
                  <c:v>0.1658</c:v>
                </c:pt>
                <c:pt idx="384">
                  <c:v>0.0957</c:v>
                </c:pt>
                <c:pt idx="385">
                  <c:v>0.0772</c:v>
                </c:pt>
                <c:pt idx="387">
                  <c:v>0.0961</c:v>
                </c:pt>
                <c:pt idx="389">
                  <c:v>0.0736</c:v>
                </c:pt>
                <c:pt idx="390">
                  <c:v>0.1113</c:v>
                </c:pt>
                <c:pt idx="392">
                  <c:v>0.0874</c:v>
                </c:pt>
                <c:pt idx="393">
                  <c:v>0.1046</c:v>
                </c:pt>
                <c:pt idx="394">
                  <c:v>0.0825</c:v>
                </c:pt>
                <c:pt idx="397">
                  <c:v>0.0939</c:v>
                </c:pt>
                <c:pt idx="401">
                  <c:v>0.0955</c:v>
                </c:pt>
                <c:pt idx="405">
                  <c:v>0.1011</c:v>
                </c:pt>
                <c:pt idx="407">
                  <c:v>0.0634</c:v>
                </c:pt>
                <c:pt idx="409">
                  <c:v>0.0996</c:v>
                </c:pt>
                <c:pt idx="410">
                  <c:v>0.07</c:v>
                </c:pt>
                <c:pt idx="435">
                  <c:v>0.0701</c:v>
                </c:pt>
                <c:pt idx="436">
                  <c:v>0.0623</c:v>
                </c:pt>
                <c:pt idx="437">
                  <c:v>0.0597</c:v>
                </c:pt>
                <c:pt idx="438">
                  <c:v>0.0585</c:v>
                </c:pt>
                <c:pt idx="439">
                  <c:v>0.0622</c:v>
                </c:pt>
                <c:pt idx="440">
                  <c:v>0.0762</c:v>
                </c:pt>
                <c:pt idx="441">
                  <c:v>0.0597</c:v>
                </c:pt>
                <c:pt idx="442">
                  <c:v>0.0809</c:v>
                </c:pt>
                <c:pt idx="443">
                  <c:v>0.0939</c:v>
                </c:pt>
                <c:pt idx="444">
                  <c:v>0.0567</c:v>
                </c:pt>
                <c:pt idx="445">
                  <c:v>0.0598</c:v>
                </c:pt>
                <c:pt idx="446">
                  <c:v>0.0809</c:v>
                </c:pt>
                <c:pt idx="447">
                  <c:v>0.0578</c:v>
                </c:pt>
                <c:pt idx="448">
                  <c:v>0.0604</c:v>
                </c:pt>
                <c:pt idx="449">
                  <c:v>0.0739</c:v>
                </c:pt>
                <c:pt idx="450">
                  <c:v>0.0693</c:v>
                </c:pt>
                <c:pt idx="451">
                  <c:v>0.0562</c:v>
                </c:pt>
                <c:pt idx="452">
                  <c:v>0.0560</c:v>
                </c:pt>
                <c:pt idx="453">
                  <c:v>0.0609</c:v>
                </c:pt>
                <c:pt idx="454">
                  <c:v>0.0724</c:v>
                </c:pt>
                <c:pt idx="455">
                  <c:v>0.0589</c:v>
                </c:pt>
                <c:pt idx="456">
                  <c:v>0.0755</c:v>
                </c:pt>
                <c:pt idx="457">
                  <c:v>0.0609</c:v>
                </c:pt>
                <c:pt idx="458">
                  <c:v>0.0673</c:v>
                </c:pt>
                <c:pt idx="459">
                  <c:v>0.0698</c:v>
                </c:pt>
                <c:pt idx="460">
                  <c:v>0.0853</c:v>
                </c:pt>
                <c:pt idx="461">
                  <c:v>0.0696</c:v>
                </c:pt>
                <c:pt idx="462">
                  <c:v>0.0611</c:v>
                </c:pt>
                <c:pt idx="463">
                  <c:v>0.0559</c:v>
                </c:pt>
                <c:pt idx="464">
                  <c:v>0.0639</c:v>
                </c:pt>
                <c:pt idx="465">
                  <c:v>0.0569</c:v>
                </c:pt>
                <c:pt idx="466">
                  <c:v>0.0732</c:v>
                </c:pt>
                <c:pt idx="467">
                  <c:v>0.0720</c:v>
                </c:pt>
                <c:pt idx="468">
                  <c:v>0.0602</c:v>
                </c:pt>
                <c:pt idx="469">
                  <c:v>0.0777</c:v>
                </c:pt>
                <c:pt idx="470">
                  <c:v>0.0568</c:v>
                </c:pt>
                <c:pt idx="471">
                  <c:v>0.0796</c:v>
                </c:pt>
                <c:pt idx="472">
                  <c:v>0.0669</c:v>
                </c:pt>
                <c:pt idx="473">
                  <c:v>0.0719</c:v>
                </c:pt>
                <c:pt idx="474">
                  <c:v>0.0571</c:v>
                </c:pt>
                <c:pt idx="475">
                  <c:v>0.0775</c:v>
                </c:pt>
                <c:pt idx="476">
                  <c:v>0.0675</c:v>
                </c:pt>
                <c:pt idx="477">
                  <c:v>0.0628</c:v>
                </c:pt>
                <c:pt idx="478">
                  <c:v>0.0654</c:v>
                </c:pt>
                <c:pt idx="479">
                  <c:v>0.0793</c:v>
                </c:pt>
                <c:pt idx="480">
                  <c:v>0.0468</c:v>
                </c:pt>
                <c:pt idx="481">
                  <c:v>0.0533</c:v>
                </c:pt>
                <c:pt idx="482">
                  <c:v>0.0561</c:v>
                </c:pt>
                <c:pt idx="483">
                  <c:v>0.0501</c:v>
                </c:pt>
                <c:pt idx="484">
                  <c:v>0.0471</c:v>
                </c:pt>
                <c:pt idx="485">
                  <c:v>0.0759</c:v>
                </c:pt>
                <c:pt idx="486">
                  <c:v>0.0830</c:v>
                </c:pt>
                <c:pt idx="487">
                  <c:v>0.0640</c:v>
                </c:pt>
                <c:pt idx="488">
                  <c:v>0.0495</c:v>
                </c:pt>
                <c:pt idx="489">
                  <c:v>0.0460</c:v>
                </c:pt>
                <c:pt idx="490">
                  <c:v>0.0461</c:v>
                </c:pt>
                <c:pt idx="491">
                  <c:v>0.0448</c:v>
                </c:pt>
                <c:pt idx="492">
                  <c:v>0.0678</c:v>
                </c:pt>
                <c:pt idx="493">
                  <c:v>0.0473</c:v>
                </c:pt>
                <c:pt idx="494">
                  <c:v>0.0471</c:v>
                </c:pt>
                <c:pt idx="495">
                  <c:v>0.0422</c:v>
                </c:pt>
                <c:pt idx="496">
                  <c:v>0.0450</c:v>
                </c:pt>
                <c:pt idx="497">
                  <c:v>0.0489</c:v>
                </c:pt>
                <c:pt idx="498">
                  <c:v>0.0479</c:v>
                </c:pt>
                <c:pt idx="499">
                  <c:v>0.0728</c:v>
                </c:pt>
                <c:pt idx="500">
                  <c:v>0.0712</c:v>
                </c:pt>
                <c:pt idx="501">
                  <c:v>0.0435</c:v>
                </c:pt>
                <c:pt idx="502">
                  <c:v>0.0524</c:v>
                </c:pt>
                <c:pt idx="503">
                  <c:v>0.0496</c:v>
                </c:pt>
                <c:pt idx="504">
                  <c:v>0.0408</c:v>
                </c:pt>
                <c:pt idx="505">
                  <c:v>0.0771</c:v>
                </c:pt>
                <c:pt idx="506">
                  <c:v>0.0646</c:v>
                </c:pt>
                <c:pt idx="507">
                  <c:v>0.0619</c:v>
                </c:pt>
                <c:pt idx="508">
                  <c:v>0.0687</c:v>
                </c:pt>
                <c:pt idx="509">
                  <c:v>0.0711</c:v>
                </c:pt>
                <c:pt idx="510">
                  <c:v>0.0531</c:v>
                </c:pt>
                <c:pt idx="511">
                  <c:v>0.0646</c:v>
                </c:pt>
                <c:pt idx="512">
                  <c:v>0.0545</c:v>
                </c:pt>
                <c:pt idx="513">
                  <c:v>0.0698</c:v>
                </c:pt>
                <c:pt idx="514">
                  <c:v>0.0579</c:v>
                </c:pt>
                <c:pt idx="515">
                  <c:v>0.0691</c:v>
                </c:pt>
                <c:pt idx="516">
                  <c:v>0.0408</c:v>
                </c:pt>
                <c:pt idx="517">
                  <c:v>0.0661</c:v>
                </c:pt>
                <c:pt idx="518">
                  <c:v>0.0720</c:v>
                </c:pt>
                <c:pt idx="519">
                  <c:v>0.0485</c:v>
                </c:pt>
                <c:pt idx="520">
                  <c:v>0.0584</c:v>
                </c:pt>
                <c:pt idx="521">
                  <c:v>0.0685</c:v>
                </c:pt>
                <c:pt idx="522">
                  <c:v>0.0515</c:v>
                </c:pt>
                <c:pt idx="523">
                  <c:v>0.0626</c:v>
                </c:pt>
                <c:pt idx="524">
                  <c:v>0.0812</c:v>
                </c:pt>
                <c:pt idx="525">
                  <c:v>0.0415</c:v>
                </c:pt>
                <c:pt idx="526">
                  <c:v>0.0560</c:v>
                </c:pt>
                <c:pt idx="527">
                  <c:v>0.0421</c:v>
                </c:pt>
                <c:pt idx="528">
                  <c:v>0.0782</c:v>
                </c:pt>
                <c:pt idx="529">
                  <c:v>0.0556</c:v>
                </c:pt>
                <c:pt idx="530">
                  <c:v>0.0746</c:v>
                </c:pt>
                <c:pt idx="531">
                  <c:v>0.0740</c:v>
                </c:pt>
                <c:pt idx="532">
                  <c:v>0.0621</c:v>
                </c:pt>
                <c:pt idx="533">
                  <c:v>0.0645</c:v>
                </c:pt>
                <c:pt idx="534">
                  <c:v>0.0614</c:v>
                </c:pt>
                <c:pt idx="535">
                  <c:v>0.0891</c:v>
                </c:pt>
                <c:pt idx="536">
                  <c:v>0.0912</c:v>
                </c:pt>
                <c:pt idx="537">
                  <c:v>0.0423</c:v>
                </c:pt>
                <c:pt idx="538">
                  <c:v>0.0655</c:v>
                </c:pt>
                <c:pt idx="539">
                  <c:v>0.0618</c:v>
                </c:pt>
                <c:pt idx="540">
                  <c:v>0.0649</c:v>
                </c:pt>
                <c:pt idx="541">
                  <c:v>0.0461</c:v>
                </c:pt>
                <c:pt idx="542">
                  <c:v>0.0877</c:v>
                </c:pt>
                <c:pt idx="543">
                  <c:v>0.0728</c:v>
                </c:pt>
                <c:pt idx="544">
                  <c:v>0.0588</c:v>
                </c:pt>
                <c:pt idx="545">
                  <c:v>0.0831</c:v>
                </c:pt>
                <c:pt idx="546">
                  <c:v>0.0675</c:v>
                </c:pt>
                <c:pt idx="547">
                  <c:v>0.0600</c:v>
                </c:pt>
                <c:pt idx="548">
                  <c:v>0.0532</c:v>
                </c:pt>
                <c:pt idx="549">
                  <c:v>0.0716</c:v>
                </c:pt>
                <c:pt idx="550">
                  <c:v>0.0461</c:v>
                </c:pt>
                <c:pt idx="551">
                  <c:v>0.0774</c:v>
                </c:pt>
                <c:pt idx="552">
                  <c:v>0.0756</c:v>
                </c:pt>
                <c:pt idx="553">
                  <c:v>0.0428</c:v>
                </c:pt>
                <c:pt idx="554">
                  <c:v>0.0635</c:v>
                </c:pt>
                <c:pt idx="555">
                  <c:v>0.0576</c:v>
                </c:pt>
                <c:pt idx="556">
                  <c:v>0.0827</c:v>
                </c:pt>
                <c:pt idx="557">
                  <c:v>0.0476</c:v>
                </c:pt>
                <c:pt idx="558">
                  <c:v>0.0421</c:v>
                </c:pt>
                <c:pt idx="559">
                  <c:v>0.0434</c:v>
                </c:pt>
                <c:pt idx="560">
                  <c:v>0.0619</c:v>
                </c:pt>
                <c:pt idx="561">
                  <c:v>0.0572</c:v>
                </c:pt>
                <c:pt idx="562">
                  <c:v>0.0739</c:v>
                </c:pt>
                <c:pt idx="563">
                  <c:v>0.0819</c:v>
                </c:pt>
                <c:pt idx="564">
                  <c:v>0.0525</c:v>
                </c:pt>
                <c:pt idx="565">
                  <c:v>0.0600</c:v>
                </c:pt>
                <c:pt idx="566">
                  <c:v>0.0806</c:v>
                </c:pt>
                <c:pt idx="567">
                  <c:v>0.0450</c:v>
                </c:pt>
                <c:pt idx="568">
                  <c:v>0.0535</c:v>
                </c:pt>
                <c:pt idx="569">
                  <c:v>0.0780</c:v>
                </c:pt>
                <c:pt idx="570">
                  <c:v>0.0610</c:v>
                </c:pt>
                <c:pt idx="571">
                  <c:v>0.0511</c:v>
                </c:pt>
                <c:pt idx="572">
                  <c:v>0.0812</c:v>
                </c:pt>
                <c:pt idx="573">
                  <c:v>0.0784</c:v>
                </c:pt>
                <c:pt idx="574">
                  <c:v>0.0552</c:v>
                </c:pt>
                <c:pt idx="575">
                  <c:v>0.0671</c:v>
                </c:pt>
                <c:pt idx="576">
                  <c:v>0.0707</c:v>
                </c:pt>
                <c:pt idx="577">
                  <c:v>0.0645</c:v>
                </c:pt>
                <c:pt idx="578">
                  <c:v>0.0762</c:v>
                </c:pt>
                <c:pt idx="579">
                  <c:v>0.0549</c:v>
                </c:pt>
                <c:pt idx="580">
                  <c:v>0.0687</c:v>
                </c:pt>
                <c:pt idx="581">
                  <c:v>0.0506</c:v>
                </c:pt>
                <c:pt idx="582">
                  <c:v>0.0417</c:v>
                </c:pt>
                <c:pt idx="583">
                  <c:v>0.0411</c:v>
                </c:pt>
                <c:pt idx="584">
                  <c:v>0.0695</c:v>
                </c:pt>
                <c:pt idx="585">
                  <c:v>0.0640</c:v>
                </c:pt>
                <c:pt idx="586">
                  <c:v>0.0598</c:v>
                </c:pt>
                <c:pt idx="587">
                  <c:v>0.0553</c:v>
                </c:pt>
                <c:pt idx="588">
                  <c:v>0.0499</c:v>
                </c:pt>
                <c:pt idx="589">
                  <c:v>0.0505</c:v>
                </c:pt>
                <c:pt idx="590">
                  <c:v>0.0677</c:v>
                </c:pt>
                <c:pt idx="591">
                  <c:v>0.0681</c:v>
                </c:pt>
                <c:pt idx="592">
                  <c:v>0.0723</c:v>
                </c:pt>
                <c:pt idx="593">
                  <c:v>0.0751</c:v>
                </c:pt>
                <c:pt idx="594">
                  <c:v>0.0643</c:v>
                </c:pt>
                <c:pt idx="595">
                  <c:v>0.0585</c:v>
                </c:pt>
                <c:pt idx="596">
                  <c:v>0.0650</c:v>
                </c:pt>
                <c:pt idx="597">
                  <c:v>0.0652</c:v>
                </c:pt>
                <c:pt idx="598">
                  <c:v>0.0606</c:v>
                </c:pt>
                <c:pt idx="599">
                  <c:v>0.0637</c:v>
                </c:pt>
                <c:pt idx="600">
                  <c:v>0.0434</c:v>
                </c:pt>
                <c:pt idx="601">
                  <c:v>0.0493</c:v>
                </c:pt>
                <c:pt idx="602">
                  <c:v>0.0788</c:v>
                </c:pt>
                <c:pt idx="603">
                  <c:v>0.0411</c:v>
                </c:pt>
                <c:pt idx="604">
                  <c:v>0.0425</c:v>
                </c:pt>
                <c:pt idx="605">
                  <c:v>0.0450</c:v>
                </c:pt>
                <c:pt idx="606">
                  <c:v>0.0665</c:v>
                </c:pt>
                <c:pt idx="607">
                  <c:v>0.0389</c:v>
                </c:pt>
                <c:pt idx="608">
                  <c:v>0.0489</c:v>
                </c:pt>
                <c:pt idx="609">
                  <c:v>0.0645</c:v>
                </c:pt>
                <c:pt idx="610">
                  <c:v>0.0487</c:v>
                </c:pt>
                <c:pt idx="611">
                  <c:v>0.0623</c:v>
                </c:pt>
                <c:pt idx="612">
                  <c:v>0.0580</c:v>
                </c:pt>
                <c:pt idx="613">
                  <c:v>0.0490</c:v>
                </c:pt>
                <c:pt idx="614">
                  <c:v>0.0390</c:v>
                </c:pt>
                <c:pt idx="615">
                  <c:v>0.0429</c:v>
                </c:pt>
                <c:pt idx="616">
                  <c:v>0.0500</c:v>
                </c:pt>
                <c:pt idx="617">
                  <c:v>0.0485</c:v>
                </c:pt>
                <c:pt idx="618">
                  <c:v>0.0443</c:v>
                </c:pt>
                <c:pt idx="619">
                  <c:v>0.0</c:v>
                </c:pt>
                <c:pt idx="620">
                  <c:v>0.0531</c:v>
                </c:pt>
                <c:pt idx="621">
                  <c:v>0.0405</c:v>
                </c:pt>
                <c:pt idx="622">
                  <c:v>0.0405</c:v>
                </c:pt>
                <c:pt idx="623">
                  <c:v>0.0438</c:v>
                </c:pt>
                <c:pt idx="624">
                  <c:v>0.0574</c:v>
                </c:pt>
                <c:pt idx="625">
                  <c:v>0.0734</c:v>
                </c:pt>
                <c:pt idx="626">
                  <c:v>0.0783</c:v>
                </c:pt>
                <c:pt idx="627">
                  <c:v>0.1052</c:v>
                </c:pt>
                <c:pt idx="628">
                  <c:v>0.0400</c:v>
                </c:pt>
                <c:pt idx="629">
                  <c:v>0.0397</c:v>
                </c:pt>
                <c:pt idx="630">
                  <c:v>0.0425</c:v>
                </c:pt>
                <c:pt idx="631">
                  <c:v>0.0472</c:v>
                </c:pt>
                <c:pt idx="632">
                  <c:v>0.0462</c:v>
                </c:pt>
                <c:pt idx="633">
                  <c:v>0.0484</c:v>
                </c:pt>
                <c:pt idx="634">
                  <c:v>0.0701</c:v>
                </c:pt>
                <c:pt idx="635">
                  <c:v>0.0541</c:v>
                </c:pt>
                <c:pt idx="636">
                  <c:v>0.0728</c:v>
                </c:pt>
                <c:pt idx="637">
                  <c:v>0.0383</c:v>
                </c:pt>
                <c:pt idx="638">
                  <c:v>0.0437</c:v>
                </c:pt>
                <c:pt idx="639">
                  <c:v>0.0462</c:v>
                </c:pt>
                <c:pt idx="640">
                  <c:v>0.0473</c:v>
                </c:pt>
                <c:pt idx="641">
                  <c:v>0.0452</c:v>
                </c:pt>
                <c:pt idx="642">
                  <c:v>0.0417</c:v>
                </c:pt>
                <c:pt idx="643">
                  <c:v>0.0590</c:v>
                </c:pt>
                <c:pt idx="644">
                  <c:v>0.0789</c:v>
                </c:pt>
                <c:pt idx="645">
                  <c:v>0.0616</c:v>
                </c:pt>
                <c:pt idx="646">
                  <c:v>0.0741</c:v>
                </c:pt>
                <c:pt idx="647">
                  <c:v>0.0506</c:v>
                </c:pt>
                <c:pt idx="648">
                  <c:v>0.0446</c:v>
                </c:pt>
                <c:pt idx="649">
                  <c:v>0.0707</c:v>
                </c:pt>
                <c:pt idx="650">
                  <c:v>0.0413</c:v>
                </c:pt>
                <c:pt idx="651">
                  <c:v>0.0405</c:v>
                </c:pt>
                <c:pt idx="652">
                  <c:v>0.0401</c:v>
                </c:pt>
                <c:pt idx="653">
                  <c:v>0.0395</c:v>
                </c:pt>
                <c:pt idx="654">
                  <c:v>0.0472</c:v>
                </c:pt>
                <c:pt idx="655">
                  <c:v>0.0467</c:v>
                </c:pt>
                <c:pt idx="656">
                  <c:v>0.0686</c:v>
                </c:pt>
                <c:pt idx="657">
                  <c:v>0.0450</c:v>
                </c:pt>
                <c:pt idx="658">
                  <c:v>0.0505</c:v>
                </c:pt>
                <c:pt idx="659">
                  <c:v>0.0706</c:v>
                </c:pt>
                <c:pt idx="660">
                  <c:v>0.0538</c:v>
                </c:pt>
                <c:pt idx="661">
                  <c:v>ABDOMEN LOST</c:v>
                </c:pt>
                <c:pt idx="662">
                  <c:v>0.0487</c:v>
                </c:pt>
                <c:pt idx="663">
                  <c:v>0.0508</c:v>
                </c:pt>
                <c:pt idx="664">
                  <c:v>0.0467</c:v>
                </c:pt>
                <c:pt idx="665">
                  <c:v>0.0424</c:v>
                </c:pt>
                <c:pt idx="666">
                  <c:v>0.0422</c:v>
                </c:pt>
                <c:pt idx="667">
                  <c:v>0.0898</c:v>
                </c:pt>
                <c:pt idx="668">
                  <c:v>0.0424</c:v>
                </c:pt>
                <c:pt idx="669">
                  <c:v>0.0546</c:v>
                </c:pt>
                <c:pt idx="670">
                  <c:v>0.0823</c:v>
                </c:pt>
                <c:pt idx="671">
                  <c:v>0.0646</c:v>
                </c:pt>
                <c:pt idx="672">
                  <c:v>0.0595</c:v>
                </c:pt>
                <c:pt idx="673">
                  <c:v>0.0477</c:v>
                </c:pt>
                <c:pt idx="674">
                  <c:v>0.0439</c:v>
                </c:pt>
                <c:pt idx="675">
                  <c:v>0.0405</c:v>
                </c:pt>
                <c:pt idx="676">
                  <c:v>0.0447</c:v>
                </c:pt>
                <c:pt idx="677">
                  <c:v>0.0679</c:v>
                </c:pt>
                <c:pt idx="678">
                  <c:v>0.0471</c:v>
                </c:pt>
                <c:pt idx="679">
                  <c:v>0.0657</c:v>
                </c:pt>
                <c:pt idx="680">
                  <c:v>0.0659</c:v>
                </c:pt>
                <c:pt idx="681">
                  <c:v>0.0695</c:v>
                </c:pt>
                <c:pt idx="682">
                  <c:v>0.0656</c:v>
                </c:pt>
                <c:pt idx="683">
                  <c:v>0.0480</c:v>
                </c:pt>
                <c:pt idx="684">
                  <c:v>0.0447</c:v>
                </c:pt>
                <c:pt idx="685">
                  <c:v>0.0440</c:v>
                </c:pt>
                <c:pt idx="686">
                  <c:v>0.0571</c:v>
                </c:pt>
                <c:pt idx="687">
                  <c:v>0.0473</c:v>
                </c:pt>
                <c:pt idx="688">
                  <c:v>0.0592</c:v>
                </c:pt>
                <c:pt idx="689">
                  <c:v>0.0582</c:v>
                </c:pt>
                <c:pt idx="690">
                  <c:v>0.0577</c:v>
                </c:pt>
                <c:pt idx="691">
                  <c:v>0.0614</c:v>
                </c:pt>
                <c:pt idx="692">
                  <c:v>0.0664</c:v>
                </c:pt>
                <c:pt idx="693">
                  <c:v>0.0545</c:v>
                </c:pt>
                <c:pt idx="694">
                  <c:v>0.0582</c:v>
                </c:pt>
                <c:pt idx="695">
                  <c:v>0.0573</c:v>
                </c:pt>
                <c:pt idx="696">
                  <c:v>0.0436</c:v>
                </c:pt>
                <c:pt idx="697">
                  <c:v>0.0415</c:v>
                </c:pt>
                <c:pt idx="698">
                  <c:v>0.0734</c:v>
                </c:pt>
                <c:pt idx="699">
                  <c:v>0.0396</c:v>
                </c:pt>
                <c:pt idx="700">
                  <c:v>0.0397</c:v>
                </c:pt>
                <c:pt idx="701">
                  <c:v>0.0383</c:v>
                </c:pt>
                <c:pt idx="702">
                  <c:v>0.0675</c:v>
                </c:pt>
                <c:pt idx="703">
                  <c:v>0.0497</c:v>
                </c:pt>
                <c:pt idx="704">
                  <c:v>0.0464</c:v>
                </c:pt>
                <c:pt idx="705">
                  <c:v>0.0450</c:v>
                </c:pt>
                <c:pt idx="706">
                  <c:v>0.0422</c:v>
                </c:pt>
                <c:pt idx="707">
                  <c:v>0.0445</c:v>
                </c:pt>
                <c:pt idx="708">
                  <c:v>0.0496</c:v>
                </c:pt>
                <c:pt idx="709">
                  <c:v>0.0587</c:v>
                </c:pt>
                <c:pt idx="710">
                  <c:v>0.0477</c:v>
                </c:pt>
                <c:pt idx="711">
                  <c:v>0.0599</c:v>
                </c:pt>
                <c:pt idx="712">
                  <c:v>0.0605</c:v>
                </c:pt>
                <c:pt idx="715">
                  <c:v>0.0487</c:v>
                </c:pt>
                <c:pt idx="716">
                  <c:v>0.0417</c:v>
                </c:pt>
                <c:pt idx="717">
                  <c:v>0.0479</c:v>
                </c:pt>
                <c:pt idx="719">
                  <c:v>0.0467</c:v>
                </c:pt>
                <c:pt idx="720">
                  <c:v>0.0397</c:v>
                </c:pt>
                <c:pt idx="721">
                  <c:v>0.0401</c:v>
                </c:pt>
                <c:pt idx="722">
                  <c:v>0.0405</c:v>
                </c:pt>
                <c:pt idx="723">
                  <c:v>0.0465</c:v>
                </c:pt>
                <c:pt idx="724">
                  <c:v>0.0396</c:v>
                </c:pt>
                <c:pt idx="725">
                  <c:v>0.0486</c:v>
                </c:pt>
                <c:pt idx="726">
                  <c:v>0.0489</c:v>
                </c:pt>
                <c:pt idx="727">
                  <c:v>0.0468</c:v>
                </c:pt>
                <c:pt idx="728">
                  <c:v>0.0412</c:v>
                </c:pt>
                <c:pt idx="729">
                  <c:v>0.0457</c:v>
                </c:pt>
                <c:pt idx="730">
                  <c:v>0.0472</c:v>
                </c:pt>
                <c:pt idx="731">
                  <c:v>0.0502</c:v>
                </c:pt>
                <c:pt idx="732">
                  <c:v>0.0515</c:v>
                </c:pt>
                <c:pt idx="733">
                  <c:v>0.0519</c:v>
                </c:pt>
                <c:pt idx="734">
                  <c:v>0.0723</c:v>
                </c:pt>
                <c:pt idx="735">
                  <c:v>0.0459</c:v>
                </c:pt>
                <c:pt idx="738">
                  <c:v>0.0413</c:v>
                </c:pt>
                <c:pt idx="740">
                  <c:v>0.0444</c:v>
                </c:pt>
                <c:pt idx="741">
                  <c:v>0.0667</c:v>
                </c:pt>
                <c:pt idx="742">
                  <c:v>0.0390</c:v>
                </c:pt>
                <c:pt idx="743">
                  <c:v>0.0392</c:v>
                </c:pt>
                <c:pt idx="744">
                  <c:v>0.0573</c:v>
                </c:pt>
                <c:pt idx="745">
                  <c:v>0.0443</c:v>
                </c:pt>
                <c:pt idx="746">
                  <c:v>0.0395</c:v>
                </c:pt>
                <c:pt idx="747">
                  <c:v>0.0470</c:v>
                </c:pt>
                <c:pt idx="748">
                  <c:v>0.0609</c:v>
                </c:pt>
                <c:pt idx="749">
                  <c:v>0.0611</c:v>
                </c:pt>
                <c:pt idx="750">
                  <c:v>0.0574</c:v>
                </c:pt>
                <c:pt idx="751">
                  <c:v>0.0675</c:v>
                </c:pt>
                <c:pt idx="752">
                  <c:v>0.0734</c:v>
                </c:pt>
                <c:pt idx="753">
                  <c:v>0.0499</c:v>
                </c:pt>
                <c:pt idx="754">
                  <c:v>0.0497</c:v>
                </c:pt>
                <c:pt idx="755">
                  <c:v>0.0600</c:v>
                </c:pt>
                <c:pt idx="756">
                  <c:v>0.0486</c:v>
                </c:pt>
                <c:pt idx="757">
                  <c:v>0.0454</c:v>
                </c:pt>
                <c:pt idx="758">
                  <c:v>0.0391</c:v>
                </c:pt>
                <c:pt idx="759">
                  <c:v>0.0395</c:v>
                </c:pt>
                <c:pt idx="760">
                  <c:v>0.0437</c:v>
                </c:pt>
                <c:pt idx="761">
                  <c:v>0.0408</c:v>
                </c:pt>
                <c:pt idx="762">
                  <c:v>0.0470</c:v>
                </c:pt>
                <c:pt idx="763">
                  <c:v>0.0464</c:v>
                </c:pt>
                <c:pt idx="764">
                  <c:v>0.0447</c:v>
                </c:pt>
                <c:pt idx="765">
                  <c:v>0.0440</c:v>
                </c:pt>
                <c:pt idx="766">
                  <c:v>0.0399</c:v>
                </c:pt>
                <c:pt idx="767">
                  <c:v>0.0467</c:v>
                </c:pt>
                <c:pt idx="768">
                  <c:v>0.0456</c:v>
                </c:pt>
                <c:pt idx="769">
                  <c:v>0.0401</c:v>
                </c:pt>
                <c:pt idx="770">
                  <c:v>0.0452</c:v>
                </c:pt>
                <c:pt idx="771">
                  <c:v>0.0410</c:v>
                </c:pt>
                <c:pt idx="772">
                  <c:v>0.0454</c:v>
                </c:pt>
                <c:pt idx="773">
                  <c:v>0.0478</c:v>
                </c:pt>
                <c:pt idx="774">
                  <c:v>0.0490</c:v>
                </c:pt>
                <c:pt idx="775">
                  <c:v>0.0454</c:v>
                </c:pt>
                <c:pt idx="776">
                  <c:v>0.0411</c:v>
                </c:pt>
                <c:pt idx="777">
                  <c:v>0.0484</c:v>
                </c:pt>
                <c:pt idx="778">
                  <c:v>0.0470</c:v>
                </c:pt>
                <c:pt idx="779">
                  <c:v>0.0465</c:v>
                </c:pt>
                <c:pt idx="780">
                  <c:v>0.0458</c:v>
                </c:pt>
                <c:pt idx="781">
                  <c:v>0.0413</c:v>
                </c:pt>
                <c:pt idx="782">
                  <c:v>0.0400</c:v>
                </c:pt>
                <c:pt idx="783">
                  <c:v>0.0455</c:v>
                </c:pt>
                <c:pt idx="784">
                  <c:v>0.0408</c:v>
                </c:pt>
                <c:pt idx="785">
                  <c:v>0.0405</c:v>
                </c:pt>
                <c:pt idx="786">
                  <c:v>0.0390</c:v>
                </c:pt>
                <c:pt idx="787">
                  <c:v>0.0404</c:v>
                </c:pt>
                <c:pt idx="788">
                  <c:v>0.0448</c:v>
                </c:pt>
                <c:pt idx="789">
                  <c:v>0.0449</c:v>
                </c:pt>
                <c:pt idx="790">
                  <c:v>0.0457</c:v>
                </c:pt>
                <c:pt idx="791">
                  <c:v>0.0386</c:v>
                </c:pt>
              </c:strCache>
            </c:strRef>
          </c:xVal>
          <c:yVal>
            <c:numRef>
              <c:f>Germany!$M$2:$M$816</c:f>
              <c:numCache>
                <c:formatCode>General</c:formatCode>
                <c:ptCount val="815"/>
                <c:pt idx="236">
                  <c:v>6.355</c:v>
                </c:pt>
                <c:pt idx="237">
                  <c:v>5.708</c:v>
                </c:pt>
                <c:pt idx="240">
                  <c:v>6.216</c:v>
                </c:pt>
                <c:pt idx="244">
                  <c:v>5.660999999999999</c:v>
                </c:pt>
                <c:pt idx="247">
                  <c:v>6.288</c:v>
                </c:pt>
                <c:pt idx="253">
                  <c:v>6.58</c:v>
                </c:pt>
                <c:pt idx="254">
                  <c:v>6.655</c:v>
                </c:pt>
                <c:pt idx="255">
                  <c:v>5.212</c:v>
                </c:pt>
                <c:pt idx="257">
                  <c:v>5.992</c:v>
                </c:pt>
                <c:pt idx="260">
                  <c:v>6.211</c:v>
                </c:pt>
                <c:pt idx="261">
                  <c:v>5.704</c:v>
                </c:pt>
                <c:pt idx="264">
                  <c:v>6.633</c:v>
                </c:pt>
                <c:pt idx="266">
                  <c:v>5.023</c:v>
                </c:pt>
                <c:pt idx="267">
                  <c:v>6.561</c:v>
                </c:pt>
                <c:pt idx="269">
                  <c:v>6.43</c:v>
                </c:pt>
                <c:pt idx="270">
                  <c:v>5.651</c:v>
                </c:pt>
                <c:pt idx="271">
                  <c:v>6.28</c:v>
                </c:pt>
                <c:pt idx="272">
                  <c:v>6.09</c:v>
                </c:pt>
                <c:pt idx="273">
                  <c:v>5.171</c:v>
                </c:pt>
                <c:pt idx="274">
                  <c:v>6.673</c:v>
                </c:pt>
                <c:pt idx="276">
                  <c:v>5.82</c:v>
                </c:pt>
                <c:pt idx="278">
                  <c:v>6.169</c:v>
                </c:pt>
                <c:pt idx="279">
                  <c:v>5.435</c:v>
                </c:pt>
                <c:pt idx="281">
                  <c:v>5.504</c:v>
                </c:pt>
                <c:pt idx="282">
                  <c:v>6.044</c:v>
                </c:pt>
                <c:pt idx="283">
                  <c:v>6.374</c:v>
                </c:pt>
                <c:pt idx="285">
                  <c:v>6.26</c:v>
                </c:pt>
                <c:pt idx="286">
                  <c:v>6.533</c:v>
                </c:pt>
                <c:pt idx="289">
                  <c:v>5.66</c:v>
                </c:pt>
                <c:pt idx="292">
                  <c:v>5.617</c:v>
                </c:pt>
                <c:pt idx="293">
                  <c:v>5.201</c:v>
                </c:pt>
                <c:pt idx="296">
                  <c:v>6.757</c:v>
                </c:pt>
                <c:pt idx="297">
                  <c:v>5.429</c:v>
                </c:pt>
                <c:pt idx="298">
                  <c:v>5.591</c:v>
                </c:pt>
                <c:pt idx="300">
                  <c:v>4.698</c:v>
                </c:pt>
                <c:pt idx="303">
                  <c:v>5.186</c:v>
                </c:pt>
                <c:pt idx="307">
                  <c:v>6.185</c:v>
                </c:pt>
                <c:pt idx="308">
                  <c:v>5.916</c:v>
                </c:pt>
                <c:pt idx="312">
                  <c:v>5.432</c:v>
                </c:pt>
                <c:pt idx="314">
                  <c:v>6.283</c:v>
                </c:pt>
                <c:pt idx="315">
                  <c:v>6.056</c:v>
                </c:pt>
                <c:pt idx="316">
                  <c:v>5.946</c:v>
                </c:pt>
                <c:pt idx="317">
                  <c:v>6.09</c:v>
                </c:pt>
                <c:pt idx="318">
                  <c:v>5.98</c:v>
                </c:pt>
                <c:pt idx="319">
                  <c:v>5.859</c:v>
                </c:pt>
                <c:pt idx="320">
                  <c:v>5.649</c:v>
                </c:pt>
                <c:pt idx="322">
                  <c:v>6.147</c:v>
                </c:pt>
                <c:pt idx="324">
                  <c:v>6.807</c:v>
                </c:pt>
                <c:pt idx="325">
                  <c:v>5.624</c:v>
                </c:pt>
                <c:pt idx="326">
                  <c:v>6.193</c:v>
                </c:pt>
                <c:pt idx="327">
                  <c:v>5.407</c:v>
                </c:pt>
                <c:pt idx="328">
                  <c:v>6.251</c:v>
                </c:pt>
                <c:pt idx="331">
                  <c:v>5.706</c:v>
                </c:pt>
                <c:pt idx="332">
                  <c:v>6.343</c:v>
                </c:pt>
                <c:pt idx="333">
                  <c:v>6.607</c:v>
                </c:pt>
                <c:pt idx="334">
                  <c:v>5.409</c:v>
                </c:pt>
                <c:pt idx="335">
                  <c:v>6.693</c:v>
                </c:pt>
                <c:pt idx="336">
                  <c:v>4.863</c:v>
                </c:pt>
                <c:pt idx="337">
                  <c:v>5.931</c:v>
                </c:pt>
                <c:pt idx="338">
                  <c:v>6.379</c:v>
                </c:pt>
                <c:pt idx="340">
                  <c:v>6.206</c:v>
                </c:pt>
                <c:pt idx="341">
                  <c:v>5.948</c:v>
                </c:pt>
                <c:pt idx="342">
                  <c:v>5.845</c:v>
                </c:pt>
                <c:pt idx="343">
                  <c:v>6.289</c:v>
                </c:pt>
                <c:pt idx="344">
                  <c:v>4.828</c:v>
                </c:pt>
                <c:pt idx="345">
                  <c:v>4.781</c:v>
                </c:pt>
                <c:pt idx="363">
                  <c:v>0.0</c:v>
                </c:pt>
                <c:pt idx="364">
                  <c:v>0.0</c:v>
                </c:pt>
                <c:pt idx="367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7">
                  <c:v>0.0</c:v>
                </c:pt>
                <c:pt idx="378">
                  <c:v>0.0</c:v>
                </c:pt>
                <c:pt idx="380">
                  <c:v>0.0</c:v>
                </c:pt>
                <c:pt idx="381">
                  <c:v>0.0</c:v>
                </c:pt>
                <c:pt idx="386">
                  <c:v>0.0</c:v>
                </c:pt>
                <c:pt idx="388">
                  <c:v>0.0</c:v>
                </c:pt>
                <c:pt idx="391">
                  <c:v>0.0</c:v>
                </c:pt>
                <c:pt idx="395">
                  <c:v>0.0</c:v>
                </c:pt>
                <c:pt idx="396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6">
                  <c:v>0.0</c:v>
                </c:pt>
                <c:pt idx="408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600">
                  <c:v>0.0</c:v>
                </c:pt>
                <c:pt idx="604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18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5">
                  <c:v>0.0</c:v>
                </c:pt>
                <c:pt idx="627">
                  <c:v>0.0</c:v>
                </c:pt>
                <c:pt idx="631">
                  <c:v>0.0</c:v>
                </c:pt>
                <c:pt idx="642">
                  <c:v>0.0</c:v>
                </c:pt>
                <c:pt idx="648">
                  <c:v>0.0</c:v>
                </c:pt>
                <c:pt idx="650">
                  <c:v>0.0</c:v>
                </c:pt>
                <c:pt idx="651">
                  <c:v>0.0</c:v>
                </c:pt>
                <c:pt idx="653">
                  <c:v>0.0</c:v>
                </c:pt>
                <c:pt idx="665">
                  <c:v>0.0</c:v>
                </c:pt>
                <c:pt idx="666">
                  <c:v>0.0</c:v>
                </c:pt>
                <c:pt idx="668">
                  <c:v>0.0</c:v>
                </c:pt>
                <c:pt idx="688">
                  <c:v>0.0</c:v>
                </c:pt>
                <c:pt idx="689">
                  <c:v>0.0</c:v>
                </c:pt>
                <c:pt idx="696">
                  <c:v>0.0</c:v>
                </c:pt>
                <c:pt idx="698">
                  <c:v>0.0</c:v>
                </c:pt>
                <c:pt idx="711">
                  <c:v>0.0</c:v>
                </c:pt>
                <c:pt idx="712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34">
                  <c:v>0.0</c:v>
                </c:pt>
                <c:pt idx="73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293616"/>
        <c:axId val="425612272"/>
      </c:scatterChart>
      <c:valAx>
        <c:axId val="42529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12272"/>
        <c:crosses val="autoZero"/>
        <c:crossBetween val="midCat"/>
      </c:valAx>
      <c:valAx>
        <c:axId val="42561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29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0"/>
            <c:trendlineLbl>
              <c:layout>
                <c:manualLayout>
                  <c:x val="-0.0360205599300087"/>
                  <c:y val="-0.1672163896179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Germany!$L$237:$L$364</c:f>
              <c:numCache>
                <c:formatCode>General</c:formatCode>
                <c:ptCount val="128"/>
                <c:pt idx="0" formatCode="0.00">
                  <c:v>0.167</c:v>
                </c:pt>
                <c:pt idx="1">
                  <c:v>0.1024</c:v>
                </c:pt>
                <c:pt idx="2">
                  <c:v>0.0942</c:v>
                </c:pt>
                <c:pt idx="3">
                  <c:v>0.2495</c:v>
                </c:pt>
                <c:pt idx="4">
                  <c:v>0.1475</c:v>
                </c:pt>
                <c:pt idx="5">
                  <c:v>0.1134</c:v>
                </c:pt>
                <c:pt idx="6">
                  <c:v>0.1556</c:v>
                </c:pt>
                <c:pt idx="7">
                  <c:v>0.1079</c:v>
                </c:pt>
                <c:pt idx="8">
                  <c:v>0.0879</c:v>
                </c:pt>
                <c:pt idx="9">
                  <c:v>0.083</c:v>
                </c:pt>
                <c:pt idx="10">
                  <c:v>0.1587</c:v>
                </c:pt>
                <c:pt idx="11">
                  <c:v>0.1143</c:v>
                </c:pt>
                <c:pt idx="12">
                  <c:v>0.0993</c:v>
                </c:pt>
                <c:pt idx="13">
                  <c:v>0.0832</c:v>
                </c:pt>
                <c:pt idx="14">
                  <c:v>0.1128</c:v>
                </c:pt>
                <c:pt idx="15">
                  <c:v>0.1294</c:v>
                </c:pt>
                <c:pt idx="16">
                  <c:v>0.1719</c:v>
                </c:pt>
                <c:pt idx="17">
                  <c:v>0.163</c:v>
                </c:pt>
                <c:pt idx="18">
                  <c:v>0.0948</c:v>
                </c:pt>
                <c:pt idx="19">
                  <c:v>0.1142</c:v>
                </c:pt>
                <c:pt idx="20">
                  <c:v>0.0649</c:v>
                </c:pt>
                <c:pt idx="21">
                  <c:v>0.1791</c:v>
                </c:pt>
                <c:pt idx="22">
                  <c:v>0.0768</c:v>
                </c:pt>
                <c:pt idx="23">
                  <c:v>0.0652</c:v>
                </c:pt>
                <c:pt idx="24">
                  <c:v>0.1091</c:v>
                </c:pt>
                <c:pt idx="25">
                  <c:v>0.1149</c:v>
                </c:pt>
                <c:pt idx="26">
                  <c:v>0.0775</c:v>
                </c:pt>
                <c:pt idx="27">
                  <c:v>0.0993</c:v>
                </c:pt>
                <c:pt idx="28">
                  <c:v>0.086</c:v>
                </c:pt>
                <c:pt idx="29">
                  <c:v>0.1022</c:v>
                </c:pt>
                <c:pt idx="30">
                  <c:v>0.0974</c:v>
                </c:pt>
                <c:pt idx="31">
                  <c:v>0.0773</c:v>
                </c:pt>
                <c:pt idx="32">
                  <c:v>0.1012</c:v>
                </c:pt>
                <c:pt idx="33">
                  <c:v>0.0826</c:v>
                </c:pt>
                <c:pt idx="34">
                  <c:v>0.0964</c:v>
                </c:pt>
                <c:pt idx="35">
                  <c:v>0.1042</c:v>
                </c:pt>
                <c:pt idx="36">
                  <c:v>0.1102</c:v>
                </c:pt>
                <c:pt idx="37">
                  <c:v>0.1033</c:v>
                </c:pt>
                <c:pt idx="38">
                  <c:v>0.076</c:v>
                </c:pt>
                <c:pt idx="39">
                  <c:v>0.1096</c:v>
                </c:pt>
                <c:pt idx="40">
                  <c:v>0.1046</c:v>
                </c:pt>
                <c:pt idx="41">
                  <c:v>0.0921</c:v>
                </c:pt>
                <c:pt idx="42">
                  <c:v>0.0919</c:v>
                </c:pt>
                <c:pt idx="43">
                  <c:v>0.1042</c:v>
                </c:pt>
                <c:pt idx="44">
                  <c:v>0.069</c:v>
                </c:pt>
                <c:pt idx="45">
                  <c:v>0.1188</c:v>
                </c:pt>
                <c:pt idx="46">
                  <c:v>0.1118</c:v>
                </c:pt>
                <c:pt idx="47">
                  <c:v>0.0853</c:v>
                </c:pt>
                <c:pt idx="48">
                  <c:v>0.1033</c:v>
                </c:pt>
                <c:pt idx="49">
                  <c:v>0.0985</c:v>
                </c:pt>
                <c:pt idx="50">
                  <c:v>0.1252</c:v>
                </c:pt>
                <c:pt idx="51">
                  <c:v>0.0938</c:v>
                </c:pt>
                <c:pt idx="52">
                  <c:v>0.0961</c:v>
                </c:pt>
                <c:pt idx="53">
                  <c:v>0.1134</c:v>
                </c:pt>
                <c:pt idx="54">
                  <c:v>0.118</c:v>
                </c:pt>
                <c:pt idx="55">
                  <c:v>0.1189</c:v>
                </c:pt>
                <c:pt idx="56">
                  <c:v>0.0664</c:v>
                </c:pt>
                <c:pt idx="58">
                  <c:v>0.0806</c:v>
                </c:pt>
                <c:pt idx="59">
                  <c:v>0.1039</c:v>
                </c:pt>
                <c:pt idx="60">
                  <c:v>0.0974</c:v>
                </c:pt>
                <c:pt idx="61">
                  <c:v>0.1051</c:v>
                </c:pt>
                <c:pt idx="62">
                  <c:v>0.0856</c:v>
                </c:pt>
                <c:pt idx="63">
                  <c:v>0.0772</c:v>
                </c:pt>
                <c:pt idx="64">
                  <c:v>0.2783</c:v>
                </c:pt>
                <c:pt idx="65">
                  <c:v>0.0583</c:v>
                </c:pt>
                <c:pt idx="66">
                  <c:v>0.0894</c:v>
                </c:pt>
                <c:pt idx="67">
                  <c:v>0.0941</c:v>
                </c:pt>
                <c:pt idx="68">
                  <c:v>0.077</c:v>
                </c:pt>
                <c:pt idx="69">
                  <c:v>0.1115</c:v>
                </c:pt>
                <c:pt idx="70">
                  <c:v>0.0795</c:v>
                </c:pt>
                <c:pt idx="71">
                  <c:v>0.1097</c:v>
                </c:pt>
                <c:pt idx="72">
                  <c:v>0.1419</c:v>
                </c:pt>
                <c:pt idx="73">
                  <c:v>0.0916</c:v>
                </c:pt>
                <c:pt idx="74">
                  <c:v>0.2558</c:v>
                </c:pt>
                <c:pt idx="75">
                  <c:v>0.1627</c:v>
                </c:pt>
                <c:pt idx="76">
                  <c:v>0.1045</c:v>
                </c:pt>
                <c:pt idx="77">
                  <c:v>0.0729</c:v>
                </c:pt>
                <c:pt idx="78">
                  <c:v>0.1649</c:v>
                </c:pt>
                <c:pt idx="79">
                  <c:v>0.0998</c:v>
                </c:pt>
                <c:pt idx="80">
                  <c:v>0.0903</c:v>
                </c:pt>
                <c:pt idx="81">
                  <c:v>0.0966</c:v>
                </c:pt>
                <c:pt idx="82">
                  <c:v>0.1262</c:v>
                </c:pt>
                <c:pt idx="83">
                  <c:v>0.1108</c:v>
                </c:pt>
                <c:pt idx="84">
                  <c:v>0.0914</c:v>
                </c:pt>
                <c:pt idx="85">
                  <c:v>0.0719</c:v>
                </c:pt>
                <c:pt idx="86">
                  <c:v>0.2045</c:v>
                </c:pt>
                <c:pt idx="87">
                  <c:v>0.0989</c:v>
                </c:pt>
                <c:pt idx="88">
                  <c:v>0.0809</c:v>
                </c:pt>
                <c:pt idx="89">
                  <c:v>0.1656</c:v>
                </c:pt>
                <c:pt idx="90">
                  <c:v>0.0986</c:v>
                </c:pt>
                <c:pt idx="91">
                  <c:v>0.0859</c:v>
                </c:pt>
                <c:pt idx="92">
                  <c:v>0.1056</c:v>
                </c:pt>
                <c:pt idx="93">
                  <c:v>0.0972</c:v>
                </c:pt>
                <c:pt idx="94">
                  <c:v>0.0866</c:v>
                </c:pt>
                <c:pt idx="95">
                  <c:v>0.0892</c:v>
                </c:pt>
                <c:pt idx="96">
                  <c:v>0.0898</c:v>
                </c:pt>
                <c:pt idx="97">
                  <c:v>0.0997</c:v>
                </c:pt>
                <c:pt idx="98">
                  <c:v>0.0962</c:v>
                </c:pt>
                <c:pt idx="99">
                  <c:v>0.0755</c:v>
                </c:pt>
                <c:pt idx="100">
                  <c:v>0.1541</c:v>
                </c:pt>
                <c:pt idx="101">
                  <c:v>0.0763</c:v>
                </c:pt>
                <c:pt idx="102">
                  <c:v>0.1013</c:v>
                </c:pt>
                <c:pt idx="103">
                  <c:v>0.1153</c:v>
                </c:pt>
                <c:pt idx="104">
                  <c:v>0.0957</c:v>
                </c:pt>
                <c:pt idx="105">
                  <c:v>0.1162</c:v>
                </c:pt>
                <c:pt idx="106">
                  <c:v>0.1083</c:v>
                </c:pt>
                <c:pt idx="107">
                  <c:v>0.0735</c:v>
                </c:pt>
                <c:pt idx="108">
                  <c:v>0.0916</c:v>
                </c:pt>
                <c:pt idx="109">
                  <c:v>0.0635</c:v>
                </c:pt>
                <c:pt idx="110">
                  <c:v>0.0735</c:v>
                </c:pt>
                <c:pt idx="111">
                  <c:v>0.0803</c:v>
                </c:pt>
                <c:pt idx="112">
                  <c:v>0.1428</c:v>
                </c:pt>
                <c:pt idx="113">
                  <c:v>0.0898</c:v>
                </c:pt>
                <c:pt idx="114">
                  <c:v>0.1577</c:v>
                </c:pt>
                <c:pt idx="115">
                  <c:v>0.1232</c:v>
                </c:pt>
                <c:pt idx="116">
                  <c:v>0.2617</c:v>
                </c:pt>
                <c:pt idx="117">
                  <c:v>0.1293</c:v>
                </c:pt>
                <c:pt idx="118">
                  <c:v>0.127</c:v>
                </c:pt>
                <c:pt idx="119">
                  <c:v>0.1398</c:v>
                </c:pt>
                <c:pt idx="120">
                  <c:v>0.2074</c:v>
                </c:pt>
                <c:pt idx="121">
                  <c:v>0.0829</c:v>
                </c:pt>
                <c:pt idx="122">
                  <c:v>0.0865</c:v>
                </c:pt>
                <c:pt idx="123">
                  <c:v>0.0781</c:v>
                </c:pt>
                <c:pt idx="124">
                  <c:v>0.0735</c:v>
                </c:pt>
                <c:pt idx="125">
                  <c:v>0.0767</c:v>
                </c:pt>
                <c:pt idx="126">
                  <c:v>0.2629</c:v>
                </c:pt>
                <c:pt idx="127">
                  <c:v>0.2433</c:v>
                </c:pt>
              </c:numCache>
            </c:numRef>
          </c:xVal>
          <c:yVal>
            <c:numRef>
              <c:f>Germany!$M$237:$M$364</c:f>
              <c:numCache>
                <c:formatCode>General</c:formatCode>
                <c:ptCount val="128"/>
                <c:pt idx="1">
                  <c:v>6.355</c:v>
                </c:pt>
                <c:pt idx="2">
                  <c:v>5.708</c:v>
                </c:pt>
                <c:pt idx="5">
                  <c:v>6.216</c:v>
                </c:pt>
                <c:pt idx="9">
                  <c:v>5.660999999999999</c:v>
                </c:pt>
                <c:pt idx="12">
                  <c:v>6.288</c:v>
                </c:pt>
                <c:pt idx="18">
                  <c:v>6.58</c:v>
                </c:pt>
                <c:pt idx="19">
                  <c:v>6.655</c:v>
                </c:pt>
                <c:pt idx="20">
                  <c:v>5.212</c:v>
                </c:pt>
                <c:pt idx="22">
                  <c:v>5.992</c:v>
                </c:pt>
                <c:pt idx="25">
                  <c:v>6.211</c:v>
                </c:pt>
                <c:pt idx="26">
                  <c:v>5.704</c:v>
                </c:pt>
                <c:pt idx="29">
                  <c:v>6.633</c:v>
                </c:pt>
                <c:pt idx="31">
                  <c:v>5.023</c:v>
                </c:pt>
                <c:pt idx="32">
                  <c:v>6.561</c:v>
                </c:pt>
                <c:pt idx="34">
                  <c:v>6.43</c:v>
                </c:pt>
                <c:pt idx="35">
                  <c:v>5.651</c:v>
                </c:pt>
                <c:pt idx="36">
                  <c:v>6.28</c:v>
                </c:pt>
                <c:pt idx="37">
                  <c:v>6.09</c:v>
                </c:pt>
                <c:pt idx="38">
                  <c:v>5.171</c:v>
                </c:pt>
                <c:pt idx="39">
                  <c:v>6.673</c:v>
                </c:pt>
                <c:pt idx="41">
                  <c:v>5.82</c:v>
                </c:pt>
                <c:pt idx="43">
                  <c:v>6.169</c:v>
                </c:pt>
                <c:pt idx="44">
                  <c:v>5.435</c:v>
                </c:pt>
                <c:pt idx="46">
                  <c:v>5.504</c:v>
                </c:pt>
                <c:pt idx="47">
                  <c:v>6.044</c:v>
                </c:pt>
                <c:pt idx="48">
                  <c:v>6.374</c:v>
                </c:pt>
                <c:pt idx="50">
                  <c:v>6.26</c:v>
                </c:pt>
                <c:pt idx="51">
                  <c:v>6.533</c:v>
                </c:pt>
                <c:pt idx="54">
                  <c:v>5.66</c:v>
                </c:pt>
                <c:pt idx="57">
                  <c:v>5.617</c:v>
                </c:pt>
                <c:pt idx="58">
                  <c:v>5.201</c:v>
                </c:pt>
                <c:pt idx="61">
                  <c:v>6.757</c:v>
                </c:pt>
                <c:pt idx="62">
                  <c:v>5.429</c:v>
                </c:pt>
                <c:pt idx="63">
                  <c:v>5.591</c:v>
                </c:pt>
                <c:pt idx="65">
                  <c:v>4.698</c:v>
                </c:pt>
                <c:pt idx="68">
                  <c:v>5.186</c:v>
                </c:pt>
                <c:pt idx="72">
                  <c:v>6.185</c:v>
                </c:pt>
                <c:pt idx="73">
                  <c:v>5.916</c:v>
                </c:pt>
                <c:pt idx="77">
                  <c:v>5.432</c:v>
                </c:pt>
                <c:pt idx="79">
                  <c:v>6.283</c:v>
                </c:pt>
                <c:pt idx="80">
                  <c:v>6.056</c:v>
                </c:pt>
                <c:pt idx="81">
                  <c:v>5.946</c:v>
                </c:pt>
                <c:pt idx="82">
                  <c:v>6.09</c:v>
                </c:pt>
                <c:pt idx="83">
                  <c:v>5.98</c:v>
                </c:pt>
                <c:pt idx="84">
                  <c:v>5.859</c:v>
                </c:pt>
                <c:pt idx="85">
                  <c:v>5.649</c:v>
                </c:pt>
                <c:pt idx="87">
                  <c:v>6.147</c:v>
                </c:pt>
                <c:pt idx="89">
                  <c:v>6.807</c:v>
                </c:pt>
                <c:pt idx="90">
                  <c:v>5.624</c:v>
                </c:pt>
                <c:pt idx="91">
                  <c:v>6.193</c:v>
                </c:pt>
                <c:pt idx="92">
                  <c:v>5.407</c:v>
                </c:pt>
                <c:pt idx="93">
                  <c:v>6.251</c:v>
                </c:pt>
                <c:pt idx="96">
                  <c:v>5.706</c:v>
                </c:pt>
                <c:pt idx="97">
                  <c:v>6.343</c:v>
                </c:pt>
                <c:pt idx="98">
                  <c:v>6.607</c:v>
                </c:pt>
                <c:pt idx="99">
                  <c:v>5.409</c:v>
                </c:pt>
                <c:pt idx="100">
                  <c:v>6.693</c:v>
                </c:pt>
                <c:pt idx="101">
                  <c:v>4.863</c:v>
                </c:pt>
                <c:pt idx="102">
                  <c:v>5.931</c:v>
                </c:pt>
                <c:pt idx="103">
                  <c:v>6.379</c:v>
                </c:pt>
                <c:pt idx="105">
                  <c:v>6.206</c:v>
                </c:pt>
                <c:pt idx="106">
                  <c:v>5.948</c:v>
                </c:pt>
                <c:pt idx="107">
                  <c:v>5.845</c:v>
                </c:pt>
                <c:pt idx="108">
                  <c:v>6.289</c:v>
                </c:pt>
                <c:pt idx="109">
                  <c:v>4.828</c:v>
                </c:pt>
                <c:pt idx="110">
                  <c:v>4.781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010112"/>
        <c:axId val="475068192"/>
      </c:scatterChart>
      <c:valAx>
        <c:axId val="47501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68192"/>
        <c:crosses val="autoZero"/>
        <c:crossBetween val="midCat"/>
      </c:valAx>
      <c:valAx>
        <c:axId val="47506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1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Chile!$D$2:$D$51</c:f>
              <c:numCache>
                <c:formatCode>General</c:formatCode>
                <c:ptCount val="50"/>
                <c:pt idx="0">
                  <c:v>0.0459</c:v>
                </c:pt>
                <c:pt idx="1">
                  <c:v>0.0632</c:v>
                </c:pt>
                <c:pt idx="2">
                  <c:v>0.0815</c:v>
                </c:pt>
                <c:pt idx="3">
                  <c:v>0.2446</c:v>
                </c:pt>
                <c:pt idx="4">
                  <c:v>0.0984</c:v>
                </c:pt>
                <c:pt idx="5">
                  <c:v>0.0813</c:v>
                </c:pt>
                <c:pt idx="6">
                  <c:v>0.0007</c:v>
                </c:pt>
                <c:pt idx="7">
                  <c:v>0.0961</c:v>
                </c:pt>
                <c:pt idx="8">
                  <c:v>0.1116</c:v>
                </c:pt>
                <c:pt idx="9">
                  <c:v>0.0821</c:v>
                </c:pt>
                <c:pt idx="10">
                  <c:v>0.0073</c:v>
                </c:pt>
                <c:pt idx="11">
                  <c:v>0.0659</c:v>
                </c:pt>
                <c:pt idx="12">
                  <c:v>0.3193</c:v>
                </c:pt>
                <c:pt idx="13">
                  <c:v>0.0623</c:v>
                </c:pt>
                <c:pt idx="14">
                  <c:v>0.0378</c:v>
                </c:pt>
                <c:pt idx="15">
                  <c:v>0.0454</c:v>
                </c:pt>
                <c:pt idx="16">
                  <c:v>0.0062</c:v>
                </c:pt>
                <c:pt idx="17">
                  <c:v>0.3405</c:v>
                </c:pt>
                <c:pt idx="18">
                  <c:v>0.0875</c:v>
                </c:pt>
                <c:pt idx="19">
                  <c:v>0.1014</c:v>
                </c:pt>
                <c:pt idx="20">
                  <c:v>0.4882</c:v>
                </c:pt>
                <c:pt idx="21">
                  <c:v>0.0062</c:v>
                </c:pt>
                <c:pt idx="22">
                  <c:v>0.075</c:v>
                </c:pt>
                <c:pt idx="23">
                  <c:v>0.106</c:v>
                </c:pt>
                <c:pt idx="24">
                  <c:v>0.0716</c:v>
                </c:pt>
                <c:pt idx="25">
                  <c:v>0.222</c:v>
                </c:pt>
                <c:pt idx="26">
                  <c:v>0.005</c:v>
                </c:pt>
                <c:pt idx="27">
                  <c:v>0.0494</c:v>
                </c:pt>
                <c:pt idx="28">
                  <c:v>0.1285</c:v>
                </c:pt>
                <c:pt idx="29">
                  <c:v>0.0073</c:v>
                </c:pt>
                <c:pt idx="30">
                  <c:v>0.0978</c:v>
                </c:pt>
                <c:pt idx="31">
                  <c:v>0.1079</c:v>
                </c:pt>
                <c:pt idx="32">
                  <c:v>0.0506</c:v>
                </c:pt>
                <c:pt idx="33">
                  <c:v>0.1117</c:v>
                </c:pt>
                <c:pt idx="34">
                  <c:v>0.1514</c:v>
                </c:pt>
                <c:pt idx="35">
                  <c:v>0.5166</c:v>
                </c:pt>
                <c:pt idx="36">
                  <c:v>0.047</c:v>
                </c:pt>
                <c:pt idx="37">
                  <c:v>0.0591</c:v>
                </c:pt>
                <c:pt idx="38">
                  <c:v>0.0776</c:v>
                </c:pt>
                <c:pt idx="39">
                  <c:v>0.1098</c:v>
                </c:pt>
                <c:pt idx="40">
                  <c:v>0.0522</c:v>
                </c:pt>
                <c:pt idx="41">
                  <c:v>0.0905</c:v>
                </c:pt>
                <c:pt idx="42">
                  <c:v>0.0498</c:v>
                </c:pt>
                <c:pt idx="43">
                  <c:v>0.0077</c:v>
                </c:pt>
                <c:pt idx="44">
                  <c:v>0.2464</c:v>
                </c:pt>
                <c:pt idx="45">
                  <c:v>0.2386</c:v>
                </c:pt>
                <c:pt idx="46">
                  <c:v>0.0089</c:v>
                </c:pt>
                <c:pt idx="47">
                  <c:v>0.0092</c:v>
                </c:pt>
                <c:pt idx="48">
                  <c:v>0.0002</c:v>
                </c:pt>
                <c:pt idx="49">
                  <c:v>0.0001</c:v>
                </c:pt>
              </c:numCache>
            </c:numRef>
          </c:xVal>
          <c:yVal>
            <c:numRef>
              <c:f>Chile!$I$2:$I$51</c:f>
              <c:numCache>
                <c:formatCode>General</c:formatCode>
                <c:ptCount val="50"/>
                <c:pt idx="0">
                  <c:v>2.453</c:v>
                </c:pt>
                <c:pt idx="1">
                  <c:v>3.791</c:v>
                </c:pt>
                <c:pt idx="2">
                  <c:v>4.801</c:v>
                </c:pt>
                <c:pt idx="3">
                  <c:v>8.731</c:v>
                </c:pt>
                <c:pt idx="4">
                  <c:v>5.775</c:v>
                </c:pt>
                <c:pt idx="5">
                  <c:v>5.274</c:v>
                </c:pt>
                <c:pt idx="7">
                  <c:v>6.013</c:v>
                </c:pt>
                <c:pt idx="8">
                  <c:v>7.353</c:v>
                </c:pt>
                <c:pt idx="9">
                  <c:v>6.143</c:v>
                </c:pt>
                <c:pt idx="11">
                  <c:v>4.558</c:v>
                </c:pt>
                <c:pt idx="12">
                  <c:v>9.445</c:v>
                </c:pt>
                <c:pt idx="13">
                  <c:v>4.552</c:v>
                </c:pt>
                <c:pt idx="14">
                  <c:v>8.931</c:v>
                </c:pt>
                <c:pt idx="15">
                  <c:v>2.666</c:v>
                </c:pt>
                <c:pt idx="17">
                  <c:v>8.869</c:v>
                </c:pt>
                <c:pt idx="18">
                  <c:v>5.769999999999999</c:v>
                </c:pt>
                <c:pt idx="19">
                  <c:v>6.44</c:v>
                </c:pt>
                <c:pt idx="20">
                  <c:v>10.37</c:v>
                </c:pt>
                <c:pt idx="22">
                  <c:v>5.303</c:v>
                </c:pt>
                <c:pt idx="23">
                  <c:v>5.355</c:v>
                </c:pt>
                <c:pt idx="24">
                  <c:v>8.67</c:v>
                </c:pt>
                <c:pt idx="26">
                  <c:v>3.54</c:v>
                </c:pt>
                <c:pt idx="27">
                  <c:v>7.553</c:v>
                </c:pt>
                <c:pt idx="29">
                  <c:v>5.579</c:v>
                </c:pt>
                <c:pt idx="30">
                  <c:v>5.518</c:v>
                </c:pt>
                <c:pt idx="31">
                  <c:v>4.033</c:v>
                </c:pt>
                <c:pt idx="32">
                  <c:v>3.155</c:v>
                </c:pt>
                <c:pt idx="33">
                  <c:v>4.082</c:v>
                </c:pt>
                <c:pt idx="34">
                  <c:v>6.147</c:v>
                </c:pt>
                <c:pt idx="35">
                  <c:v>5.617</c:v>
                </c:pt>
                <c:pt idx="36">
                  <c:v>9.836</c:v>
                </c:pt>
                <c:pt idx="37">
                  <c:v>2.271</c:v>
                </c:pt>
                <c:pt idx="38">
                  <c:v>5.582</c:v>
                </c:pt>
                <c:pt idx="39">
                  <c:v>5.803</c:v>
                </c:pt>
                <c:pt idx="40">
                  <c:v>3.487</c:v>
                </c:pt>
                <c:pt idx="41">
                  <c:v>4.918</c:v>
                </c:pt>
                <c:pt idx="42">
                  <c:v>3.171</c:v>
                </c:pt>
                <c:pt idx="44">
                  <c:v>9.547000000000001</c:v>
                </c:pt>
                <c:pt idx="45">
                  <c:v>7.748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186912"/>
        <c:axId val="478052464"/>
      </c:scatterChart>
      <c:valAx>
        <c:axId val="45118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052464"/>
        <c:crosses val="autoZero"/>
        <c:crossBetween val="midCat"/>
      </c:valAx>
      <c:valAx>
        <c:axId val="47805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18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346364</xdr:colOff>
      <xdr:row>13</xdr:row>
      <xdr:rowOff>19628</xdr:rowOff>
    </xdr:from>
    <xdr:to>
      <xdr:col>16</xdr:col>
      <xdr:colOff>669636</xdr:colOff>
      <xdr:row>27</xdr:row>
      <xdr:rowOff>15009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435427</xdr:colOff>
      <xdr:row>239</xdr:row>
      <xdr:rowOff>34471</xdr:rowOff>
    </xdr:from>
    <xdr:to>
      <xdr:col>19</xdr:col>
      <xdr:colOff>380998</xdr:colOff>
      <xdr:row>253</xdr:row>
      <xdr:rowOff>110671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539750</xdr:colOff>
      <xdr:row>11</xdr:row>
      <xdr:rowOff>152400</xdr:rowOff>
    </xdr:from>
    <xdr:to>
      <xdr:col>18</xdr:col>
      <xdr:colOff>400050</xdr:colOff>
      <xdr:row>26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12"/>
  <sheetViews>
    <sheetView topLeftCell="A196" zoomScale="69" zoomScaleNormal="69" workbookViewId="0">
      <selection activeCell="D166" sqref="D166"/>
    </sheetView>
  </sheetViews>
  <sheetFormatPr baseColWidth="10" defaultColWidth="12" defaultRowHeight="15" x14ac:dyDescent="0.2"/>
  <cols>
    <col min="1" max="1" width="17.83203125" bestFit="1" customWidth="1"/>
    <col min="2" max="2" width="21.33203125" bestFit="1" customWidth="1"/>
    <col min="3" max="5" width="21.33203125" customWidth="1"/>
    <col min="6" max="6" width="12.1640625" style="1" bestFit="1" customWidth="1"/>
    <col min="7" max="7" width="22.6640625" bestFit="1" customWidth="1"/>
    <col min="14" max="14" width="12" style="13"/>
  </cols>
  <sheetData>
    <row r="1" spans="1:17" ht="15" customHeight="1" x14ac:dyDescent="0.2">
      <c r="A1" t="s">
        <v>0</v>
      </c>
      <c r="B1" t="s">
        <v>1</v>
      </c>
      <c r="C1" t="s">
        <v>386</v>
      </c>
      <c r="D1" t="s">
        <v>387</v>
      </c>
      <c r="E1" t="s">
        <v>391</v>
      </c>
      <c r="F1" s="1" t="s">
        <v>2</v>
      </c>
      <c r="G1" t="s">
        <v>3</v>
      </c>
      <c r="I1" t="s">
        <v>4</v>
      </c>
      <c r="J1" t="s">
        <v>5</v>
      </c>
      <c r="L1" t="s">
        <v>6</v>
      </c>
      <c r="M1" t="s">
        <v>7</v>
      </c>
      <c r="N1" s="13" t="s">
        <v>392</v>
      </c>
      <c r="O1" t="s">
        <v>8</v>
      </c>
      <c r="P1" t="s">
        <v>10</v>
      </c>
      <c r="Q1" t="s">
        <v>11</v>
      </c>
    </row>
    <row r="2" spans="1:17" ht="16" x14ac:dyDescent="0.2">
      <c r="A2" t="s">
        <v>12</v>
      </c>
      <c r="B2" t="s">
        <v>13</v>
      </c>
      <c r="C2" s="8">
        <v>-29.997240000000001</v>
      </c>
      <c r="D2" s="9">
        <v>153.14993100000001</v>
      </c>
      <c r="E2" s="9">
        <v>0</v>
      </c>
      <c r="F2" s="1">
        <v>42866</v>
      </c>
      <c r="H2" t="s">
        <v>14</v>
      </c>
      <c r="K2">
        <v>1</v>
      </c>
      <c r="L2" t="s">
        <v>15</v>
      </c>
      <c r="M2">
        <v>6.83E-2</v>
      </c>
      <c r="O2">
        <v>2</v>
      </c>
      <c r="P2">
        <v>1.9750000000000001</v>
      </c>
      <c r="Q2">
        <v>8.8689999999999998</v>
      </c>
    </row>
    <row r="3" spans="1:17" ht="16" x14ac:dyDescent="0.2">
      <c r="A3" t="s">
        <v>16</v>
      </c>
      <c r="B3" t="s">
        <v>17</v>
      </c>
      <c r="C3" s="10">
        <v>-29.943010999999998</v>
      </c>
      <c r="D3" s="9">
        <v>153.12657400000001</v>
      </c>
      <c r="E3" s="9">
        <v>0</v>
      </c>
      <c r="F3" s="1">
        <v>42866</v>
      </c>
      <c r="H3" t="s">
        <v>18</v>
      </c>
      <c r="K3">
        <v>2</v>
      </c>
      <c r="L3" t="s">
        <v>15</v>
      </c>
      <c r="M3">
        <v>6.9400000000000003E-2</v>
      </c>
      <c r="O3">
        <v>2</v>
      </c>
      <c r="P3">
        <v>1.6879999999999999</v>
      </c>
      <c r="Q3">
        <v>5.7329999999999997</v>
      </c>
    </row>
    <row r="4" spans="1:17" ht="16" x14ac:dyDescent="0.2">
      <c r="A4" t="s">
        <v>19</v>
      </c>
      <c r="B4" t="s">
        <v>17</v>
      </c>
      <c r="C4" s="10">
        <v>-29.943010999999998</v>
      </c>
      <c r="D4" s="9">
        <v>153.12657400000001</v>
      </c>
      <c r="E4" s="9">
        <v>0</v>
      </c>
      <c r="F4" s="1">
        <v>42866</v>
      </c>
      <c r="H4" t="s">
        <v>18</v>
      </c>
      <c r="K4">
        <v>3</v>
      </c>
      <c r="L4" t="s">
        <v>15</v>
      </c>
      <c r="M4">
        <v>7.6600000000000001E-2</v>
      </c>
      <c r="O4">
        <v>2</v>
      </c>
      <c r="P4">
        <v>3.0680000000000001</v>
      </c>
      <c r="Q4">
        <f>5.727+6.881</f>
        <v>12.608000000000001</v>
      </c>
    </row>
    <row r="5" spans="1:17" ht="16" x14ac:dyDescent="0.2">
      <c r="A5" t="s">
        <v>20</v>
      </c>
      <c r="B5" t="s">
        <v>13</v>
      </c>
      <c r="C5" s="8">
        <v>-29.997240000000001</v>
      </c>
      <c r="D5" s="9">
        <v>153.14993100000001</v>
      </c>
      <c r="E5" s="9">
        <v>0</v>
      </c>
      <c r="F5" s="1">
        <v>42866</v>
      </c>
      <c r="H5" t="s">
        <v>18</v>
      </c>
      <c r="K5">
        <v>4</v>
      </c>
      <c r="L5" t="s">
        <v>15</v>
      </c>
      <c r="M5">
        <v>6.8900000000000003E-2</v>
      </c>
      <c r="O5">
        <v>2</v>
      </c>
      <c r="P5">
        <v>2.4209999999999998</v>
      </c>
      <c r="Q5">
        <f>6.931</f>
        <v>6.931</v>
      </c>
    </row>
    <row r="6" spans="1:17" ht="16" x14ac:dyDescent="0.2">
      <c r="A6" t="s">
        <v>21</v>
      </c>
      <c r="B6" t="s">
        <v>13</v>
      </c>
      <c r="C6" s="8">
        <v>-29.997240000000001</v>
      </c>
      <c r="D6" s="9">
        <v>153.14993100000001</v>
      </c>
      <c r="E6" s="9">
        <v>0</v>
      </c>
      <c r="F6" s="1">
        <v>42866</v>
      </c>
      <c r="H6" t="s">
        <v>18</v>
      </c>
      <c r="K6">
        <v>5</v>
      </c>
      <c r="L6" t="s">
        <v>15</v>
      </c>
      <c r="M6">
        <v>6.9199999999999998E-2</v>
      </c>
      <c r="O6">
        <v>2</v>
      </c>
      <c r="P6">
        <v>2.23</v>
      </c>
      <c r="Q6">
        <v>9.4760000000000009</v>
      </c>
    </row>
    <row r="7" spans="1:17" ht="16" x14ac:dyDescent="0.2">
      <c r="A7" t="s">
        <v>22</v>
      </c>
      <c r="B7" t="s">
        <v>23</v>
      </c>
      <c r="C7" s="10">
        <v>-30.011327999999999</v>
      </c>
      <c r="D7" s="9">
        <v>153.150711</v>
      </c>
      <c r="E7" s="9">
        <v>0</v>
      </c>
      <c r="F7" s="1">
        <v>42866</v>
      </c>
      <c r="H7" t="s">
        <v>24</v>
      </c>
      <c r="K7">
        <v>6</v>
      </c>
      <c r="L7" t="s">
        <v>25</v>
      </c>
      <c r="M7">
        <v>9.06E-2</v>
      </c>
      <c r="O7">
        <v>2</v>
      </c>
      <c r="P7">
        <v>6.5970000000000004</v>
      </c>
      <c r="Q7">
        <f>10.427+3.853+4.228</f>
        <v>18.507999999999999</v>
      </c>
    </row>
    <row r="8" spans="1:17" ht="16" x14ac:dyDescent="0.2">
      <c r="A8" t="s">
        <v>26</v>
      </c>
      <c r="B8" t="s">
        <v>13</v>
      </c>
      <c r="C8" s="8">
        <v>-29.997240000000001</v>
      </c>
      <c r="D8" s="9">
        <v>153.14993100000001</v>
      </c>
      <c r="E8" s="9">
        <v>0</v>
      </c>
      <c r="F8" s="1">
        <v>42866</v>
      </c>
      <c r="H8" t="s">
        <v>24</v>
      </c>
      <c r="K8">
        <v>7</v>
      </c>
      <c r="L8" t="s">
        <v>25</v>
      </c>
      <c r="M8">
        <v>6.8199999999999997E-2</v>
      </c>
      <c r="O8">
        <v>2</v>
      </c>
      <c r="P8">
        <v>1.6879999999999999</v>
      </c>
      <c r="Q8">
        <f>3.092+3.841+3.952</f>
        <v>10.885</v>
      </c>
    </row>
    <row r="9" spans="1:17" ht="16" x14ac:dyDescent="0.2">
      <c r="A9" t="s">
        <v>27</v>
      </c>
      <c r="B9" t="s">
        <v>17</v>
      </c>
      <c r="C9" s="10">
        <v>-29.943010999999998</v>
      </c>
      <c r="D9" s="9">
        <v>153.12657400000001</v>
      </c>
      <c r="E9" s="9">
        <v>0</v>
      </c>
      <c r="F9" s="1">
        <v>42866</v>
      </c>
      <c r="H9" t="s">
        <v>28</v>
      </c>
      <c r="K9">
        <v>8</v>
      </c>
      <c r="L9" t="s">
        <v>25</v>
      </c>
      <c r="M9">
        <v>6.9900000000000004E-2</v>
      </c>
      <c r="O9">
        <v>2</v>
      </c>
      <c r="P9">
        <v>2.206</v>
      </c>
      <c r="Q9">
        <f>11.391+2.637</f>
        <v>14.028</v>
      </c>
    </row>
    <row r="10" spans="1:17" ht="16" x14ac:dyDescent="0.2">
      <c r="A10" t="s">
        <v>29</v>
      </c>
      <c r="B10" t="s">
        <v>13</v>
      </c>
      <c r="C10" s="8">
        <v>-29.997240000000001</v>
      </c>
      <c r="D10" s="9">
        <v>153.14993100000001</v>
      </c>
      <c r="E10" s="9">
        <v>0</v>
      </c>
      <c r="F10" s="1">
        <v>42866</v>
      </c>
      <c r="H10" t="s">
        <v>14</v>
      </c>
      <c r="K10">
        <v>9</v>
      </c>
      <c r="L10" t="s">
        <v>15</v>
      </c>
      <c r="M10">
        <v>6.9900000000000004E-2</v>
      </c>
      <c r="O10">
        <v>2</v>
      </c>
      <c r="P10">
        <v>2.3919999999999999</v>
      </c>
      <c r="Q10">
        <f>4.169+5.253</f>
        <v>9.4220000000000006</v>
      </c>
    </row>
    <row r="11" spans="1:17" ht="16" x14ac:dyDescent="0.2">
      <c r="A11" t="s">
        <v>30</v>
      </c>
      <c r="B11" t="s">
        <v>31</v>
      </c>
      <c r="C11" s="10">
        <v>-30.002158999999999</v>
      </c>
      <c r="D11" s="9">
        <v>153.14892399999999</v>
      </c>
      <c r="E11" s="9">
        <v>0</v>
      </c>
      <c r="F11" s="1">
        <v>42866</v>
      </c>
      <c r="H11" t="s">
        <v>32</v>
      </c>
      <c r="K11">
        <v>10</v>
      </c>
      <c r="L11" t="s">
        <v>25</v>
      </c>
      <c r="M11">
        <v>8.8099999999999998E-2</v>
      </c>
      <c r="O11">
        <v>2</v>
      </c>
      <c r="P11">
        <v>5.8769999999999998</v>
      </c>
      <c r="Q11">
        <f>9.743+3.414+3.746</f>
        <v>16.902999999999999</v>
      </c>
    </row>
    <row r="12" spans="1:17" ht="16" x14ac:dyDescent="0.2">
      <c r="A12" t="s">
        <v>33</v>
      </c>
      <c r="B12" t="s">
        <v>13</v>
      </c>
      <c r="C12" s="8">
        <v>-29.997240000000001</v>
      </c>
      <c r="D12" s="9">
        <v>153.14993100000001</v>
      </c>
      <c r="E12" s="9">
        <v>0</v>
      </c>
      <c r="F12" s="1">
        <v>42870</v>
      </c>
      <c r="H12" t="s">
        <v>14</v>
      </c>
      <c r="K12">
        <v>11</v>
      </c>
      <c r="L12" t="s">
        <v>15</v>
      </c>
      <c r="M12">
        <v>0.10879999999999999</v>
      </c>
      <c r="O12">
        <v>2</v>
      </c>
      <c r="P12">
        <v>5.61</v>
      </c>
      <c r="Q12">
        <f>11.391+8.518</f>
        <v>19.908999999999999</v>
      </c>
    </row>
    <row r="13" spans="1:17" ht="16" x14ac:dyDescent="0.2">
      <c r="A13" t="s">
        <v>34</v>
      </c>
      <c r="B13" t="s">
        <v>13</v>
      </c>
      <c r="C13" s="8">
        <v>-29.997240000000001</v>
      </c>
      <c r="D13" s="9">
        <v>153.14993100000001</v>
      </c>
      <c r="E13" s="9">
        <v>0</v>
      </c>
      <c r="F13" s="1">
        <v>42870</v>
      </c>
      <c r="H13" t="s">
        <v>14</v>
      </c>
      <c r="K13">
        <v>12</v>
      </c>
      <c r="L13" t="s">
        <v>15</v>
      </c>
      <c r="M13">
        <v>9.7100000000000006E-2</v>
      </c>
      <c r="O13">
        <v>2</v>
      </c>
      <c r="P13">
        <v>5.3230000000000004</v>
      </c>
      <c r="Q13">
        <f>8.955+7.811</f>
        <v>16.765999999999998</v>
      </c>
    </row>
    <row r="14" spans="1:17" ht="16" x14ac:dyDescent="0.2">
      <c r="A14" t="s">
        <v>35</v>
      </c>
      <c r="B14" t="s">
        <v>13</v>
      </c>
      <c r="C14" s="8">
        <v>-29.997240000000001</v>
      </c>
      <c r="D14" s="9">
        <v>153.14993100000001</v>
      </c>
      <c r="E14" s="9">
        <v>0</v>
      </c>
      <c r="F14" s="1">
        <v>42870</v>
      </c>
      <c r="H14" t="s">
        <v>24</v>
      </c>
      <c r="K14">
        <v>13</v>
      </c>
      <c r="L14" t="s">
        <v>25</v>
      </c>
      <c r="M14">
        <v>6.8400000000000002E-2</v>
      </c>
      <c r="O14">
        <v>2</v>
      </c>
      <c r="P14">
        <v>2.3879999999999999</v>
      </c>
      <c r="Q14">
        <f>4.655+6.31</f>
        <v>10.965</v>
      </c>
    </row>
    <row r="15" spans="1:17" ht="16" x14ac:dyDescent="0.2">
      <c r="A15" t="s">
        <v>36</v>
      </c>
      <c r="B15" t="s">
        <v>13</v>
      </c>
      <c r="C15" s="8">
        <v>-29.997240000000001</v>
      </c>
      <c r="D15" s="9">
        <v>153.14993100000001</v>
      </c>
      <c r="E15" s="9">
        <v>0</v>
      </c>
      <c r="F15" s="1">
        <v>42870</v>
      </c>
      <c r="H15" t="s">
        <v>24</v>
      </c>
      <c r="K15">
        <v>14</v>
      </c>
      <c r="L15" t="s">
        <v>25</v>
      </c>
      <c r="M15">
        <v>6.8599999999999994E-2</v>
      </c>
      <c r="O15">
        <v>2</v>
      </c>
      <c r="P15">
        <v>2.8149999999999999</v>
      </c>
      <c r="Q15">
        <f>5.013+8.004</f>
        <v>13.016999999999999</v>
      </c>
    </row>
    <row r="16" spans="1:17" ht="16" x14ac:dyDescent="0.2">
      <c r="A16" t="s">
        <v>37</v>
      </c>
      <c r="B16" t="s">
        <v>13</v>
      </c>
      <c r="C16" s="8">
        <v>-29.997240000000001</v>
      </c>
      <c r="D16" s="9">
        <v>153.14993100000001</v>
      </c>
      <c r="E16" s="9">
        <v>0</v>
      </c>
      <c r="F16" s="1">
        <v>42870</v>
      </c>
      <c r="H16" t="s">
        <v>14</v>
      </c>
      <c r="K16">
        <v>15</v>
      </c>
      <c r="L16" t="s">
        <v>15</v>
      </c>
      <c r="M16">
        <v>7.0400000000000004E-2</v>
      </c>
      <c r="O16">
        <v>2</v>
      </c>
      <c r="P16">
        <v>2.601</v>
      </c>
      <c r="Q16">
        <f>6.235+4.324</f>
        <v>10.559000000000001</v>
      </c>
    </row>
    <row r="17" spans="1:17" ht="16" x14ac:dyDescent="0.2">
      <c r="A17" t="s">
        <v>38</v>
      </c>
      <c r="B17" t="s">
        <v>39</v>
      </c>
      <c r="C17" s="10">
        <v>-30.016062000000002</v>
      </c>
      <c r="D17" s="9">
        <v>153.12394800000001</v>
      </c>
      <c r="E17" s="9">
        <v>0</v>
      </c>
      <c r="F17" s="1">
        <v>42866</v>
      </c>
      <c r="H17" t="s">
        <v>14</v>
      </c>
      <c r="K17">
        <v>16</v>
      </c>
      <c r="L17" t="s">
        <v>15</v>
      </c>
      <c r="M17">
        <v>5.0000000000000001E-4</v>
      </c>
      <c r="O17" t="s">
        <v>40</v>
      </c>
    </row>
    <row r="18" spans="1:17" ht="16" x14ac:dyDescent="0.2">
      <c r="A18" t="s">
        <v>41</v>
      </c>
      <c r="B18" t="s">
        <v>42</v>
      </c>
      <c r="C18" s="10">
        <v>-29.988371999999998</v>
      </c>
      <c r="D18" s="9">
        <v>153.140602</v>
      </c>
      <c r="E18" s="9">
        <v>0</v>
      </c>
      <c r="F18" s="1">
        <v>42866</v>
      </c>
      <c r="K18">
        <v>17</v>
      </c>
      <c r="L18" t="s">
        <v>25</v>
      </c>
      <c r="M18">
        <v>6.8199999999999997E-2</v>
      </c>
      <c r="O18">
        <v>2</v>
      </c>
      <c r="P18">
        <v>2.0840000000000001</v>
      </c>
      <c r="Q18">
        <f>3.905+5.1856</f>
        <v>9.0906000000000002</v>
      </c>
    </row>
    <row r="19" spans="1:17" s="2" customFormat="1" ht="16" x14ac:dyDescent="0.2">
      <c r="A19" s="2" t="s">
        <v>43</v>
      </c>
      <c r="B19" s="2" t="s">
        <v>42</v>
      </c>
      <c r="C19" s="10">
        <v>-29.988371999999998</v>
      </c>
      <c r="D19" s="9">
        <v>153.140602</v>
      </c>
      <c r="E19" s="9">
        <v>0</v>
      </c>
      <c r="F19" s="3">
        <v>42866</v>
      </c>
      <c r="K19" s="2">
        <v>18</v>
      </c>
      <c r="L19" s="2" t="s">
        <v>25</v>
      </c>
      <c r="M19" s="2">
        <v>6.8099999999999994E-2</v>
      </c>
      <c r="N19" s="13"/>
      <c r="O19" s="2">
        <v>2</v>
      </c>
      <c r="P19" s="2" t="s">
        <v>44</v>
      </c>
      <c r="Q19" s="2" t="s">
        <v>44</v>
      </c>
    </row>
    <row r="20" spans="1:17" ht="16" x14ac:dyDescent="0.2">
      <c r="A20" t="s">
        <v>45</v>
      </c>
      <c r="B20" t="s">
        <v>46</v>
      </c>
      <c r="C20" s="10">
        <v>-30.011327999999999</v>
      </c>
      <c r="D20" s="9">
        <v>153.150711</v>
      </c>
      <c r="E20" s="9">
        <v>0</v>
      </c>
      <c r="F20" s="1">
        <v>42866</v>
      </c>
      <c r="G20" t="s">
        <v>47</v>
      </c>
      <c r="H20" t="s">
        <v>14</v>
      </c>
      <c r="K20">
        <v>19</v>
      </c>
      <c r="L20" t="s">
        <v>15</v>
      </c>
      <c r="M20">
        <v>9.2399999999999996E-2</v>
      </c>
      <c r="O20">
        <v>2</v>
      </c>
      <c r="P20">
        <v>5.1970000000000001</v>
      </c>
      <c r="Q20">
        <f>6.671+9.217</f>
        <v>15.888000000000002</v>
      </c>
    </row>
    <row r="21" spans="1:17" ht="16" x14ac:dyDescent="0.2">
      <c r="A21" t="s">
        <v>48</v>
      </c>
      <c r="B21" t="s">
        <v>23</v>
      </c>
      <c r="C21" s="10">
        <v>-30.011327999999999</v>
      </c>
      <c r="D21" s="9">
        <v>153.150711</v>
      </c>
      <c r="E21" s="9">
        <v>0</v>
      </c>
      <c r="F21" s="1">
        <v>42866</v>
      </c>
      <c r="G21" t="s">
        <v>47</v>
      </c>
      <c r="H21" t="s">
        <v>18</v>
      </c>
      <c r="K21">
        <v>20</v>
      </c>
      <c r="L21" t="s">
        <v>15</v>
      </c>
      <c r="M21">
        <v>8.8800000000000004E-2</v>
      </c>
      <c r="O21">
        <v>2</v>
      </c>
      <c r="P21">
        <v>5.1180000000000003</v>
      </c>
      <c r="Q21">
        <v>15.803000000000001</v>
      </c>
    </row>
    <row r="22" spans="1:17" ht="16" x14ac:dyDescent="0.2">
      <c r="A22" t="s">
        <v>49</v>
      </c>
      <c r="B22" t="s">
        <v>13</v>
      </c>
      <c r="C22" s="8">
        <v>-29.997240000000001</v>
      </c>
      <c r="D22" s="9">
        <v>153.14993100000001</v>
      </c>
      <c r="E22" s="9">
        <v>0</v>
      </c>
      <c r="F22" s="1">
        <v>42866</v>
      </c>
      <c r="H22" t="s">
        <v>24</v>
      </c>
      <c r="K22">
        <v>21</v>
      </c>
      <c r="L22" t="s">
        <v>25</v>
      </c>
      <c r="M22">
        <v>7.3700000000000002E-2</v>
      </c>
      <c r="O22">
        <v>2</v>
      </c>
      <c r="P22">
        <v>4.093</v>
      </c>
      <c r="Q22">
        <f>5.949+9.678</f>
        <v>15.627000000000001</v>
      </c>
    </row>
    <row r="23" spans="1:17" ht="16" x14ac:dyDescent="0.2">
      <c r="A23" t="s">
        <v>50</v>
      </c>
      <c r="B23" t="s">
        <v>23</v>
      </c>
      <c r="C23" s="10">
        <v>-30.011327999999999</v>
      </c>
      <c r="D23" s="9">
        <v>153.150711</v>
      </c>
      <c r="E23" s="9">
        <v>0</v>
      </c>
      <c r="F23" s="1">
        <v>42866</v>
      </c>
      <c r="H23" t="s">
        <v>24</v>
      </c>
      <c r="K23">
        <v>22</v>
      </c>
      <c r="L23" t="s">
        <v>25</v>
      </c>
      <c r="M23">
        <v>9.8199999999999996E-2</v>
      </c>
      <c r="O23">
        <v>2</v>
      </c>
      <c r="P23">
        <v>6.1269999999999998</v>
      </c>
      <c r="Q23">
        <f>13.131+6.134</f>
        <v>19.265000000000001</v>
      </c>
    </row>
    <row r="24" spans="1:17" ht="16" x14ac:dyDescent="0.2">
      <c r="A24" t="s">
        <v>51</v>
      </c>
      <c r="B24" t="s">
        <v>52</v>
      </c>
      <c r="C24" s="10">
        <v>-30.016062000000002</v>
      </c>
      <c r="D24" s="9">
        <v>153.12394800000001</v>
      </c>
      <c r="E24" s="9">
        <v>0</v>
      </c>
      <c r="F24" s="1">
        <v>42866</v>
      </c>
      <c r="G24" t="s">
        <v>47</v>
      </c>
      <c r="H24" t="s">
        <v>14</v>
      </c>
      <c r="K24">
        <v>23</v>
      </c>
      <c r="L24" t="s">
        <v>15</v>
      </c>
      <c r="M24">
        <v>1.8E-3</v>
      </c>
      <c r="O24" t="s">
        <v>40</v>
      </c>
    </row>
    <row r="25" spans="1:17" ht="16" x14ac:dyDescent="0.2">
      <c r="A25" t="s">
        <v>53</v>
      </c>
      <c r="B25" t="s">
        <v>23</v>
      </c>
      <c r="C25" s="10">
        <v>-30.011327999999999</v>
      </c>
      <c r="D25" s="9">
        <v>153.150711</v>
      </c>
      <c r="E25" s="9">
        <v>0</v>
      </c>
      <c r="F25" s="1">
        <v>42866</v>
      </c>
      <c r="G25" t="s">
        <v>47</v>
      </c>
      <c r="H25" t="s">
        <v>14</v>
      </c>
      <c r="K25">
        <v>24</v>
      </c>
      <c r="L25" t="s">
        <v>15</v>
      </c>
      <c r="M25">
        <v>8.7999999999999995E-2</v>
      </c>
      <c r="O25">
        <v>2</v>
      </c>
      <c r="P25">
        <v>4.798</v>
      </c>
      <c r="Q25">
        <v>15.225</v>
      </c>
    </row>
    <row r="26" spans="1:17" ht="16" x14ac:dyDescent="0.2">
      <c r="A26" t="s">
        <v>54</v>
      </c>
      <c r="B26" t="s">
        <v>55</v>
      </c>
      <c r="C26" s="8">
        <v>-29.997240000000001</v>
      </c>
      <c r="D26" s="9">
        <v>153.14993100000001</v>
      </c>
      <c r="E26" s="9">
        <v>0</v>
      </c>
      <c r="F26" s="1">
        <v>42866</v>
      </c>
      <c r="H26" t="s">
        <v>14</v>
      </c>
      <c r="K26">
        <v>25</v>
      </c>
      <c r="L26" t="s">
        <v>15</v>
      </c>
      <c r="M26">
        <v>7.0300000000000001E-2</v>
      </c>
      <c r="O26">
        <v>2</v>
      </c>
      <c r="P26">
        <v>2.254</v>
      </c>
      <c r="Q26">
        <v>10.516999999999999</v>
      </c>
    </row>
    <row r="27" spans="1:17" ht="16" x14ac:dyDescent="0.2">
      <c r="A27" t="s">
        <v>56</v>
      </c>
      <c r="B27" t="s">
        <v>17</v>
      </c>
      <c r="C27" s="10">
        <v>-29.943010999999998</v>
      </c>
      <c r="D27" s="9">
        <v>153.12657400000001</v>
      </c>
      <c r="E27" s="9">
        <v>0</v>
      </c>
      <c r="F27" s="1">
        <v>42866</v>
      </c>
      <c r="H27" t="s">
        <v>14</v>
      </c>
      <c r="K27">
        <v>26</v>
      </c>
      <c r="L27" t="s">
        <v>15</v>
      </c>
      <c r="M27">
        <v>6.9900000000000004E-2</v>
      </c>
      <c r="O27">
        <v>2</v>
      </c>
      <c r="P27">
        <v>2.2090000000000001</v>
      </c>
      <c r="Q27">
        <f>4.216+4.531</f>
        <v>8.7469999999999999</v>
      </c>
    </row>
    <row r="28" spans="1:17" ht="16" x14ac:dyDescent="0.2">
      <c r="A28" t="s">
        <v>57</v>
      </c>
      <c r="B28" t="s">
        <v>17</v>
      </c>
      <c r="C28" s="10">
        <v>-29.943010999999998</v>
      </c>
      <c r="D28" s="9">
        <v>153.12657400000001</v>
      </c>
      <c r="E28" s="9">
        <v>0</v>
      </c>
      <c r="F28" s="1">
        <v>42866</v>
      </c>
      <c r="H28" t="s">
        <v>14</v>
      </c>
      <c r="K28">
        <v>27</v>
      </c>
      <c r="L28" t="s">
        <v>15</v>
      </c>
      <c r="M28">
        <v>7.2999999999999995E-2</v>
      </c>
      <c r="O28">
        <v>2</v>
      </c>
      <c r="P28">
        <v>2.6829999999999998</v>
      </c>
      <c r="Q28">
        <f>6.098+5.59</f>
        <v>11.687999999999999</v>
      </c>
    </row>
    <row r="29" spans="1:17" ht="16" x14ac:dyDescent="0.2">
      <c r="A29" t="s">
        <v>58</v>
      </c>
      <c r="B29" t="s">
        <v>59</v>
      </c>
      <c r="C29" s="10">
        <v>-30.011327999999999</v>
      </c>
      <c r="D29" s="9">
        <v>153.150711</v>
      </c>
      <c r="E29" s="9">
        <v>0</v>
      </c>
      <c r="F29" s="1">
        <v>42866</v>
      </c>
      <c r="H29" t="s">
        <v>24</v>
      </c>
      <c r="K29">
        <v>28</v>
      </c>
      <c r="L29" t="s">
        <v>25</v>
      </c>
      <c r="M29">
        <v>9.2100000000000001E-2</v>
      </c>
      <c r="O29">
        <v>2</v>
      </c>
      <c r="P29">
        <v>6.2050000000000001</v>
      </c>
      <c r="Q29">
        <f>10.732+4.451+4.587</f>
        <v>19.77</v>
      </c>
    </row>
    <row r="30" spans="1:17" ht="16" x14ac:dyDescent="0.2">
      <c r="A30" t="s">
        <v>60</v>
      </c>
      <c r="B30" t="s">
        <v>13</v>
      </c>
      <c r="C30" s="8">
        <v>-29.997240000000001</v>
      </c>
      <c r="D30" s="9">
        <v>153.14993100000001</v>
      </c>
      <c r="E30" s="9">
        <v>0</v>
      </c>
      <c r="F30" s="1">
        <v>42866</v>
      </c>
      <c r="H30" t="s">
        <v>24</v>
      </c>
      <c r="K30">
        <v>29</v>
      </c>
      <c r="L30" t="s">
        <v>25</v>
      </c>
      <c r="M30">
        <v>7.0000000000000007E-2</v>
      </c>
      <c r="O30">
        <v>2</v>
      </c>
      <c r="P30">
        <v>2.258</v>
      </c>
      <c r="Q30">
        <f>3.369+3.171+4.471</f>
        <v>11.010999999999999</v>
      </c>
    </row>
    <row r="31" spans="1:17" ht="16" x14ac:dyDescent="0.2">
      <c r="A31" t="s">
        <v>61</v>
      </c>
      <c r="B31" t="s">
        <v>13</v>
      </c>
      <c r="C31" s="8">
        <v>-29.997240000000001</v>
      </c>
      <c r="D31" s="9">
        <v>153.14993100000001</v>
      </c>
      <c r="E31" s="9">
        <v>0</v>
      </c>
      <c r="F31" s="1">
        <v>42866</v>
      </c>
      <c r="H31" t="s">
        <v>24</v>
      </c>
      <c r="K31">
        <v>30</v>
      </c>
      <c r="L31" t="s">
        <v>25</v>
      </c>
      <c r="M31">
        <v>7.3099999999999998E-2</v>
      </c>
      <c r="O31">
        <v>2</v>
      </c>
      <c r="P31">
        <v>3.4329999999999998</v>
      </c>
      <c r="Q31">
        <f>4.708+8.646</f>
        <v>13.354000000000001</v>
      </c>
    </row>
    <row r="32" spans="1:17" ht="16" x14ac:dyDescent="0.2">
      <c r="A32" t="s">
        <v>62</v>
      </c>
      <c r="B32" t="s">
        <v>52</v>
      </c>
      <c r="C32" s="10">
        <v>-30.016062000000002</v>
      </c>
      <c r="D32" s="9">
        <v>153.12394800000001</v>
      </c>
      <c r="E32" s="9">
        <v>0</v>
      </c>
      <c r="F32" s="1">
        <v>42866</v>
      </c>
      <c r="H32" t="s">
        <v>14</v>
      </c>
      <c r="K32">
        <v>31</v>
      </c>
      <c r="L32" t="s">
        <v>15</v>
      </c>
      <c r="M32">
        <v>7.0199999999999999E-2</v>
      </c>
      <c r="O32">
        <v>2</v>
      </c>
      <c r="P32">
        <v>1.8660000000000001</v>
      </c>
      <c r="Q32">
        <v>8.9939999999999998</v>
      </c>
    </row>
    <row r="33" spans="1:17" ht="16" x14ac:dyDescent="0.2">
      <c r="A33" t="s">
        <v>63</v>
      </c>
      <c r="B33" t="s">
        <v>52</v>
      </c>
      <c r="C33" s="10">
        <v>-30.016062000000002</v>
      </c>
      <c r="D33" s="9">
        <v>153.12394800000001</v>
      </c>
      <c r="E33" s="9">
        <v>0</v>
      </c>
      <c r="F33" s="1">
        <v>42866</v>
      </c>
      <c r="H33" t="s">
        <v>14</v>
      </c>
      <c r="K33">
        <v>32</v>
      </c>
      <c r="L33" t="s">
        <v>15</v>
      </c>
      <c r="M33">
        <v>1.6999999999999999E-3</v>
      </c>
      <c r="O33" t="s">
        <v>40</v>
      </c>
    </row>
    <row r="34" spans="1:17" ht="16" x14ac:dyDescent="0.2">
      <c r="A34" t="s">
        <v>64</v>
      </c>
      <c r="B34" t="s">
        <v>31</v>
      </c>
      <c r="C34" s="10">
        <v>-30.002158999999999</v>
      </c>
      <c r="D34" s="9">
        <v>153.14892399999999</v>
      </c>
      <c r="E34" s="9">
        <v>0</v>
      </c>
      <c r="F34" s="1">
        <v>42866</v>
      </c>
      <c r="H34" t="s">
        <v>24</v>
      </c>
      <c r="K34">
        <v>33</v>
      </c>
      <c r="L34" t="s">
        <v>25</v>
      </c>
      <c r="M34">
        <v>8.7400000000000005E-2</v>
      </c>
      <c r="O34">
        <v>2</v>
      </c>
      <c r="P34">
        <v>6.2030000000000003</v>
      </c>
      <c r="Q34">
        <f>4.367+14.624</f>
        <v>18.991</v>
      </c>
    </row>
    <row r="35" spans="1:17" ht="16" x14ac:dyDescent="0.2">
      <c r="A35" t="s">
        <v>65</v>
      </c>
      <c r="B35" t="s">
        <v>17</v>
      </c>
      <c r="C35" s="10">
        <v>-29.943010999999998</v>
      </c>
      <c r="D35" s="9">
        <v>153.12657400000001</v>
      </c>
      <c r="E35" s="9">
        <v>0</v>
      </c>
      <c r="F35" s="1">
        <v>42866</v>
      </c>
      <c r="H35" t="s">
        <v>14</v>
      </c>
      <c r="K35">
        <v>34</v>
      </c>
      <c r="L35" t="s">
        <v>15</v>
      </c>
      <c r="M35">
        <v>6.9500000000000006E-2</v>
      </c>
      <c r="O35">
        <v>2</v>
      </c>
      <c r="P35">
        <v>1.823</v>
      </c>
      <c r="Q35">
        <f>3.604+4.259</f>
        <v>7.8630000000000004</v>
      </c>
    </row>
    <row r="36" spans="1:17" ht="16" x14ac:dyDescent="0.2">
      <c r="A36" t="s">
        <v>66</v>
      </c>
      <c r="B36" t="s">
        <v>17</v>
      </c>
      <c r="C36" s="10">
        <v>-29.943010999999998</v>
      </c>
      <c r="D36" s="9">
        <v>153.12657400000001</v>
      </c>
      <c r="E36" s="9">
        <v>0</v>
      </c>
      <c r="F36" s="1">
        <v>42870</v>
      </c>
      <c r="H36" t="s">
        <v>14</v>
      </c>
      <c r="K36">
        <v>35</v>
      </c>
      <c r="L36" t="s">
        <v>15</v>
      </c>
      <c r="M36">
        <v>7.7600000000000002E-2</v>
      </c>
      <c r="O36">
        <v>2</v>
      </c>
      <c r="P36">
        <v>3.3730000000000002</v>
      </c>
      <c r="Q36">
        <v>13.066000000000001</v>
      </c>
    </row>
    <row r="37" spans="1:17" ht="16" x14ac:dyDescent="0.2">
      <c r="A37" t="s">
        <v>67</v>
      </c>
      <c r="B37" t="s">
        <v>17</v>
      </c>
      <c r="C37" s="10">
        <v>-29.943010999999998</v>
      </c>
      <c r="D37" s="9">
        <v>153.12657400000001</v>
      </c>
      <c r="E37" s="9">
        <v>0</v>
      </c>
      <c r="F37" s="1">
        <v>42870</v>
      </c>
      <c r="H37" t="s">
        <v>14</v>
      </c>
      <c r="K37">
        <v>36</v>
      </c>
      <c r="L37" t="s">
        <v>15</v>
      </c>
      <c r="M37">
        <v>7.6200000000000004E-2</v>
      </c>
      <c r="O37">
        <v>2</v>
      </c>
      <c r="P37">
        <v>3.5059999999999998</v>
      </c>
      <c r="Q37">
        <f>11.219</f>
        <v>11.218999999999999</v>
      </c>
    </row>
    <row r="38" spans="1:17" ht="16" x14ac:dyDescent="0.2">
      <c r="A38" t="s">
        <v>68</v>
      </c>
      <c r="B38" t="s">
        <v>13</v>
      </c>
      <c r="C38" s="8">
        <v>-29.997240000000001</v>
      </c>
      <c r="D38" s="9">
        <v>153.14993100000001</v>
      </c>
      <c r="E38" s="9">
        <v>0</v>
      </c>
      <c r="F38" s="1">
        <v>42866</v>
      </c>
      <c r="H38" t="s">
        <v>14</v>
      </c>
      <c r="K38">
        <v>37</v>
      </c>
      <c r="L38" t="s">
        <v>15</v>
      </c>
      <c r="M38">
        <v>7.0300000000000001E-2</v>
      </c>
      <c r="O38">
        <v>2</v>
      </c>
      <c r="P38">
        <v>2.2069999999999999</v>
      </c>
      <c r="Q38">
        <f>3.542+4.707</f>
        <v>8.2489999999999988</v>
      </c>
    </row>
    <row r="39" spans="1:17" ht="16" x14ac:dyDescent="0.2">
      <c r="A39" t="s">
        <v>69</v>
      </c>
      <c r="B39" t="s">
        <v>13</v>
      </c>
      <c r="C39" s="8">
        <v>-29.997240000000001</v>
      </c>
      <c r="D39" s="9">
        <v>153.14993100000001</v>
      </c>
      <c r="E39" s="9">
        <v>0</v>
      </c>
      <c r="F39" s="1">
        <v>42866</v>
      </c>
      <c r="H39" t="s">
        <v>24</v>
      </c>
      <c r="K39">
        <v>38</v>
      </c>
      <c r="L39" t="s">
        <v>25</v>
      </c>
      <c r="M39">
        <v>7.1099999999999997E-2</v>
      </c>
      <c r="O39">
        <v>2</v>
      </c>
      <c r="P39">
        <v>3.7730000000000001</v>
      </c>
      <c r="Q39">
        <f>5.668+9.189</f>
        <v>14.856999999999999</v>
      </c>
    </row>
    <row r="40" spans="1:17" ht="16" x14ac:dyDescent="0.2">
      <c r="A40" t="s">
        <v>70</v>
      </c>
      <c r="B40" t="s">
        <v>71</v>
      </c>
      <c r="C40" s="10">
        <v>-30.016062000000002</v>
      </c>
      <c r="D40" s="9">
        <v>153.12394800000001</v>
      </c>
      <c r="E40" s="9">
        <v>0</v>
      </c>
      <c r="F40" s="1">
        <v>42866</v>
      </c>
      <c r="G40" t="s">
        <v>47</v>
      </c>
      <c r="H40" t="s">
        <v>14</v>
      </c>
      <c r="K40">
        <v>39</v>
      </c>
      <c r="L40" t="s">
        <v>15</v>
      </c>
      <c r="M40">
        <v>7.5700000000000003E-2</v>
      </c>
      <c r="O40">
        <v>2</v>
      </c>
      <c r="P40">
        <v>3.1339999999999999</v>
      </c>
      <c r="Q40">
        <f>5.335+6.467</f>
        <v>11.802</v>
      </c>
    </row>
    <row r="41" spans="1:17" ht="16" x14ac:dyDescent="0.2">
      <c r="A41" t="s">
        <v>72</v>
      </c>
      <c r="B41" t="s">
        <v>73</v>
      </c>
      <c r="C41" s="10">
        <v>-29.999849000000001</v>
      </c>
      <c r="D41" s="9">
        <v>153.13921999999999</v>
      </c>
      <c r="E41" s="9">
        <v>0</v>
      </c>
      <c r="F41" s="1">
        <v>42866</v>
      </c>
      <c r="H41" t="s">
        <v>24</v>
      </c>
      <c r="K41">
        <v>40</v>
      </c>
      <c r="L41" t="s">
        <v>25</v>
      </c>
      <c r="M41">
        <v>6.9400000000000003E-2</v>
      </c>
      <c r="O41">
        <v>2</v>
      </c>
      <c r="P41">
        <v>2.069</v>
      </c>
      <c r="Q41">
        <f>3.086+1.525+5.726</f>
        <v>10.337</v>
      </c>
    </row>
    <row r="42" spans="1:17" ht="16" x14ac:dyDescent="0.2">
      <c r="A42" t="s">
        <v>74</v>
      </c>
      <c r="B42" t="s">
        <v>73</v>
      </c>
      <c r="C42" s="10">
        <v>-29.999849000000001</v>
      </c>
      <c r="D42" s="9">
        <v>153.13921999999999</v>
      </c>
      <c r="E42" s="9">
        <v>0</v>
      </c>
      <c r="F42" s="1">
        <v>42866</v>
      </c>
      <c r="H42" t="s">
        <v>24</v>
      </c>
      <c r="K42">
        <v>41</v>
      </c>
      <c r="L42" t="s">
        <v>25</v>
      </c>
      <c r="M42">
        <v>6.8199999999999997E-2</v>
      </c>
      <c r="O42">
        <v>2</v>
      </c>
      <c r="P42">
        <v>1.855</v>
      </c>
      <c r="Q42">
        <f>4.8038+6.7154</f>
        <v>11.5192</v>
      </c>
    </row>
    <row r="43" spans="1:17" ht="16" x14ac:dyDescent="0.2">
      <c r="A43" t="s">
        <v>75</v>
      </c>
      <c r="B43" t="s">
        <v>76</v>
      </c>
      <c r="C43" s="10">
        <v>-30.004933000000001</v>
      </c>
      <c r="D43" s="9">
        <v>153.09672599999999</v>
      </c>
      <c r="E43" s="9">
        <v>0</v>
      </c>
      <c r="F43" s="1">
        <v>42871</v>
      </c>
      <c r="H43" t="s">
        <v>14</v>
      </c>
      <c r="K43">
        <v>42</v>
      </c>
      <c r="L43" t="s">
        <v>15</v>
      </c>
      <c r="M43">
        <v>7.0099999999999996E-2</v>
      </c>
      <c r="O43">
        <v>2</v>
      </c>
      <c r="P43">
        <v>2.6739999999999999</v>
      </c>
      <c r="Q43">
        <f>5.797+5.139</f>
        <v>10.936</v>
      </c>
    </row>
    <row r="44" spans="1:17" ht="16" x14ac:dyDescent="0.2">
      <c r="A44" t="s">
        <v>77</v>
      </c>
      <c r="B44" t="s">
        <v>76</v>
      </c>
      <c r="C44" s="10">
        <v>-30.004933000000001</v>
      </c>
      <c r="D44" s="9">
        <v>153.09672599999999</v>
      </c>
      <c r="E44" s="9">
        <v>0</v>
      </c>
      <c r="F44" s="1">
        <v>42871</v>
      </c>
      <c r="H44" t="s">
        <v>14</v>
      </c>
      <c r="K44">
        <v>43</v>
      </c>
      <c r="L44" t="s">
        <v>15</v>
      </c>
      <c r="M44">
        <v>0.1007</v>
      </c>
      <c r="O44">
        <v>2</v>
      </c>
      <c r="P44">
        <v>5.5259999999999998</v>
      </c>
      <c r="Q44">
        <v>17.399999999999999</v>
      </c>
    </row>
    <row r="45" spans="1:17" ht="16" x14ac:dyDescent="0.2">
      <c r="A45" t="s">
        <v>78</v>
      </c>
      <c r="B45" t="s">
        <v>76</v>
      </c>
      <c r="C45" s="10">
        <v>-30.004933000000001</v>
      </c>
      <c r="D45" s="9">
        <v>153.09672599999999</v>
      </c>
      <c r="E45" s="9">
        <v>0</v>
      </c>
      <c r="F45" s="1">
        <v>42871</v>
      </c>
      <c r="H45" t="s">
        <v>14</v>
      </c>
      <c r="K45">
        <v>44</v>
      </c>
      <c r="L45" t="s">
        <v>15</v>
      </c>
      <c r="M45">
        <v>9.6000000000000002E-2</v>
      </c>
      <c r="O45">
        <v>3</v>
      </c>
      <c r="P45">
        <v>6.4669999999999996</v>
      </c>
      <c r="Q45">
        <f>9.692+10.07</f>
        <v>19.762</v>
      </c>
    </row>
    <row r="46" spans="1:17" ht="16" x14ac:dyDescent="0.2">
      <c r="A46" t="s">
        <v>79</v>
      </c>
      <c r="B46" t="s">
        <v>80</v>
      </c>
      <c r="C46" s="10">
        <v>-29.941600000000001</v>
      </c>
      <c r="D46" s="9">
        <v>153.12843699999999</v>
      </c>
      <c r="E46" s="9">
        <v>0</v>
      </c>
      <c r="F46" s="1">
        <v>42880</v>
      </c>
      <c r="H46" t="s">
        <v>14</v>
      </c>
      <c r="K46">
        <v>45</v>
      </c>
      <c r="L46" t="s">
        <v>15</v>
      </c>
      <c r="M46">
        <v>1.6000000000000001E-3</v>
      </c>
      <c r="O46" t="s">
        <v>40</v>
      </c>
    </row>
    <row r="47" spans="1:17" ht="16" x14ac:dyDescent="0.2">
      <c r="A47" t="s">
        <v>81</v>
      </c>
      <c r="B47" t="s">
        <v>82</v>
      </c>
      <c r="C47" s="10">
        <v>-29.983162</v>
      </c>
      <c r="D47" s="9">
        <v>153.229219</v>
      </c>
      <c r="E47" s="9">
        <v>0</v>
      </c>
      <c r="F47" s="1">
        <v>42877</v>
      </c>
      <c r="H47" t="s">
        <v>14</v>
      </c>
      <c r="J47" t="s">
        <v>83</v>
      </c>
      <c r="K47">
        <v>46</v>
      </c>
      <c r="L47" t="s">
        <v>15</v>
      </c>
      <c r="M47">
        <v>0.156</v>
      </c>
      <c r="O47">
        <v>1</v>
      </c>
      <c r="P47">
        <v>6.5830000000000002</v>
      </c>
      <c r="Q47">
        <f>9.4835+12.314</f>
        <v>21.797499999999999</v>
      </c>
    </row>
    <row r="48" spans="1:17" ht="16" x14ac:dyDescent="0.2">
      <c r="A48" t="s">
        <v>84</v>
      </c>
      <c r="B48" t="s">
        <v>17</v>
      </c>
      <c r="C48" s="10">
        <v>-29.943010999999998</v>
      </c>
      <c r="D48" s="9">
        <v>153.12657400000001</v>
      </c>
      <c r="E48" s="9">
        <v>0</v>
      </c>
      <c r="F48" s="1">
        <v>42871</v>
      </c>
      <c r="G48" t="s">
        <v>85</v>
      </c>
      <c r="H48" t="s">
        <v>32</v>
      </c>
      <c r="K48">
        <v>47</v>
      </c>
      <c r="L48" t="s">
        <v>25</v>
      </c>
      <c r="M48">
        <v>4.3999999999999997E-2</v>
      </c>
      <c r="O48">
        <v>3</v>
      </c>
      <c r="P48">
        <v>3.1269999999999998</v>
      </c>
      <c r="Q48">
        <f>6.557+6.042</f>
        <v>12.599</v>
      </c>
    </row>
    <row r="49" spans="1:17" ht="16" x14ac:dyDescent="0.2">
      <c r="A49" t="s">
        <v>86</v>
      </c>
      <c r="B49" t="s">
        <v>87</v>
      </c>
      <c r="C49" s="10">
        <v>-30.011405</v>
      </c>
      <c r="D49" s="9">
        <v>153.11167499999999</v>
      </c>
      <c r="E49" s="9">
        <v>0</v>
      </c>
      <c r="F49" s="1">
        <v>42878</v>
      </c>
      <c r="H49" t="s">
        <v>14</v>
      </c>
      <c r="K49">
        <v>48</v>
      </c>
      <c r="L49" t="s">
        <v>15</v>
      </c>
      <c r="M49">
        <v>0.21590000000000001</v>
      </c>
      <c r="O49">
        <v>1</v>
      </c>
      <c r="P49">
        <v>8.0190000000000001</v>
      </c>
      <c r="Q49">
        <f>14.087+12.198</f>
        <v>26.285</v>
      </c>
    </row>
    <row r="50" spans="1:17" ht="16" x14ac:dyDescent="0.2">
      <c r="A50" t="s">
        <v>88</v>
      </c>
      <c r="B50" t="s">
        <v>23</v>
      </c>
      <c r="C50" s="10">
        <v>-30.011327999999999</v>
      </c>
      <c r="D50" s="9">
        <v>153.150711</v>
      </c>
      <c r="E50" s="9">
        <v>0</v>
      </c>
      <c r="F50" s="1">
        <v>42871</v>
      </c>
      <c r="G50" t="s">
        <v>89</v>
      </c>
      <c r="H50" t="s">
        <v>18</v>
      </c>
      <c r="K50">
        <v>49</v>
      </c>
      <c r="L50" t="s">
        <v>15</v>
      </c>
      <c r="M50">
        <v>6.9699999999999998E-2</v>
      </c>
      <c r="O50">
        <v>3</v>
      </c>
      <c r="P50">
        <v>2.2509999999999999</v>
      </c>
      <c r="Q50">
        <f>5.715+4.666</f>
        <v>10.381</v>
      </c>
    </row>
    <row r="51" spans="1:17" ht="16" x14ac:dyDescent="0.2">
      <c r="A51" t="s">
        <v>90</v>
      </c>
      <c r="B51" t="s">
        <v>59</v>
      </c>
      <c r="C51" s="10">
        <v>-30.011327999999999</v>
      </c>
      <c r="D51" s="9">
        <v>153.150711</v>
      </c>
      <c r="E51" s="9">
        <v>0</v>
      </c>
      <c r="F51" s="1">
        <v>42871</v>
      </c>
      <c r="G51" t="s">
        <v>91</v>
      </c>
      <c r="H51" t="s">
        <v>18</v>
      </c>
      <c r="K51">
        <v>50</v>
      </c>
      <c r="L51" t="s">
        <v>15</v>
      </c>
      <c r="M51">
        <v>8.9499999999999996E-2</v>
      </c>
      <c r="O51">
        <v>2</v>
      </c>
      <c r="P51">
        <v>4.3390000000000004</v>
      </c>
      <c r="Q51">
        <v>16.844999999999999</v>
      </c>
    </row>
    <row r="52" spans="1:17" ht="16" x14ac:dyDescent="0.2">
      <c r="A52" t="s">
        <v>92</v>
      </c>
      <c r="B52" t="s">
        <v>17</v>
      </c>
      <c r="C52" s="10">
        <v>-29.943010999999998</v>
      </c>
      <c r="D52" s="9">
        <v>153.12657400000001</v>
      </c>
      <c r="E52" s="9">
        <v>0</v>
      </c>
      <c r="F52" s="1">
        <v>42871</v>
      </c>
      <c r="G52" t="s">
        <v>85</v>
      </c>
      <c r="H52" t="s">
        <v>93</v>
      </c>
      <c r="K52">
        <v>51</v>
      </c>
      <c r="L52" t="s">
        <v>15</v>
      </c>
      <c r="M52">
        <v>8.0000000000000004E-4</v>
      </c>
      <c r="O52" t="s">
        <v>40</v>
      </c>
    </row>
    <row r="53" spans="1:17" ht="16" x14ac:dyDescent="0.2">
      <c r="A53" t="s">
        <v>94</v>
      </c>
      <c r="B53" t="s">
        <v>17</v>
      </c>
      <c r="C53" s="10">
        <v>-29.943010999999998</v>
      </c>
      <c r="D53" s="9">
        <v>153.12657400000001</v>
      </c>
      <c r="E53" s="9">
        <v>0</v>
      </c>
      <c r="F53" s="1">
        <v>42871</v>
      </c>
      <c r="G53" t="s">
        <v>85</v>
      </c>
      <c r="H53" t="s">
        <v>18</v>
      </c>
      <c r="K53">
        <v>52</v>
      </c>
      <c r="L53" t="s">
        <v>15</v>
      </c>
      <c r="M53">
        <v>7.4800000000000005E-2</v>
      </c>
      <c r="O53">
        <v>2</v>
      </c>
      <c r="P53">
        <v>2.9649999999999999</v>
      </c>
      <c r="Q53">
        <v>11.666</v>
      </c>
    </row>
    <row r="54" spans="1:17" ht="16" x14ac:dyDescent="0.2">
      <c r="A54" t="s">
        <v>95</v>
      </c>
      <c r="B54" t="s">
        <v>17</v>
      </c>
      <c r="C54" s="10">
        <v>-29.943010999999998</v>
      </c>
      <c r="D54" s="9">
        <v>153.12657400000001</v>
      </c>
      <c r="E54" s="9">
        <v>0</v>
      </c>
      <c r="F54" s="1">
        <v>42871</v>
      </c>
      <c r="G54" t="s">
        <v>85</v>
      </c>
      <c r="H54" t="s">
        <v>14</v>
      </c>
      <c r="K54">
        <v>53</v>
      </c>
      <c r="L54" t="s">
        <v>15</v>
      </c>
      <c r="M54">
        <v>5.5300000000000002E-3</v>
      </c>
      <c r="O54">
        <v>3</v>
      </c>
      <c r="P54">
        <v>4.3150000000000004</v>
      </c>
      <c r="Q54">
        <v>13.86</v>
      </c>
    </row>
    <row r="55" spans="1:17" ht="16" x14ac:dyDescent="0.2">
      <c r="A55" t="s">
        <v>96</v>
      </c>
      <c r="B55" t="s">
        <v>17</v>
      </c>
      <c r="C55" s="10">
        <v>-29.943010999999998</v>
      </c>
      <c r="D55" s="9">
        <v>153.12657400000001</v>
      </c>
      <c r="E55" s="9">
        <v>0</v>
      </c>
      <c r="F55" s="1">
        <v>42871</v>
      </c>
      <c r="G55" t="s">
        <v>85</v>
      </c>
      <c r="H55" t="s">
        <v>18</v>
      </c>
      <c r="K55">
        <v>54</v>
      </c>
      <c r="L55" t="s">
        <v>15</v>
      </c>
      <c r="M55">
        <v>6.9199999999999998E-2</v>
      </c>
      <c r="O55">
        <v>2</v>
      </c>
      <c r="P55">
        <v>1.7889999999999999</v>
      </c>
      <c r="Q55">
        <v>6.51</v>
      </c>
    </row>
    <row r="56" spans="1:17" s="2" customFormat="1" ht="16" x14ac:dyDescent="0.2">
      <c r="A56" s="2" t="s">
        <v>97</v>
      </c>
      <c r="B56" s="2" t="s">
        <v>59</v>
      </c>
      <c r="C56" s="10">
        <v>-30.011327999999999</v>
      </c>
      <c r="D56" s="9">
        <v>153.150711</v>
      </c>
      <c r="E56" s="9">
        <v>0</v>
      </c>
      <c r="F56" s="3">
        <v>42871</v>
      </c>
      <c r="H56" s="2" t="s">
        <v>98</v>
      </c>
      <c r="K56" s="2">
        <v>55</v>
      </c>
      <c r="L56" s="2" t="s">
        <v>44</v>
      </c>
      <c r="M56" s="2" t="s">
        <v>44</v>
      </c>
      <c r="N56" s="13"/>
      <c r="O56" s="2" t="s">
        <v>44</v>
      </c>
      <c r="P56" s="2" t="s">
        <v>44</v>
      </c>
      <c r="Q56" s="2" t="s">
        <v>44</v>
      </c>
    </row>
    <row r="57" spans="1:17" ht="16" x14ac:dyDescent="0.2">
      <c r="A57" t="s">
        <v>99</v>
      </c>
      <c r="B57" t="s">
        <v>23</v>
      </c>
      <c r="C57" s="10">
        <v>-30.011327999999999</v>
      </c>
      <c r="D57" s="9">
        <v>153.150711</v>
      </c>
      <c r="E57" s="9">
        <v>0</v>
      </c>
      <c r="F57" s="1">
        <v>42871</v>
      </c>
      <c r="H57" t="s">
        <v>32</v>
      </c>
      <c r="K57">
        <v>56</v>
      </c>
      <c r="L57" t="s">
        <v>25</v>
      </c>
      <c r="M57">
        <v>9.4700000000000006E-2</v>
      </c>
      <c r="O57">
        <v>2</v>
      </c>
      <c r="P57">
        <v>6.1909999999999998</v>
      </c>
      <c r="Q57">
        <f>10.057+3.311+2.297+2.837</f>
        <v>18.502000000000002</v>
      </c>
    </row>
    <row r="58" spans="1:17" ht="16" x14ac:dyDescent="0.2">
      <c r="A58" t="s">
        <v>100</v>
      </c>
      <c r="B58" t="s">
        <v>17</v>
      </c>
      <c r="C58" s="10">
        <v>-29.943010999999998</v>
      </c>
      <c r="D58" s="9">
        <v>153.12657400000001</v>
      </c>
      <c r="E58" s="9">
        <v>0</v>
      </c>
      <c r="F58" s="1">
        <v>42871</v>
      </c>
      <c r="G58" t="s">
        <v>85</v>
      </c>
      <c r="H58" t="s">
        <v>14</v>
      </c>
      <c r="K58">
        <v>57</v>
      </c>
      <c r="L58" t="s">
        <v>15</v>
      </c>
      <c r="M58">
        <v>4.19E-2</v>
      </c>
      <c r="O58">
        <v>3</v>
      </c>
      <c r="P58">
        <v>2.1520000000000001</v>
      </c>
      <c r="Q58">
        <f>4.43+1.267+2.782</f>
        <v>8.4789999999999992</v>
      </c>
    </row>
    <row r="59" spans="1:17" ht="16" x14ac:dyDescent="0.2">
      <c r="A59" t="s">
        <v>101</v>
      </c>
      <c r="B59" t="s">
        <v>17</v>
      </c>
      <c r="C59" s="10">
        <v>-29.943010999999998</v>
      </c>
      <c r="D59" s="9">
        <v>153.12657400000001</v>
      </c>
      <c r="E59" s="9">
        <v>0</v>
      </c>
      <c r="F59" s="1">
        <v>42871</v>
      </c>
      <c r="G59" t="s">
        <v>85</v>
      </c>
      <c r="H59" t="s">
        <v>32</v>
      </c>
      <c r="K59">
        <v>58</v>
      </c>
      <c r="L59" t="s">
        <v>25</v>
      </c>
      <c r="M59">
        <v>3.95E-2</v>
      </c>
      <c r="O59">
        <v>3</v>
      </c>
      <c r="P59">
        <v>2.2949999999999999</v>
      </c>
      <c r="Q59">
        <f>6.498+3.149</f>
        <v>9.6470000000000002</v>
      </c>
    </row>
    <row r="60" spans="1:17" ht="16" x14ac:dyDescent="0.2">
      <c r="A60" t="s">
        <v>102</v>
      </c>
      <c r="B60" t="s">
        <v>17</v>
      </c>
      <c r="C60" s="10">
        <v>-29.943010999999998</v>
      </c>
      <c r="D60" s="9">
        <v>153.12657400000001</v>
      </c>
      <c r="E60" s="9">
        <v>0</v>
      </c>
      <c r="F60" s="1">
        <v>42871</v>
      </c>
      <c r="G60" t="s">
        <v>85</v>
      </c>
      <c r="H60" t="s">
        <v>32</v>
      </c>
      <c r="K60">
        <v>59</v>
      </c>
      <c r="L60" t="s">
        <v>25</v>
      </c>
      <c r="M60">
        <v>4.6100000000000002E-2</v>
      </c>
      <c r="O60">
        <v>3</v>
      </c>
      <c r="P60">
        <v>3.6829999999999998</v>
      </c>
      <c r="Q60">
        <f>9.899+7.103</f>
        <v>17.001999999999999</v>
      </c>
    </row>
    <row r="61" spans="1:17" ht="16" x14ac:dyDescent="0.2">
      <c r="A61" t="s">
        <v>103</v>
      </c>
      <c r="B61" t="s">
        <v>17</v>
      </c>
      <c r="C61" s="10">
        <v>-29.943010999999998</v>
      </c>
      <c r="D61" s="9">
        <v>153.12657400000001</v>
      </c>
      <c r="E61" s="9">
        <v>0</v>
      </c>
      <c r="F61" s="1">
        <v>42871</v>
      </c>
      <c r="G61" t="s">
        <v>85</v>
      </c>
      <c r="H61" t="s">
        <v>14</v>
      </c>
      <c r="K61">
        <v>60</v>
      </c>
      <c r="L61" t="s">
        <v>15</v>
      </c>
      <c r="M61">
        <v>6.9999999999999999E-4</v>
      </c>
      <c r="O61" t="s">
        <v>40</v>
      </c>
    </row>
    <row r="62" spans="1:17" ht="16" x14ac:dyDescent="0.2">
      <c r="A62" t="s">
        <v>104</v>
      </c>
      <c r="B62" t="s">
        <v>17</v>
      </c>
      <c r="C62" s="10">
        <v>-29.943010999999998</v>
      </c>
      <c r="D62" s="9">
        <v>153.12657400000001</v>
      </c>
      <c r="E62" s="9">
        <v>0</v>
      </c>
      <c r="F62" s="1">
        <v>42871</v>
      </c>
      <c r="G62" t="s">
        <v>85</v>
      </c>
      <c r="H62" t="s">
        <v>14</v>
      </c>
      <c r="K62">
        <v>61</v>
      </c>
      <c r="L62" t="s">
        <v>15</v>
      </c>
      <c r="M62">
        <v>9.3100000000000002E-2</v>
      </c>
      <c r="O62">
        <v>2</v>
      </c>
      <c r="P62">
        <v>4.9630000000000001</v>
      </c>
      <c r="Q62">
        <v>15.112</v>
      </c>
    </row>
    <row r="63" spans="1:17" ht="16" x14ac:dyDescent="0.2">
      <c r="A63" t="s">
        <v>105</v>
      </c>
      <c r="B63" t="s">
        <v>23</v>
      </c>
      <c r="C63" s="10">
        <v>-30.011327999999999</v>
      </c>
      <c r="D63" s="9">
        <v>153.150711</v>
      </c>
      <c r="E63" s="9">
        <v>0</v>
      </c>
      <c r="F63" s="1">
        <v>42871</v>
      </c>
      <c r="H63" t="s">
        <v>14</v>
      </c>
      <c r="K63">
        <v>62</v>
      </c>
      <c r="L63" t="s">
        <v>15</v>
      </c>
      <c r="M63">
        <v>4.2599999999999999E-2</v>
      </c>
      <c r="O63">
        <v>3</v>
      </c>
      <c r="P63">
        <v>2.4209999999999998</v>
      </c>
      <c r="Q63">
        <v>11.164999999999999</v>
      </c>
    </row>
    <row r="64" spans="1:17" ht="16" x14ac:dyDescent="0.2">
      <c r="A64" t="s">
        <v>106</v>
      </c>
      <c r="B64" t="s">
        <v>23</v>
      </c>
      <c r="C64" s="10">
        <v>-30.011327999999999</v>
      </c>
      <c r="D64" s="9">
        <v>153.150711</v>
      </c>
      <c r="E64" s="9">
        <v>0</v>
      </c>
      <c r="F64" s="1">
        <v>42871</v>
      </c>
      <c r="H64" t="s">
        <v>32</v>
      </c>
      <c r="K64">
        <v>63</v>
      </c>
      <c r="L64" t="s">
        <v>25</v>
      </c>
      <c r="M64">
        <v>9.8799999999999999E-2</v>
      </c>
      <c r="O64">
        <v>2</v>
      </c>
      <c r="P64">
        <v>6.3620000000000001</v>
      </c>
      <c r="Q64">
        <f>10.925+3.832+2.388+2.609</f>
        <v>19.754000000000005</v>
      </c>
    </row>
    <row r="65" spans="1:17" s="2" customFormat="1" ht="16" x14ac:dyDescent="0.2">
      <c r="A65" s="2" t="s">
        <v>107</v>
      </c>
      <c r="B65" s="2" t="s">
        <v>17</v>
      </c>
      <c r="C65" s="10">
        <v>-29.943010999999998</v>
      </c>
      <c r="D65" s="9">
        <v>153.12657400000001</v>
      </c>
      <c r="E65" s="9">
        <v>0</v>
      </c>
      <c r="F65" s="3">
        <v>42871</v>
      </c>
      <c r="G65" s="2" t="s">
        <v>85</v>
      </c>
      <c r="H65" s="2" t="s">
        <v>108</v>
      </c>
      <c r="K65" s="2">
        <v>64</v>
      </c>
      <c r="L65" s="2" t="s">
        <v>44</v>
      </c>
      <c r="M65" s="2" t="s">
        <v>44</v>
      </c>
      <c r="N65" s="13"/>
      <c r="O65" s="2" t="s">
        <v>44</v>
      </c>
      <c r="P65" s="2" t="s">
        <v>44</v>
      </c>
      <c r="Q65" s="2" t="s">
        <v>44</v>
      </c>
    </row>
    <row r="66" spans="1:17" ht="16" x14ac:dyDescent="0.2">
      <c r="A66" t="s">
        <v>109</v>
      </c>
      <c r="B66" t="s">
        <v>59</v>
      </c>
      <c r="C66" s="10">
        <v>-30.011327999999999</v>
      </c>
      <c r="D66" s="9">
        <v>153.150711</v>
      </c>
      <c r="E66" s="9">
        <v>0</v>
      </c>
      <c r="F66" s="1">
        <v>42871</v>
      </c>
      <c r="G66" t="s">
        <v>85</v>
      </c>
      <c r="H66" t="s">
        <v>18</v>
      </c>
      <c r="K66">
        <v>65</v>
      </c>
      <c r="L66" t="s">
        <v>15</v>
      </c>
      <c r="M66">
        <v>4.1099999999999998E-2</v>
      </c>
      <c r="O66">
        <v>3</v>
      </c>
      <c r="P66">
        <v>1.9750000000000001</v>
      </c>
      <c r="Q66">
        <f>3.578+2.782</f>
        <v>6.3599999999999994</v>
      </c>
    </row>
    <row r="67" spans="1:17" ht="16" x14ac:dyDescent="0.2">
      <c r="A67" t="s">
        <v>110</v>
      </c>
      <c r="B67" t="s">
        <v>59</v>
      </c>
      <c r="C67" s="10">
        <v>-30.011327999999999</v>
      </c>
      <c r="D67" s="9">
        <v>153.150711</v>
      </c>
      <c r="E67" s="9">
        <v>0</v>
      </c>
      <c r="F67" s="1">
        <v>42871</v>
      </c>
      <c r="G67" t="s">
        <v>85</v>
      </c>
      <c r="H67" t="s">
        <v>18</v>
      </c>
      <c r="K67">
        <v>66</v>
      </c>
      <c r="L67" t="s">
        <v>15</v>
      </c>
      <c r="M67">
        <v>4.0500000000000001E-2</v>
      </c>
      <c r="O67">
        <v>3</v>
      </c>
      <c r="P67">
        <v>2.044</v>
      </c>
      <c r="Q67">
        <f>4.123+2.837</f>
        <v>6.9600000000000009</v>
      </c>
    </row>
    <row r="68" spans="1:17" ht="16" x14ac:dyDescent="0.2">
      <c r="A68" t="s">
        <v>111</v>
      </c>
      <c r="B68" t="s">
        <v>23</v>
      </c>
      <c r="C68" s="10">
        <v>-30.011327999999999</v>
      </c>
      <c r="D68" s="9">
        <v>153.150711</v>
      </c>
      <c r="E68" s="9">
        <v>0</v>
      </c>
      <c r="F68" s="1">
        <v>42871</v>
      </c>
      <c r="G68" t="s">
        <v>112</v>
      </c>
      <c r="H68" t="s">
        <v>14</v>
      </c>
      <c r="K68">
        <v>67</v>
      </c>
      <c r="L68" t="s">
        <v>15</v>
      </c>
      <c r="M68">
        <v>0.13769999999999999</v>
      </c>
      <c r="O68">
        <v>1</v>
      </c>
      <c r="P68">
        <v>6.2220000000000004</v>
      </c>
      <c r="Q68">
        <v>20.071999999999999</v>
      </c>
    </row>
    <row r="69" spans="1:17" ht="16" x14ac:dyDescent="0.2">
      <c r="A69" t="s">
        <v>113</v>
      </c>
      <c r="B69" t="s">
        <v>17</v>
      </c>
      <c r="C69" s="10">
        <v>-29.943010999999998</v>
      </c>
      <c r="D69" s="9">
        <v>153.12657400000001</v>
      </c>
      <c r="E69" s="9">
        <v>0</v>
      </c>
      <c r="F69" s="1">
        <v>42871</v>
      </c>
      <c r="G69" t="s">
        <v>85</v>
      </c>
      <c r="H69" t="s">
        <v>14</v>
      </c>
      <c r="K69">
        <v>68</v>
      </c>
      <c r="L69" t="s">
        <v>15</v>
      </c>
      <c r="M69">
        <v>7.8899999999999998E-2</v>
      </c>
      <c r="O69">
        <v>2</v>
      </c>
      <c r="P69">
        <v>3.6059999999999999</v>
      </c>
      <c r="Q69">
        <f>6.749+6.837</f>
        <v>13.585999999999999</v>
      </c>
    </row>
    <row r="70" spans="1:17" ht="16" x14ac:dyDescent="0.2">
      <c r="A70" t="s">
        <v>114</v>
      </c>
      <c r="B70" t="s">
        <v>17</v>
      </c>
      <c r="C70" s="10">
        <v>-29.943010999999998</v>
      </c>
      <c r="D70" s="9">
        <v>153.12657400000001</v>
      </c>
      <c r="E70" s="9">
        <v>0</v>
      </c>
      <c r="F70" s="1">
        <v>42871</v>
      </c>
      <c r="G70" t="s">
        <v>85</v>
      </c>
      <c r="H70" t="s">
        <v>24</v>
      </c>
      <c r="K70">
        <v>69</v>
      </c>
      <c r="L70" t="s">
        <v>25</v>
      </c>
      <c r="M70">
        <v>4.3799999999999999E-2</v>
      </c>
      <c r="O70">
        <v>3</v>
      </c>
      <c r="P70">
        <v>3.3639999999999999</v>
      </c>
      <c r="Q70">
        <v>14.395</v>
      </c>
    </row>
    <row r="71" spans="1:17" ht="16" x14ac:dyDescent="0.2">
      <c r="A71" t="s">
        <v>115</v>
      </c>
      <c r="B71" t="s">
        <v>17</v>
      </c>
      <c r="C71" s="10">
        <v>-29.943010999999998</v>
      </c>
      <c r="D71" s="9">
        <v>153.12657400000001</v>
      </c>
      <c r="E71" s="9">
        <v>0</v>
      </c>
      <c r="F71" s="1">
        <v>42872</v>
      </c>
      <c r="H71" t="s">
        <v>14</v>
      </c>
      <c r="I71" t="s">
        <v>116</v>
      </c>
      <c r="K71">
        <v>70</v>
      </c>
      <c r="L71" t="s">
        <v>15</v>
      </c>
      <c r="M71">
        <v>2.5999999999999999E-3</v>
      </c>
      <c r="O71" t="s">
        <v>40</v>
      </c>
    </row>
    <row r="72" spans="1:17" ht="16" x14ac:dyDescent="0.2">
      <c r="A72" t="s">
        <v>117</v>
      </c>
      <c r="B72" t="s">
        <v>17</v>
      </c>
      <c r="C72" s="10">
        <v>-29.943010999999998</v>
      </c>
      <c r="D72" s="9">
        <v>153.12657400000001</v>
      </c>
      <c r="E72" s="9">
        <v>0</v>
      </c>
      <c r="F72" s="1">
        <v>42872</v>
      </c>
      <c r="H72" t="s">
        <v>14</v>
      </c>
      <c r="K72">
        <v>71</v>
      </c>
      <c r="L72" t="s">
        <v>25</v>
      </c>
      <c r="M72">
        <v>3.95E-2</v>
      </c>
      <c r="O72">
        <v>3</v>
      </c>
      <c r="P72">
        <v>2.5990000000000002</v>
      </c>
      <c r="Q72">
        <f>5.836+4.132</f>
        <v>9.968</v>
      </c>
    </row>
    <row r="73" spans="1:17" ht="16" x14ac:dyDescent="0.2">
      <c r="A73" t="s">
        <v>118</v>
      </c>
      <c r="B73" t="s">
        <v>17</v>
      </c>
      <c r="C73" s="10">
        <v>-29.943010999999998</v>
      </c>
      <c r="D73" s="9">
        <v>153.12657400000001</v>
      </c>
      <c r="E73" s="9">
        <v>0</v>
      </c>
      <c r="F73" s="1">
        <v>42872</v>
      </c>
      <c r="H73" t="s">
        <v>14</v>
      </c>
      <c r="K73">
        <v>72</v>
      </c>
      <c r="L73" t="s">
        <v>25</v>
      </c>
      <c r="M73">
        <v>4.1099999999999998E-2</v>
      </c>
      <c r="O73">
        <v>3</v>
      </c>
      <c r="P73">
        <v>2.391</v>
      </c>
      <c r="Q73">
        <f>4.522+6.57</f>
        <v>11.092000000000001</v>
      </c>
    </row>
    <row r="74" spans="1:17" ht="16" x14ac:dyDescent="0.2">
      <c r="A74" t="s">
        <v>119</v>
      </c>
      <c r="B74" t="s">
        <v>17</v>
      </c>
      <c r="C74" s="10">
        <v>-29.943010999999998</v>
      </c>
      <c r="D74" s="9">
        <v>153.12657400000001</v>
      </c>
      <c r="E74" s="9">
        <v>0</v>
      </c>
      <c r="F74" s="1">
        <v>42872</v>
      </c>
      <c r="H74" t="s">
        <v>14</v>
      </c>
      <c r="K74">
        <v>73</v>
      </c>
      <c r="L74" t="s">
        <v>15</v>
      </c>
      <c r="M74">
        <v>7.6600000000000001E-2</v>
      </c>
      <c r="O74">
        <v>2</v>
      </c>
      <c r="P74">
        <v>3.3220000000000001</v>
      </c>
      <c r="Q74">
        <f>6.429+7.053</f>
        <v>13.481999999999999</v>
      </c>
    </row>
    <row r="75" spans="1:17" ht="16" x14ac:dyDescent="0.2">
      <c r="A75" t="s">
        <v>120</v>
      </c>
      <c r="B75" t="s">
        <v>17</v>
      </c>
      <c r="C75" s="10">
        <v>-29.943010999999998</v>
      </c>
      <c r="D75" s="9">
        <v>153.12657400000001</v>
      </c>
      <c r="E75" s="9">
        <v>0</v>
      </c>
      <c r="F75" s="1">
        <v>42872</v>
      </c>
      <c r="H75" t="s">
        <v>14</v>
      </c>
      <c r="K75">
        <v>74</v>
      </c>
      <c r="L75" t="s">
        <v>15</v>
      </c>
      <c r="M75">
        <v>7.5499999999999998E-2</v>
      </c>
      <c r="O75">
        <v>2</v>
      </c>
      <c r="P75">
        <v>3.319</v>
      </c>
      <c r="Q75">
        <f>6.201+4.797</f>
        <v>10.997999999999999</v>
      </c>
    </row>
    <row r="76" spans="1:17" ht="16" x14ac:dyDescent="0.2">
      <c r="A76" t="s">
        <v>121</v>
      </c>
      <c r="B76" t="s">
        <v>17</v>
      </c>
      <c r="C76" s="10">
        <v>-29.943010999999998</v>
      </c>
      <c r="D76" s="9">
        <v>153.12657400000001</v>
      </c>
      <c r="E76" s="9">
        <v>0</v>
      </c>
      <c r="F76" s="1">
        <v>42872</v>
      </c>
      <c r="H76" t="s">
        <v>14</v>
      </c>
      <c r="K76">
        <v>75</v>
      </c>
      <c r="L76" t="s">
        <v>15</v>
      </c>
      <c r="M76">
        <v>4.4999999999999998E-2</v>
      </c>
      <c r="O76">
        <v>3</v>
      </c>
      <c r="P76">
        <v>3.0659999999999998</v>
      </c>
      <c r="Q76">
        <f>5.774+4.913</f>
        <v>10.687000000000001</v>
      </c>
    </row>
    <row r="77" spans="1:17" ht="16" x14ac:dyDescent="0.2">
      <c r="A77" t="s">
        <v>122</v>
      </c>
      <c r="B77" t="s">
        <v>17</v>
      </c>
      <c r="C77" s="10">
        <v>-29.943010999999998</v>
      </c>
      <c r="D77" s="9">
        <v>153.12657400000001</v>
      </c>
      <c r="E77" s="9">
        <v>0</v>
      </c>
      <c r="F77" s="1">
        <v>42872</v>
      </c>
      <c r="H77" t="s">
        <v>14</v>
      </c>
      <c r="K77">
        <v>76</v>
      </c>
      <c r="L77" t="s">
        <v>15</v>
      </c>
      <c r="M77">
        <v>4.6699999999999998E-2</v>
      </c>
      <c r="O77">
        <v>3</v>
      </c>
      <c r="P77">
        <v>3.3530000000000002</v>
      </c>
      <c r="Q77">
        <v>13.441000000000001</v>
      </c>
    </row>
    <row r="78" spans="1:17" ht="16" x14ac:dyDescent="0.2">
      <c r="A78" t="s">
        <v>123</v>
      </c>
      <c r="B78" t="s">
        <v>17</v>
      </c>
      <c r="C78" s="10">
        <v>-29.943010999999998</v>
      </c>
      <c r="D78" s="9">
        <v>153.12657400000001</v>
      </c>
      <c r="E78" s="9">
        <v>0</v>
      </c>
      <c r="F78" s="1">
        <v>42872</v>
      </c>
      <c r="H78" t="s">
        <v>14</v>
      </c>
      <c r="K78">
        <v>77</v>
      </c>
      <c r="L78" t="s">
        <v>15</v>
      </c>
      <c r="M78">
        <v>4.7E-2</v>
      </c>
      <c r="O78">
        <v>3</v>
      </c>
      <c r="P78">
        <v>3.161</v>
      </c>
      <c r="Q78">
        <v>11.659000000000001</v>
      </c>
    </row>
    <row r="79" spans="1:17" ht="16" x14ac:dyDescent="0.2">
      <c r="A79" t="s">
        <v>124</v>
      </c>
      <c r="B79" t="s">
        <v>17</v>
      </c>
      <c r="C79" s="10">
        <v>-29.943010999999998</v>
      </c>
      <c r="D79" s="9">
        <v>153.12657400000001</v>
      </c>
      <c r="E79" s="9">
        <v>0</v>
      </c>
      <c r="F79" s="1">
        <v>42872</v>
      </c>
      <c r="H79" t="s">
        <v>14</v>
      </c>
      <c r="K79">
        <v>78</v>
      </c>
      <c r="L79" t="s">
        <v>15</v>
      </c>
      <c r="M79">
        <v>4.6600000000000003E-2</v>
      </c>
      <c r="O79">
        <v>3</v>
      </c>
      <c r="P79">
        <v>3.2320000000000002</v>
      </c>
      <c r="Q79">
        <f>6.04+6.466</f>
        <v>12.506</v>
      </c>
    </row>
    <row r="80" spans="1:17" ht="16" x14ac:dyDescent="0.2">
      <c r="A80" t="s">
        <v>125</v>
      </c>
      <c r="B80" t="s">
        <v>17</v>
      </c>
      <c r="C80" s="10">
        <v>-29.943010999999998</v>
      </c>
      <c r="D80" s="9">
        <v>153.12657400000001</v>
      </c>
      <c r="E80" s="9">
        <v>0</v>
      </c>
      <c r="F80" s="1">
        <v>42872</v>
      </c>
      <c r="H80" t="s">
        <v>14</v>
      </c>
      <c r="K80">
        <v>79</v>
      </c>
      <c r="L80" t="s">
        <v>15</v>
      </c>
      <c r="M80">
        <v>4.6899999999999997E-2</v>
      </c>
      <c r="O80">
        <v>3</v>
      </c>
      <c r="P80">
        <v>3.2690000000000001</v>
      </c>
      <c r="Q80">
        <f>6.007+6.24</f>
        <v>12.247</v>
      </c>
    </row>
    <row r="81" spans="1:17" ht="16" x14ac:dyDescent="0.2">
      <c r="A81" t="s">
        <v>126</v>
      </c>
      <c r="B81" t="s">
        <v>17</v>
      </c>
      <c r="C81" s="10">
        <v>-29.943010999999998</v>
      </c>
      <c r="D81" s="9">
        <v>153.12657400000001</v>
      </c>
      <c r="E81" s="9">
        <v>0</v>
      </c>
      <c r="F81" s="1">
        <v>42872</v>
      </c>
      <c r="H81" t="s">
        <v>14</v>
      </c>
      <c r="K81">
        <v>80</v>
      </c>
      <c r="L81" t="s">
        <v>15</v>
      </c>
      <c r="M81">
        <v>4.7899999999999998E-2</v>
      </c>
      <c r="O81">
        <v>3</v>
      </c>
      <c r="P81">
        <v>2.6680000000000001</v>
      </c>
      <c r="Q81">
        <v>10.456</v>
      </c>
    </row>
    <row r="82" spans="1:17" ht="16" x14ac:dyDescent="0.2">
      <c r="A82" t="s">
        <v>127</v>
      </c>
      <c r="B82" t="s">
        <v>17</v>
      </c>
      <c r="C82" s="10">
        <v>-29.943010999999998</v>
      </c>
      <c r="D82" s="9">
        <v>153.12657400000001</v>
      </c>
      <c r="E82" s="9">
        <v>0</v>
      </c>
      <c r="F82" s="1">
        <v>42872</v>
      </c>
      <c r="H82" t="s">
        <v>14</v>
      </c>
      <c r="K82">
        <v>81</v>
      </c>
      <c r="L82" t="s">
        <v>15</v>
      </c>
      <c r="M82">
        <v>4.6300000000000001E-2</v>
      </c>
      <c r="O82">
        <v>3</v>
      </c>
      <c r="P82">
        <v>3.1059999999999999</v>
      </c>
      <c r="Q82">
        <f>6.026+5.568</f>
        <v>11.593999999999999</v>
      </c>
    </row>
    <row r="83" spans="1:17" ht="16" x14ac:dyDescent="0.2">
      <c r="A83" t="s">
        <v>128</v>
      </c>
      <c r="B83" t="s">
        <v>17</v>
      </c>
      <c r="C83" s="10">
        <v>-29.943010999999998</v>
      </c>
      <c r="D83" s="9">
        <v>153.12657400000001</v>
      </c>
      <c r="E83" s="9">
        <v>0</v>
      </c>
      <c r="F83" s="1">
        <v>42872</v>
      </c>
      <c r="H83" t="s">
        <v>14</v>
      </c>
      <c r="K83">
        <v>82</v>
      </c>
      <c r="L83" t="s">
        <v>15</v>
      </c>
      <c r="M83">
        <v>7.2700000000000001E-2</v>
      </c>
      <c r="O83">
        <v>2</v>
      </c>
      <c r="P83">
        <v>2.6760000000000002</v>
      </c>
      <c r="Q83">
        <f>5.447+4.868</f>
        <v>10.315000000000001</v>
      </c>
    </row>
    <row r="84" spans="1:17" ht="16" x14ac:dyDescent="0.2">
      <c r="A84" t="s">
        <v>129</v>
      </c>
      <c r="B84" t="s">
        <v>17</v>
      </c>
      <c r="C84" s="10">
        <v>-29.943010999999998</v>
      </c>
      <c r="D84" s="9">
        <v>153.12657400000001</v>
      </c>
      <c r="E84" s="9">
        <v>0</v>
      </c>
      <c r="F84" s="1">
        <v>42872</v>
      </c>
      <c r="H84" t="s">
        <v>14</v>
      </c>
      <c r="K84">
        <v>83</v>
      </c>
      <c r="L84" t="s">
        <v>15</v>
      </c>
      <c r="M84">
        <v>4.8099999999999997E-2</v>
      </c>
      <c r="O84">
        <v>3</v>
      </c>
      <c r="P84">
        <v>2.9950000000000001</v>
      </c>
      <c r="Q84">
        <f>5.899+5.274</f>
        <v>11.173</v>
      </c>
    </row>
    <row r="85" spans="1:17" ht="16" x14ac:dyDescent="0.2">
      <c r="A85" t="s">
        <v>130</v>
      </c>
      <c r="B85" t="s">
        <v>17</v>
      </c>
      <c r="C85" s="10">
        <v>-29.943010999999998</v>
      </c>
      <c r="D85" s="9">
        <v>153.12657400000001</v>
      </c>
      <c r="E85" s="9">
        <v>0</v>
      </c>
      <c r="F85" s="1">
        <v>42872</v>
      </c>
      <c r="H85" t="s">
        <v>14</v>
      </c>
      <c r="K85">
        <v>84</v>
      </c>
      <c r="L85" t="s">
        <v>15</v>
      </c>
      <c r="M85">
        <v>4.7100000000000003E-2</v>
      </c>
      <c r="O85">
        <v>3</v>
      </c>
      <c r="P85">
        <v>3.1240000000000001</v>
      </c>
      <c r="Q85">
        <f>6.246+5.577</f>
        <v>11.823</v>
      </c>
    </row>
    <row r="86" spans="1:17" ht="16" x14ac:dyDescent="0.2">
      <c r="A86" t="s">
        <v>131</v>
      </c>
      <c r="B86" t="s">
        <v>17</v>
      </c>
      <c r="C86" s="10">
        <v>-29.943010999999998</v>
      </c>
      <c r="D86" s="9">
        <v>153.12657400000001</v>
      </c>
      <c r="E86" s="9">
        <v>0</v>
      </c>
      <c r="F86" s="1">
        <v>42872</v>
      </c>
      <c r="H86" t="s">
        <v>32</v>
      </c>
      <c r="K86">
        <v>85</v>
      </c>
      <c r="L86" t="s">
        <v>15</v>
      </c>
      <c r="M86">
        <v>7.7200000000000005E-2</v>
      </c>
      <c r="O86">
        <v>2</v>
      </c>
      <c r="P86">
        <v>2.794</v>
      </c>
      <c r="Q86">
        <f>5.99+5.714</f>
        <v>11.704000000000001</v>
      </c>
    </row>
    <row r="87" spans="1:17" ht="16" x14ac:dyDescent="0.2">
      <c r="A87" t="s">
        <v>132</v>
      </c>
      <c r="B87" t="s">
        <v>17</v>
      </c>
      <c r="C87" s="10">
        <v>-29.943010999999998</v>
      </c>
      <c r="D87" s="9">
        <v>153.12657400000001</v>
      </c>
      <c r="E87" s="9">
        <v>0</v>
      </c>
      <c r="F87" s="1">
        <v>42872</v>
      </c>
      <c r="H87" t="s">
        <v>32</v>
      </c>
      <c r="K87">
        <v>86</v>
      </c>
      <c r="L87" t="s">
        <v>15</v>
      </c>
      <c r="M87">
        <v>7.5999999999999998E-2</v>
      </c>
      <c r="O87">
        <v>2</v>
      </c>
      <c r="P87">
        <v>3.1179999999999999</v>
      </c>
      <c r="Q87">
        <f>5.996+6.09</f>
        <v>12.086</v>
      </c>
    </row>
    <row r="88" spans="1:17" ht="16" x14ac:dyDescent="0.2">
      <c r="A88" t="s">
        <v>133</v>
      </c>
      <c r="B88" t="s">
        <v>134</v>
      </c>
      <c r="C88" s="10">
        <v>-30.139927</v>
      </c>
      <c r="D88" s="9">
        <v>153.18624700000001</v>
      </c>
      <c r="E88" s="9">
        <v>0</v>
      </c>
      <c r="F88" s="1">
        <v>42878</v>
      </c>
      <c r="H88" t="s">
        <v>32</v>
      </c>
      <c r="K88">
        <v>87</v>
      </c>
      <c r="L88" t="s">
        <v>25</v>
      </c>
      <c r="M88">
        <v>4.1200000000000001E-2</v>
      </c>
      <c r="O88">
        <v>3</v>
      </c>
      <c r="P88">
        <v>3.2069999999999999</v>
      </c>
      <c r="Q88">
        <f>8.293+5.43</f>
        <v>13.722999999999999</v>
      </c>
    </row>
    <row r="89" spans="1:17" ht="16" x14ac:dyDescent="0.2">
      <c r="A89" t="s">
        <v>135</v>
      </c>
      <c r="B89" t="s">
        <v>136</v>
      </c>
      <c r="C89" s="10">
        <v>-30.091795000000001</v>
      </c>
      <c r="D89" s="9">
        <v>153.161948</v>
      </c>
      <c r="E89" s="9">
        <v>0</v>
      </c>
      <c r="F89" s="1">
        <v>42878</v>
      </c>
      <c r="G89" t="s">
        <v>137</v>
      </c>
      <c r="H89" t="s">
        <v>32</v>
      </c>
      <c r="K89">
        <v>88</v>
      </c>
      <c r="L89" t="s">
        <v>25</v>
      </c>
      <c r="M89">
        <v>4.3200000000000002E-2</v>
      </c>
      <c r="O89">
        <v>2</v>
      </c>
      <c r="P89">
        <v>3.0030000000000001</v>
      </c>
      <c r="Q89">
        <f>5.765+9.513</f>
        <v>15.277999999999999</v>
      </c>
    </row>
    <row r="90" spans="1:17" ht="16" x14ac:dyDescent="0.2">
      <c r="A90" t="s">
        <v>138</v>
      </c>
      <c r="B90" t="s">
        <v>136</v>
      </c>
      <c r="C90" s="10">
        <v>-30.091795000000001</v>
      </c>
      <c r="D90" s="9">
        <v>153.161948</v>
      </c>
      <c r="E90" s="9">
        <v>0</v>
      </c>
      <c r="F90" s="1">
        <v>42878</v>
      </c>
      <c r="G90" t="s">
        <v>139</v>
      </c>
      <c r="H90" t="s">
        <v>14</v>
      </c>
      <c r="K90">
        <v>89</v>
      </c>
      <c r="L90" t="s">
        <v>15</v>
      </c>
      <c r="M90">
        <v>4.4400000000000002E-2</v>
      </c>
      <c r="O90">
        <v>3</v>
      </c>
      <c r="P90">
        <v>2.9159999999999999</v>
      </c>
      <c r="Q90">
        <v>11.068</v>
      </c>
    </row>
    <row r="91" spans="1:17" ht="16" x14ac:dyDescent="0.2">
      <c r="A91" t="s">
        <v>140</v>
      </c>
      <c r="B91" t="s">
        <v>136</v>
      </c>
      <c r="C91" s="10">
        <v>-30.091795000000001</v>
      </c>
      <c r="D91" s="9">
        <v>153.161948</v>
      </c>
      <c r="E91" s="9">
        <v>0</v>
      </c>
      <c r="F91" s="1">
        <v>42878</v>
      </c>
      <c r="G91" t="s">
        <v>141</v>
      </c>
      <c r="H91" t="s">
        <v>14</v>
      </c>
      <c r="K91">
        <v>90</v>
      </c>
      <c r="L91" t="s">
        <v>15</v>
      </c>
      <c r="M91">
        <v>7.2800000000000004E-2</v>
      </c>
      <c r="O91">
        <v>2</v>
      </c>
      <c r="P91">
        <v>2.8109999999999999</v>
      </c>
      <c r="Q91">
        <f>6.298+4.722</f>
        <v>11.02</v>
      </c>
    </row>
    <row r="92" spans="1:17" ht="16" x14ac:dyDescent="0.2">
      <c r="A92" t="s">
        <v>142</v>
      </c>
      <c r="B92" t="s">
        <v>136</v>
      </c>
      <c r="C92" s="10">
        <v>-30.091795000000001</v>
      </c>
      <c r="D92" s="9">
        <v>153.161948</v>
      </c>
      <c r="E92" s="9">
        <v>0</v>
      </c>
      <c r="F92" s="1">
        <v>42878</v>
      </c>
      <c r="G92" t="s">
        <v>141</v>
      </c>
      <c r="H92" t="s">
        <v>14</v>
      </c>
      <c r="K92">
        <v>91</v>
      </c>
      <c r="L92" t="s">
        <v>15</v>
      </c>
      <c r="M92">
        <v>7.2599999999999998E-2</v>
      </c>
      <c r="O92">
        <v>2</v>
      </c>
      <c r="P92">
        <v>2.48</v>
      </c>
      <c r="Q92">
        <f>5.696+5.883</f>
        <v>11.579000000000001</v>
      </c>
    </row>
    <row r="93" spans="1:17" ht="16" x14ac:dyDescent="0.2">
      <c r="A93" t="s">
        <v>143</v>
      </c>
      <c r="B93" t="s">
        <v>134</v>
      </c>
      <c r="C93" s="10">
        <v>-30.139927</v>
      </c>
      <c r="D93" s="9">
        <v>153.18624700000001</v>
      </c>
      <c r="E93" s="9">
        <v>0</v>
      </c>
      <c r="F93" s="1">
        <v>42878</v>
      </c>
      <c r="H93" t="s">
        <v>32</v>
      </c>
      <c r="K93">
        <v>92</v>
      </c>
      <c r="L93" t="s">
        <v>25</v>
      </c>
      <c r="M93">
        <v>7.3400000000000007E-2</v>
      </c>
      <c r="O93">
        <v>2</v>
      </c>
      <c r="P93">
        <v>3.9470000000000001</v>
      </c>
      <c r="Q93">
        <v>15.597</v>
      </c>
    </row>
    <row r="94" spans="1:17" ht="16" x14ac:dyDescent="0.2">
      <c r="A94" t="s">
        <v>144</v>
      </c>
      <c r="B94" t="s">
        <v>145</v>
      </c>
      <c r="C94" s="10">
        <v>-30.011405</v>
      </c>
      <c r="D94" s="9">
        <v>153.11167499999999</v>
      </c>
      <c r="E94" s="9">
        <v>0</v>
      </c>
      <c r="F94" s="1">
        <v>42878</v>
      </c>
      <c r="G94" t="s">
        <v>146</v>
      </c>
      <c r="H94" t="s">
        <v>14</v>
      </c>
      <c r="K94">
        <v>93</v>
      </c>
      <c r="L94" t="s">
        <v>15</v>
      </c>
      <c r="M94">
        <v>4.4499999999999998E-2</v>
      </c>
      <c r="O94">
        <v>3</v>
      </c>
      <c r="P94">
        <v>2.798</v>
      </c>
      <c r="Q94">
        <f>7.311+6.4076</f>
        <v>13.7186</v>
      </c>
    </row>
    <row r="95" spans="1:17" ht="16" x14ac:dyDescent="0.2">
      <c r="A95" t="s">
        <v>147</v>
      </c>
      <c r="B95" s="2" t="s">
        <v>254</v>
      </c>
      <c r="C95" s="11">
        <v>-29.988817000000001</v>
      </c>
      <c r="D95" s="12">
        <v>153.13584900000001</v>
      </c>
      <c r="E95" s="9">
        <v>0</v>
      </c>
      <c r="F95" s="1">
        <v>42878</v>
      </c>
      <c r="G95" t="s">
        <v>44</v>
      </c>
      <c r="H95" t="s">
        <v>32</v>
      </c>
      <c r="K95">
        <v>93.1</v>
      </c>
      <c r="L95" t="s">
        <v>25</v>
      </c>
      <c r="M95">
        <v>4.5499999999999999E-2</v>
      </c>
      <c r="O95">
        <v>3</v>
      </c>
      <c r="P95">
        <v>3.6629999999999998</v>
      </c>
      <c r="Q95">
        <f>5.285+8.226</f>
        <v>13.511000000000001</v>
      </c>
    </row>
    <row r="96" spans="1:17" ht="16" x14ac:dyDescent="0.2">
      <c r="A96" t="s">
        <v>148</v>
      </c>
      <c r="B96" t="s">
        <v>136</v>
      </c>
      <c r="C96" s="10">
        <v>-30.091795000000001</v>
      </c>
      <c r="D96" s="9">
        <v>153.161948</v>
      </c>
      <c r="E96" s="9">
        <v>0</v>
      </c>
      <c r="F96" s="1">
        <v>42878</v>
      </c>
      <c r="G96" t="s">
        <v>137</v>
      </c>
      <c r="H96" t="s">
        <v>32</v>
      </c>
      <c r="K96">
        <v>94</v>
      </c>
      <c r="L96" t="s">
        <v>25</v>
      </c>
      <c r="M96">
        <v>4.4999999999999998E-2</v>
      </c>
      <c r="O96">
        <v>3</v>
      </c>
      <c r="P96">
        <v>3.8889999999999998</v>
      </c>
      <c r="Q96">
        <f>3.061+2.157+10.052</f>
        <v>15.27</v>
      </c>
    </row>
    <row r="97" spans="1:17" ht="16" x14ac:dyDescent="0.2">
      <c r="A97" t="s">
        <v>149</v>
      </c>
      <c r="B97" t="s">
        <v>136</v>
      </c>
      <c r="C97" s="10">
        <v>-30.091795000000001</v>
      </c>
      <c r="D97" s="9">
        <v>153.161948</v>
      </c>
      <c r="E97" s="9">
        <v>0</v>
      </c>
      <c r="F97" s="1">
        <v>42878</v>
      </c>
      <c r="G97" t="s">
        <v>150</v>
      </c>
      <c r="H97" t="s">
        <v>14</v>
      </c>
      <c r="K97">
        <v>95</v>
      </c>
      <c r="L97" t="s">
        <v>15</v>
      </c>
      <c r="M97">
        <v>4.7300000000000002E-2</v>
      </c>
      <c r="O97">
        <v>3</v>
      </c>
      <c r="P97">
        <v>3.11</v>
      </c>
      <c r="Q97">
        <f>6.189+5.417</f>
        <v>11.606</v>
      </c>
    </row>
    <row r="98" spans="1:17" ht="16" x14ac:dyDescent="0.2">
      <c r="A98" t="s">
        <v>151</v>
      </c>
      <c r="B98" t="s">
        <v>145</v>
      </c>
      <c r="C98" s="10">
        <v>-30.011405</v>
      </c>
      <c r="D98" s="9">
        <v>153.11167499999999</v>
      </c>
      <c r="E98" s="9">
        <v>0</v>
      </c>
      <c r="F98" s="1">
        <v>42878</v>
      </c>
      <c r="G98" t="s">
        <v>152</v>
      </c>
      <c r="H98" t="s">
        <v>14</v>
      </c>
      <c r="K98" s="2">
        <v>96</v>
      </c>
      <c r="L98" s="2" t="s">
        <v>15</v>
      </c>
      <c r="M98" s="2" t="s">
        <v>44</v>
      </c>
      <c r="O98" s="2" t="s">
        <v>44</v>
      </c>
      <c r="P98" t="s">
        <v>44</v>
      </c>
      <c r="Q98" t="s">
        <v>44</v>
      </c>
    </row>
    <row r="99" spans="1:17" ht="16" x14ac:dyDescent="0.2">
      <c r="A99" t="s">
        <v>153</v>
      </c>
      <c r="B99" t="s">
        <v>145</v>
      </c>
      <c r="C99" s="10">
        <v>-30.011405</v>
      </c>
      <c r="D99" s="9">
        <v>153.11167499999999</v>
      </c>
      <c r="E99" s="9">
        <v>0</v>
      </c>
      <c r="F99" s="1">
        <v>42878</v>
      </c>
      <c r="G99" t="s">
        <v>154</v>
      </c>
      <c r="H99" t="s">
        <v>32</v>
      </c>
      <c r="K99">
        <v>97</v>
      </c>
      <c r="L99" t="s">
        <v>25</v>
      </c>
      <c r="M99">
        <v>4.0399999999999998E-2</v>
      </c>
      <c r="O99">
        <v>3</v>
      </c>
      <c r="P99">
        <v>2.044</v>
      </c>
      <c r="Q99">
        <f>0.531+3.911+6.48</f>
        <v>10.922000000000001</v>
      </c>
    </row>
    <row r="100" spans="1:17" ht="16" x14ac:dyDescent="0.2">
      <c r="A100" t="s">
        <v>155</v>
      </c>
      <c r="B100" t="s">
        <v>145</v>
      </c>
      <c r="C100" s="10">
        <v>-30.011405</v>
      </c>
      <c r="D100" s="9">
        <v>153.11167499999999</v>
      </c>
      <c r="E100" s="9">
        <v>0</v>
      </c>
      <c r="F100" s="1">
        <v>42878</v>
      </c>
      <c r="G100" t="s">
        <v>156</v>
      </c>
      <c r="H100" t="s">
        <v>14</v>
      </c>
      <c r="K100">
        <v>98</v>
      </c>
      <c r="L100" t="s">
        <v>15</v>
      </c>
      <c r="M100">
        <v>8.6499999999999994E-2</v>
      </c>
      <c r="O100">
        <v>2</v>
      </c>
      <c r="P100">
        <v>4.4969999999999999</v>
      </c>
      <c r="Q100">
        <v>16.451000000000001</v>
      </c>
    </row>
    <row r="101" spans="1:17" ht="16" x14ac:dyDescent="0.2">
      <c r="A101" t="s">
        <v>157</v>
      </c>
      <c r="B101" t="s">
        <v>136</v>
      </c>
      <c r="C101" s="10">
        <v>-30.091795000000001</v>
      </c>
      <c r="D101" s="9">
        <v>153.161948</v>
      </c>
      <c r="E101" s="9">
        <v>0</v>
      </c>
      <c r="F101" s="1">
        <v>42878</v>
      </c>
      <c r="G101" t="s">
        <v>158</v>
      </c>
      <c r="H101" t="s">
        <v>14</v>
      </c>
      <c r="K101">
        <v>99</v>
      </c>
      <c r="L101" t="s">
        <v>15</v>
      </c>
      <c r="M101">
        <v>4.4999999999999998E-2</v>
      </c>
      <c r="O101">
        <v>3</v>
      </c>
      <c r="P101">
        <v>3.1440000000000001</v>
      </c>
      <c r="Q101">
        <f>6.411+5.707</f>
        <v>12.117999999999999</v>
      </c>
    </row>
    <row r="102" spans="1:17" ht="16" x14ac:dyDescent="0.2">
      <c r="A102" t="s">
        <v>159</v>
      </c>
      <c r="B102" t="s">
        <v>145</v>
      </c>
      <c r="C102" s="10">
        <v>-30.011405</v>
      </c>
      <c r="D102" s="9">
        <v>153.11167499999999</v>
      </c>
      <c r="E102" s="9">
        <v>0</v>
      </c>
      <c r="F102" s="1">
        <v>42878</v>
      </c>
      <c r="G102" t="s">
        <v>152</v>
      </c>
      <c r="H102" t="s">
        <v>14</v>
      </c>
      <c r="K102">
        <v>100</v>
      </c>
      <c r="L102" t="s">
        <v>15</v>
      </c>
      <c r="M102">
        <v>4.0399999999999998E-2</v>
      </c>
      <c r="O102">
        <v>3</v>
      </c>
      <c r="P102">
        <v>1.974</v>
      </c>
      <c r="Q102">
        <v>6.7080000000000002</v>
      </c>
    </row>
    <row r="103" spans="1:17" ht="16" x14ac:dyDescent="0.2">
      <c r="A103" t="s">
        <v>160</v>
      </c>
      <c r="B103" t="s">
        <v>136</v>
      </c>
      <c r="C103" s="10">
        <v>-30.091795000000001</v>
      </c>
      <c r="D103" s="9">
        <v>153.161948</v>
      </c>
      <c r="E103" s="9">
        <v>0</v>
      </c>
      <c r="F103" s="1">
        <v>42878</v>
      </c>
      <c r="G103" t="s">
        <v>161</v>
      </c>
      <c r="H103" t="s">
        <v>32</v>
      </c>
      <c r="K103">
        <v>101</v>
      </c>
      <c r="L103" t="s">
        <v>25</v>
      </c>
      <c r="M103">
        <v>4.4299999999999999E-2</v>
      </c>
      <c r="O103">
        <v>3</v>
      </c>
      <c r="P103">
        <v>3.16</v>
      </c>
      <c r="Q103">
        <f>7.432+4.62+3.188</f>
        <v>15.24</v>
      </c>
    </row>
    <row r="104" spans="1:17" ht="16" x14ac:dyDescent="0.2">
      <c r="A104" t="s">
        <v>162</v>
      </c>
      <c r="B104" t="s">
        <v>136</v>
      </c>
      <c r="C104" s="10">
        <v>-30.091795000000001</v>
      </c>
      <c r="D104" s="9">
        <v>153.161948</v>
      </c>
      <c r="E104" s="9">
        <v>0</v>
      </c>
      <c r="F104" s="1">
        <v>42878</v>
      </c>
      <c r="G104" t="s">
        <v>150</v>
      </c>
      <c r="H104" t="s">
        <v>14</v>
      </c>
      <c r="K104">
        <v>102</v>
      </c>
      <c r="L104" t="s">
        <v>15</v>
      </c>
      <c r="M104">
        <v>5.62E-2</v>
      </c>
      <c r="O104">
        <v>3</v>
      </c>
      <c r="P104">
        <v>3.2959999999999998</v>
      </c>
      <c r="Q104">
        <f>6.912+7.205</f>
        <v>14.117000000000001</v>
      </c>
    </row>
    <row r="105" spans="1:17" ht="16" x14ac:dyDescent="0.2">
      <c r="A105" t="s">
        <v>163</v>
      </c>
      <c r="B105" t="s">
        <v>134</v>
      </c>
      <c r="C105" s="10">
        <v>-30.139927</v>
      </c>
      <c r="D105" s="9">
        <v>153.18624700000001</v>
      </c>
      <c r="E105" s="9">
        <v>0</v>
      </c>
      <c r="F105" s="1">
        <v>42878</v>
      </c>
      <c r="H105" t="s">
        <v>32</v>
      </c>
      <c r="K105">
        <v>103</v>
      </c>
      <c r="L105" t="s">
        <v>25</v>
      </c>
      <c r="M105">
        <v>4.7600000000000003E-2</v>
      </c>
      <c r="O105">
        <v>3</v>
      </c>
      <c r="P105">
        <v>3.5379999999999998</v>
      </c>
      <c r="Q105">
        <f>8.656+5.747</f>
        <v>14.403</v>
      </c>
    </row>
    <row r="106" spans="1:17" ht="16" x14ac:dyDescent="0.2">
      <c r="A106" t="s">
        <v>164</v>
      </c>
      <c r="B106" t="s">
        <v>136</v>
      </c>
      <c r="C106" s="10">
        <v>-30.091795000000001</v>
      </c>
      <c r="D106" s="9">
        <v>153.161948</v>
      </c>
      <c r="E106" s="9">
        <v>0</v>
      </c>
      <c r="F106" s="1">
        <v>42878</v>
      </c>
      <c r="H106" t="s">
        <v>32</v>
      </c>
      <c r="K106">
        <v>104</v>
      </c>
      <c r="L106" t="s">
        <v>25</v>
      </c>
      <c r="M106">
        <v>4.0399999999999998E-2</v>
      </c>
      <c r="O106">
        <v>3</v>
      </c>
      <c r="P106">
        <v>2.2170000000000001</v>
      </c>
      <c r="Q106">
        <f>3.771+2.052+4.274</f>
        <v>10.097000000000001</v>
      </c>
    </row>
    <row r="107" spans="1:17" s="2" customFormat="1" ht="16" x14ac:dyDescent="0.2">
      <c r="A107" s="2" t="s">
        <v>165</v>
      </c>
      <c r="B107" s="2" t="s">
        <v>134</v>
      </c>
      <c r="C107" s="10">
        <v>-30.139927</v>
      </c>
      <c r="D107" s="9">
        <v>153.18624700000001</v>
      </c>
      <c r="E107" s="9">
        <v>0</v>
      </c>
      <c r="F107" s="3">
        <v>42878</v>
      </c>
      <c r="H107" s="2" t="s">
        <v>32</v>
      </c>
      <c r="K107" s="2">
        <v>105</v>
      </c>
      <c r="L107" s="2" t="s">
        <v>25</v>
      </c>
      <c r="M107" s="2">
        <v>4.2999999999999997E-2</v>
      </c>
      <c r="N107" s="13"/>
      <c r="O107" s="2">
        <v>3</v>
      </c>
      <c r="P107">
        <v>2.931</v>
      </c>
      <c r="Q107">
        <f>7.514+4.839</f>
        <v>12.353000000000002</v>
      </c>
    </row>
    <row r="108" spans="1:17" ht="16" x14ac:dyDescent="0.2">
      <c r="A108" t="s">
        <v>166</v>
      </c>
      <c r="B108" t="s">
        <v>145</v>
      </c>
      <c r="C108" s="10">
        <v>-30.011405</v>
      </c>
      <c r="D108" s="9">
        <v>153.11167499999999</v>
      </c>
      <c r="E108" s="9">
        <v>0</v>
      </c>
      <c r="F108" s="1">
        <v>42879</v>
      </c>
      <c r="G108" t="s">
        <v>167</v>
      </c>
      <c r="H108" t="s">
        <v>14</v>
      </c>
      <c r="K108">
        <v>106</v>
      </c>
      <c r="L108" t="s">
        <v>15</v>
      </c>
      <c r="M108">
        <v>4.5999999999999999E-2</v>
      </c>
      <c r="O108">
        <v>3</v>
      </c>
      <c r="P108">
        <v>3.0329999999999999</v>
      </c>
      <c r="Q108">
        <f>5.931+6.901</f>
        <v>12.832000000000001</v>
      </c>
    </row>
    <row r="109" spans="1:17" ht="16" x14ac:dyDescent="0.2">
      <c r="A109" t="s">
        <v>168</v>
      </c>
      <c r="B109" t="s">
        <v>145</v>
      </c>
      <c r="C109" s="10">
        <v>-30.011405</v>
      </c>
      <c r="D109" s="9">
        <v>153.11167499999999</v>
      </c>
      <c r="E109" s="9">
        <v>0</v>
      </c>
      <c r="F109" s="1">
        <v>42879</v>
      </c>
      <c r="G109" t="s">
        <v>167</v>
      </c>
      <c r="H109" t="s">
        <v>14</v>
      </c>
      <c r="K109">
        <v>107</v>
      </c>
      <c r="L109" t="s">
        <v>15</v>
      </c>
      <c r="M109">
        <v>4.53E-2</v>
      </c>
      <c r="O109">
        <v>3</v>
      </c>
      <c r="P109">
        <v>2.702</v>
      </c>
      <c r="Q109">
        <f>6.531+5.114</f>
        <v>11.645</v>
      </c>
    </row>
    <row r="110" spans="1:17" ht="16" x14ac:dyDescent="0.2">
      <c r="A110" t="s">
        <v>169</v>
      </c>
      <c r="B110" t="s">
        <v>145</v>
      </c>
      <c r="C110" s="10">
        <v>-30.011405</v>
      </c>
      <c r="D110" s="9">
        <v>153.11167499999999</v>
      </c>
      <c r="E110" s="9">
        <v>0</v>
      </c>
      <c r="F110" s="1">
        <v>42879</v>
      </c>
      <c r="G110" t="s">
        <v>167</v>
      </c>
      <c r="H110" t="s">
        <v>14</v>
      </c>
      <c r="K110">
        <v>108</v>
      </c>
      <c r="L110" t="s">
        <v>15</v>
      </c>
      <c r="M110">
        <v>0.1817</v>
      </c>
      <c r="O110">
        <v>1</v>
      </c>
      <c r="P110">
        <v>6.9409999999999998</v>
      </c>
      <c r="Q110">
        <f>10.373+10.374</f>
        <v>20.747</v>
      </c>
    </row>
    <row r="111" spans="1:17" ht="16" x14ac:dyDescent="0.2">
      <c r="A111" t="s">
        <v>170</v>
      </c>
      <c r="B111" t="s">
        <v>145</v>
      </c>
      <c r="C111" s="10">
        <v>-30.011405</v>
      </c>
      <c r="D111" s="9">
        <v>153.11167499999999</v>
      </c>
      <c r="E111" s="9">
        <v>0</v>
      </c>
      <c r="F111" s="1">
        <v>42879</v>
      </c>
      <c r="G111" t="s">
        <v>167</v>
      </c>
      <c r="H111" t="s">
        <v>24</v>
      </c>
      <c r="K111">
        <v>109</v>
      </c>
      <c r="L111" t="s">
        <v>25</v>
      </c>
      <c r="M111">
        <v>4.0599999999999997E-2</v>
      </c>
      <c r="O111">
        <v>3</v>
      </c>
      <c r="P111">
        <v>1.679</v>
      </c>
      <c r="Q111">
        <v>9.7680000000000007</v>
      </c>
    </row>
    <row r="112" spans="1:17" ht="16" x14ac:dyDescent="0.2">
      <c r="A112" t="s">
        <v>171</v>
      </c>
      <c r="B112" t="s">
        <v>145</v>
      </c>
      <c r="C112" s="10">
        <v>-30.011405</v>
      </c>
      <c r="D112" s="9">
        <v>153.11167499999999</v>
      </c>
      <c r="E112" s="9">
        <v>0</v>
      </c>
      <c r="F112" s="1">
        <v>42879</v>
      </c>
      <c r="G112" t="s">
        <v>167</v>
      </c>
      <c r="H112" t="s">
        <v>24</v>
      </c>
      <c r="K112">
        <v>110</v>
      </c>
      <c r="L112" t="s">
        <v>25</v>
      </c>
      <c r="M112">
        <v>4.1300000000000003E-2</v>
      </c>
      <c r="O112">
        <v>3</v>
      </c>
      <c r="P112">
        <v>3.419</v>
      </c>
      <c r="Q112">
        <f>8.662+5.078</f>
        <v>13.740000000000002</v>
      </c>
    </row>
    <row r="113" spans="1:17" ht="16" x14ac:dyDescent="0.2">
      <c r="A113" t="s">
        <v>172</v>
      </c>
      <c r="B113" t="s">
        <v>145</v>
      </c>
      <c r="C113" s="10">
        <v>-30.011405</v>
      </c>
      <c r="D113" s="9">
        <v>153.11167499999999</v>
      </c>
      <c r="E113" s="9">
        <v>0</v>
      </c>
      <c r="F113" s="1">
        <v>42879</v>
      </c>
      <c r="G113" t="s">
        <v>167</v>
      </c>
      <c r="H113" t="s">
        <v>24</v>
      </c>
      <c r="K113">
        <v>111</v>
      </c>
      <c r="L113" t="s">
        <v>25</v>
      </c>
      <c r="M113">
        <v>4.4600000000000001E-2</v>
      </c>
      <c r="O113">
        <v>3</v>
      </c>
      <c r="P113">
        <v>3.496</v>
      </c>
      <c r="Q113">
        <f>9.253+5.986</f>
        <v>15.239000000000001</v>
      </c>
    </row>
    <row r="114" spans="1:17" ht="16" x14ac:dyDescent="0.2">
      <c r="A114" t="s">
        <v>173</v>
      </c>
      <c r="B114" t="s">
        <v>145</v>
      </c>
      <c r="C114" s="10">
        <v>-30.011405</v>
      </c>
      <c r="D114" s="9">
        <v>153.11167499999999</v>
      </c>
      <c r="E114" s="9">
        <v>0</v>
      </c>
      <c r="F114" s="1">
        <v>42879</v>
      </c>
      <c r="G114" t="s">
        <v>167</v>
      </c>
      <c r="H114" t="s">
        <v>14</v>
      </c>
      <c r="K114">
        <v>112</v>
      </c>
      <c r="L114" t="s">
        <v>15</v>
      </c>
      <c r="M114">
        <v>4.3799999999999999E-2</v>
      </c>
      <c r="O114">
        <v>3</v>
      </c>
      <c r="P114">
        <v>2.7130000000000001</v>
      </c>
      <c r="Q114">
        <v>11.228</v>
      </c>
    </row>
    <row r="115" spans="1:17" ht="16" x14ac:dyDescent="0.2">
      <c r="A115" t="s">
        <v>174</v>
      </c>
      <c r="B115" t="s">
        <v>175</v>
      </c>
      <c r="C115" s="10">
        <v>-30.037337000000001</v>
      </c>
      <c r="D115" s="9">
        <v>153.147063</v>
      </c>
      <c r="E115" s="9">
        <v>0</v>
      </c>
      <c r="F115" s="1">
        <v>42885</v>
      </c>
      <c r="H115" t="s">
        <v>24</v>
      </c>
      <c r="K115">
        <v>113</v>
      </c>
      <c r="L115" t="s">
        <v>25</v>
      </c>
      <c r="M115">
        <v>4.2099999999999999E-2</v>
      </c>
      <c r="O115">
        <v>3</v>
      </c>
      <c r="P115">
        <v>3.952</v>
      </c>
      <c r="Q115">
        <f>9.485+5.978</f>
        <v>15.462999999999999</v>
      </c>
    </row>
    <row r="116" spans="1:17" ht="16" x14ac:dyDescent="0.2">
      <c r="A116" t="s">
        <v>176</v>
      </c>
      <c r="B116" t="s">
        <v>136</v>
      </c>
      <c r="C116" s="10">
        <v>-30.091795000000001</v>
      </c>
      <c r="D116" s="9">
        <v>153.161948</v>
      </c>
      <c r="E116" s="9">
        <v>0</v>
      </c>
      <c r="F116" s="1">
        <v>42880</v>
      </c>
      <c r="H116" t="s">
        <v>24</v>
      </c>
      <c r="K116">
        <v>114</v>
      </c>
      <c r="L116" t="s">
        <v>25</v>
      </c>
      <c r="M116">
        <v>4.48E-2</v>
      </c>
      <c r="O116">
        <v>3</v>
      </c>
      <c r="P116">
        <v>4.3070000000000004</v>
      </c>
      <c r="Q116">
        <v>15.493</v>
      </c>
    </row>
    <row r="117" spans="1:17" ht="16" x14ac:dyDescent="0.2">
      <c r="A117" t="s">
        <v>177</v>
      </c>
      <c r="B117" s="4" t="s">
        <v>145</v>
      </c>
      <c r="C117" s="10">
        <v>-30.011405</v>
      </c>
      <c r="D117" s="9">
        <v>153.11167499999999</v>
      </c>
      <c r="E117" s="9">
        <v>0</v>
      </c>
      <c r="F117" s="5">
        <v>42880</v>
      </c>
      <c r="G117" s="4" t="s">
        <v>167</v>
      </c>
      <c r="H117" s="4" t="s">
        <v>14</v>
      </c>
      <c r="I117" s="4"/>
      <c r="J117" s="4"/>
      <c r="K117">
        <v>115</v>
      </c>
      <c r="L117" t="s">
        <v>15</v>
      </c>
      <c r="M117">
        <v>4.7E-2</v>
      </c>
      <c r="O117">
        <v>3</v>
      </c>
      <c r="P117">
        <v>2.9980000000000002</v>
      </c>
      <c r="Q117">
        <f>5.831+5.565</f>
        <v>11.396000000000001</v>
      </c>
    </row>
    <row r="118" spans="1:17" ht="16" x14ac:dyDescent="0.2">
      <c r="A118" t="s">
        <v>178</v>
      </c>
      <c r="B118" t="s">
        <v>179</v>
      </c>
      <c r="C118" s="10">
        <v>-30.033556999999998</v>
      </c>
      <c r="D118" s="9">
        <v>153.18147200000001</v>
      </c>
      <c r="E118" s="9">
        <v>0</v>
      </c>
      <c r="F118" s="1">
        <v>42885</v>
      </c>
      <c r="G118" t="s">
        <v>180</v>
      </c>
      <c r="H118" t="s">
        <v>24</v>
      </c>
      <c r="K118">
        <v>116</v>
      </c>
      <c r="L118" t="s">
        <v>25</v>
      </c>
      <c r="M118">
        <v>4.3900000000000002E-2</v>
      </c>
      <c r="O118">
        <v>3</v>
      </c>
      <c r="P118">
        <v>3.7469999999999999</v>
      </c>
      <c r="Q118">
        <v>15.114000000000001</v>
      </c>
    </row>
    <row r="119" spans="1:17" ht="16" x14ac:dyDescent="0.2">
      <c r="A119" t="s">
        <v>181</v>
      </c>
      <c r="B119" t="s">
        <v>136</v>
      </c>
      <c r="C119" s="10">
        <v>-30.091795000000001</v>
      </c>
      <c r="D119" s="9">
        <v>153.161948</v>
      </c>
      <c r="E119" s="9">
        <v>0</v>
      </c>
      <c r="F119" s="1">
        <v>42880</v>
      </c>
      <c r="H119" t="s">
        <v>24</v>
      </c>
      <c r="K119">
        <v>117</v>
      </c>
      <c r="L119" t="s">
        <v>25</v>
      </c>
      <c r="M119">
        <v>4.41E-2</v>
      </c>
      <c r="O119">
        <v>3</v>
      </c>
      <c r="P119">
        <v>4.1849999999999996</v>
      </c>
      <c r="Q119">
        <v>15.791</v>
      </c>
    </row>
    <row r="120" spans="1:17" ht="16" x14ac:dyDescent="0.2">
      <c r="A120" t="s">
        <v>182</v>
      </c>
      <c r="B120" t="s">
        <v>136</v>
      </c>
      <c r="C120" s="10">
        <v>-30.091795000000001</v>
      </c>
      <c r="D120" s="9">
        <v>153.161948</v>
      </c>
      <c r="E120" s="9">
        <v>0</v>
      </c>
      <c r="F120" s="1">
        <v>42879</v>
      </c>
      <c r="H120" t="s">
        <v>24</v>
      </c>
      <c r="K120">
        <v>118</v>
      </c>
      <c r="L120" t="s">
        <v>25</v>
      </c>
      <c r="M120">
        <v>4.3299999999999998E-2</v>
      </c>
      <c r="O120">
        <v>3</v>
      </c>
      <c r="P120">
        <v>3.99</v>
      </c>
      <c r="Q120">
        <v>14.813000000000001</v>
      </c>
    </row>
    <row r="121" spans="1:17" ht="16" x14ac:dyDescent="0.2">
      <c r="A121" t="s">
        <v>183</v>
      </c>
      <c r="B121" t="s">
        <v>175</v>
      </c>
      <c r="C121" s="10">
        <v>-30.037337000000001</v>
      </c>
      <c r="D121" s="9">
        <v>153.147063</v>
      </c>
      <c r="E121" s="9">
        <v>0</v>
      </c>
      <c r="F121" s="1">
        <v>42886</v>
      </c>
      <c r="G121" t="s">
        <v>184</v>
      </c>
      <c r="H121" t="s">
        <v>24</v>
      </c>
      <c r="K121">
        <v>119</v>
      </c>
      <c r="L121" t="s">
        <v>25</v>
      </c>
      <c r="M121">
        <v>4.3099999999999999E-2</v>
      </c>
      <c r="O121">
        <v>3</v>
      </c>
      <c r="P121">
        <v>3.2730000000000001</v>
      </c>
      <c r="Q121">
        <f>7.699+6.026</f>
        <v>13.725</v>
      </c>
    </row>
    <row r="122" spans="1:17" ht="16" x14ac:dyDescent="0.2">
      <c r="A122" t="s">
        <v>185</v>
      </c>
      <c r="B122" t="s">
        <v>175</v>
      </c>
      <c r="C122" s="10">
        <v>-30.037337000000001</v>
      </c>
      <c r="D122" s="9">
        <v>153.147063</v>
      </c>
      <c r="E122" s="9">
        <v>0</v>
      </c>
      <c r="F122" s="1">
        <v>42886</v>
      </c>
      <c r="G122" t="s">
        <v>184</v>
      </c>
      <c r="H122" t="s">
        <v>14</v>
      </c>
      <c r="K122">
        <v>120</v>
      </c>
      <c r="L122" t="s">
        <v>15</v>
      </c>
      <c r="M122">
        <v>8.0000000000000004E-4</v>
      </c>
      <c r="O122" t="s">
        <v>40</v>
      </c>
    </row>
    <row r="123" spans="1:17" ht="16" x14ac:dyDescent="0.2">
      <c r="A123" t="s">
        <v>186</v>
      </c>
      <c r="B123" t="s">
        <v>145</v>
      </c>
      <c r="C123" s="10">
        <v>-30.011405</v>
      </c>
      <c r="D123" s="9">
        <v>153.11167499999999</v>
      </c>
      <c r="E123" s="9">
        <v>0</v>
      </c>
      <c r="F123" s="1">
        <v>42879</v>
      </c>
      <c r="G123" t="s">
        <v>167</v>
      </c>
      <c r="H123" t="s">
        <v>14</v>
      </c>
      <c r="K123">
        <v>121</v>
      </c>
      <c r="L123" t="s">
        <v>15</v>
      </c>
      <c r="M123">
        <v>0.19159999999999999</v>
      </c>
      <c r="O123">
        <v>1</v>
      </c>
      <c r="P123">
        <v>7.867</v>
      </c>
      <c r="Q123">
        <f>12.357+11.935</f>
        <v>24.292000000000002</v>
      </c>
    </row>
    <row r="124" spans="1:17" ht="16" x14ac:dyDescent="0.2">
      <c r="A124" t="s">
        <v>187</v>
      </c>
      <c r="B124" t="s">
        <v>145</v>
      </c>
      <c r="C124" s="10">
        <v>-30.011405</v>
      </c>
      <c r="D124" s="9">
        <v>153.11167499999999</v>
      </c>
      <c r="E124" s="9">
        <v>0</v>
      </c>
      <c r="F124" s="1">
        <v>42879</v>
      </c>
      <c r="G124" t="s">
        <v>167</v>
      </c>
      <c r="H124" t="s">
        <v>18</v>
      </c>
      <c r="K124">
        <v>122</v>
      </c>
      <c r="L124" t="s">
        <v>15</v>
      </c>
      <c r="M124">
        <v>0.1867</v>
      </c>
      <c r="O124">
        <v>1</v>
      </c>
      <c r="P124">
        <v>7.6130000000000004</v>
      </c>
      <c r="Q124">
        <f>11.431+12.2099</f>
        <v>23.640899999999998</v>
      </c>
    </row>
    <row r="125" spans="1:17" ht="16" x14ac:dyDescent="0.2">
      <c r="A125" t="s">
        <v>188</v>
      </c>
      <c r="B125" t="s">
        <v>134</v>
      </c>
      <c r="C125" s="10">
        <v>-30.139927</v>
      </c>
      <c r="D125" s="9">
        <v>153.18624700000001</v>
      </c>
      <c r="E125" s="9">
        <v>0</v>
      </c>
      <c r="F125" s="1">
        <v>42881</v>
      </c>
      <c r="G125" t="s">
        <v>189</v>
      </c>
      <c r="H125" t="s">
        <v>24</v>
      </c>
      <c r="K125">
        <v>123</v>
      </c>
      <c r="L125" t="s">
        <v>25</v>
      </c>
      <c r="M125">
        <v>4.7100000000000003E-2</v>
      </c>
      <c r="O125">
        <v>3</v>
      </c>
      <c r="P125">
        <v>3.528</v>
      </c>
      <c r="Q125">
        <f>5.283+10.157</f>
        <v>15.440000000000001</v>
      </c>
    </row>
    <row r="126" spans="1:17" ht="16" x14ac:dyDescent="0.2">
      <c r="A126" t="s">
        <v>190</v>
      </c>
      <c r="B126" t="s">
        <v>145</v>
      </c>
      <c r="C126" s="10">
        <v>-30.011405</v>
      </c>
      <c r="D126" s="9">
        <v>153.11167499999999</v>
      </c>
      <c r="E126" s="9">
        <v>0</v>
      </c>
      <c r="F126" s="1">
        <v>42879</v>
      </c>
      <c r="G126" t="s">
        <v>167</v>
      </c>
      <c r="H126" t="s">
        <v>14</v>
      </c>
      <c r="K126">
        <v>124</v>
      </c>
      <c r="L126" t="s">
        <v>15</v>
      </c>
      <c r="M126">
        <v>5.8599999999999999E-2</v>
      </c>
      <c r="O126">
        <v>3</v>
      </c>
      <c r="P126">
        <v>4.4029999999999996</v>
      </c>
      <c r="Q126">
        <f>7.834+8.942</f>
        <v>16.776</v>
      </c>
    </row>
    <row r="127" spans="1:17" ht="16" x14ac:dyDescent="0.2">
      <c r="A127" t="s">
        <v>191</v>
      </c>
      <c r="B127" t="s">
        <v>145</v>
      </c>
      <c r="C127" s="10">
        <v>-30.011405</v>
      </c>
      <c r="D127" s="9">
        <v>153.11167499999999</v>
      </c>
      <c r="E127" s="9">
        <v>0</v>
      </c>
      <c r="F127" s="1">
        <v>42880</v>
      </c>
      <c r="G127" t="s">
        <v>167</v>
      </c>
      <c r="H127" t="s">
        <v>14</v>
      </c>
      <c r="K127">
        <v>125</v>
      </c>
      <c r="L127" t="s">
        <v>15</v>
      </c>
      <c r="M127">
        <v>4.4600000000000001E-2</v>
      </c>
      <c r="O127">
        <v>3</v>
      </c>
      <c r="P127">
        <v>2.9180000000000001</v>
      </c>
      <c r="Q127">
        <v>11.334</v>
      </c>
    </row>
    <row r="128" spans="1:17" ht="16" x14ac:dyDescent="0.2">
      <c r="A128" t="s">
        <v>192</v>
      </c>
      <c r="B128" t="s">
        <v>145</v>
      </c>
      <c r="C128" s="10">
        <v>-30.011405</v>
      </c>
      <c r="D128" s="9">
        <v>153.11167499999999</v>
      </c>
      <c r="E128" s="9">
        <v>0</v>
      </c>
      <c r="F128" s="1">
        <v>42879</v>
      </c>
      <c r="G128" t="s">
        <v>167</v>
      </c>
      <c r="H128" t="s">
        <v>14</v>
      </c>
      <c r="K128">
        <v>126</v>
      </c>
      <c r="L128" t="s">
        <v>15</v>
      </c>
      <c r="M128">
        <v>4.3799999999999999E-2</v>
      </c>
      <c r="O128">
        <v>3</v>
      </c>
      <c r="P128">
        <v>2.7269999999999999</v>
      </c>
      <c r="Q128">
        <v>11.199</v>
      </c>
    </row>
    <row r="129" spans="1:17" ht="16" x14ac:dyDescent="0.2">
      <c r="A129" t="s">
        <v>193</v>
      </c>
      <c r="B129" t="s">
        <v>179</v>
      </c>
      <c r="C129" s="10">
        <v>-30.033556999999998</v>
      </c>
      <c r="D129" s="9">
        <v>153.18147200000001</v>
      </c>
      <c r="E129" s="9">
        <v>0</v>
      </c>
      <c r="F129" s="1">
        <v>42885</v>
      </c>
      <c r="G129" t="s">
        <v>184</v>
      </c>
      <c r="H129" t="s">
        <v>14</v>
      </c>
      <c r="K129">
        <v>127</v>
      </c>
      <c r="L129" t="s">
        <v>15</v>
      </c>
      <c r="M129">
        <v>0.161</v>
      </c>
      <c r="O129">
        <v>1</v>
      </c>
      <c r="P129">
        <v>6.5229999999999997</v>
      </c>
      <c r="Q129">
        <f>9.32+11.149</f>
        <v>20.469000000000001</v>
      </c>
    </row>
    <row r="130" spans="1:17" ht="16" x14ac:dyDescent="0.2">
      <c r="A130" t="s">
        <v>194</v>
      </c>
      <c r="B130" t="s">
        <v>145</v>
      </c>
      <c r="C130" s="10">
        <v>-30.011405</v>
      </c>
      <c r="D130" s="9">
        <v>153.11167499999999</v>
      </c>
      <c r="E130" s="9">
        <v>0</v>
      </c>
      <c r="F130" s="1">
        <v>42879</v>
      </c>
      <c r="G130" t="s">
        <v>167</v>
      </c>
      <c r="H130" t="s">
        <v>14</v>
      </c>
      <c r="K130">
        <v>128</v>
      </c>
      <c r="L130" t="s">
        <v>15</v>
      </c>
      <c r="M130">
        <v>4.4900000000000002E-2</v>
      </c>
      <c r="O130">
        <v>3</v>
      </c>
      <c r="P130">
        <v>2.867</v>
      </c>
      <c r="Q130">
        <f>5.061+6.783</f>
        <v>11.844000000000001</v>
      </c>
    </row>
    <row r="131" spans="1:17" ht="16" x14ac:dyDescent="0.2">
      <c r="A131" t="s">
        <v>195</v>
      </c>
      <c r="B131" t="s">
        <v>145</v>
      </c>
      <c r="C131" s="10">
        <v>-30.011405</v>
      </c>
      <c r="D131" s="9">
        <v>153.11167499999999</v>
      </c>
      <c r="E131" s="9">
        <v>0</v>
      </c>
      <c r="F131" s="1">
        <v>42880</v>
      </c>
      <c r="G131" t="s">
        <v>167</v>
      </c>
      <c r="H131" t="s">
        <v>14</v>
      </c>
      <c r="K131">
        <v>129</v>
      </c>
      <c r="L131" t="s">
        <v>15</v>
      </c>
      <c r="M131">
        <v>4.7600000000000003E-2</v>
      </c>
      <c r="O131">
        <v>3</v>
      </c>
      <c r="P131">
        <v>3.214</v>
      </c>
      <c r="Q131">
        <f>5.109+6.736</f>
        <v>11.844999999999999</v>
      </c>
    </row>
    <row r="132" spans="1:17" ht="16" x14ac:dyDescent="0.2">
      <c r="A132" t="s">
        <v>196</v>
      </c>
      <c r="B132" t="s">
        <v>145</v>
      </c>
      <c r="C132" s="10">
        <v>-30.011405</v>
      </c>
      <c r="D132" s="9">
        <v>153.11167499999999</v>
      </c>
      <c r="E132" s="9">
        <v>0</v>
      </c>
      <c r="F132" s="1">
        <v>42879</v>
      </c>
      <c r="G132" t="s">
        <v>167</v>
      </c>
      <c r="H132" t="s">
        <v>14</v>
      </c>
      <c r="K132">
        <v>130</v>
      </c>
      <c r="L132" t="s">
        <v>15</v>
      </c>
      <c r="M132">
        <v>5.9700000000000003E-2</v>
      </c>
      <c r="O132">
        <v>3</v>
      </c>
      <c r="P132">
        <v>4.4630000000000001</v>
      </c>
      <c r="Q132">
        <f>8.097+8.203</f>
        <v>16.299999999999997</v>
      </c>
    </row>
    <row r="133" spans="1:17" ht="16" x14ac:dyDescent="0.2">
      <c r="A133" t="s">
        <v>197</v>
      </c>
      <c r="B133" t="s">
        <v>145</v>
      </c>
      <c r="C133" s="10">
        <v>-30.011405</v>
      </c>
      <c r="D133" s="9">
        <v>153.11167499999999</v>
      </c>
      <c r="E133" s="9">
        <v>0</v>
      </c>
      <c r="F133" s="1">
        <v>42880</v>
      </c>
      <c r="G133" t="s">
        <v>152</v>
      </c>
      <c r="H133" t="s">
        <v>14</v>
      </c>
      <c r="K133">
        <v>131</v>
      </c>
      <c r="L133" t="s">
        <v>15</v>
      </c>
      <c r="M133">
        <v>6.2100000000000002E-2</v>
      </c>
      <c r="O133">
        <v>3</v>
      </c>
      <c r="P133">
        <v>4.3630000000000004</v>
      </c>
      <c r="Q133">
        <f>7.699+7.995</f>
        <v>15.693999999999999</v>
      </c>
    </row>
    <row r="134" spans="1:17" ht="16" x14ac:dyDescent="0.2">
      <c r="A134" t="s">
        <v>198</v>
      </c>
      <c r="B134" t="s">
        <v>145</v>
      </c>
      <c r="C134" s="10">
        <v>-30.011405</v>
      </c>
      <c r="D134" s="9">
        <v>153.11167499999999</v>
      </c>
      <c r="E134" s="9">
        <v>0</v>
      </c>
      <c r="F134" s="1">
        <v>42886</v>
      </c>
      <c r="G134" t="s">
        <v>184</v>
      </c>
      <c r="H134" t="s">
        <v>14</v>
      </c>
      <c r="K134">
        <v>132</v>
      </c>
      <c r="L134" t="s">
        <v>15</v>
      </c>
      <c r="M134">
        <v>4.65E-2</v>
      </c>
      <c r="O134">
        <v>3</v>
      </c>
      <c r="P134">
        <v>3.0710000000000002</v>
      </c>
      <c r="Q134">
        <v>11.821</v>
      </c>
    </row>
    <row r="135" spans="1:17" ht="16" x14ac:dyDescent="0.2">
      <c r="A135" t="s">
        <v>199</v>
      </c>
      <c r="B135" t="s">
        <v>145</v>
      </c>
      <c r="C135" s="10">
        <v>-30.011405</v>
      </c>
      <c r="D135" s="9">
        <v>153.11167499999999</v>
      </c>
      <c r="E135" s="9">
        <v>0</v>
      </c>
      <c r="F135" s="1">
        <v>42886</v>
      </c>
      <c r="G135" t="s">
        <v>184</v>
      </c>
      <c r="H135" t="s">
        <v>14</v>
      </c>
      <c r="K135">
        <v>133</v>
      </c>
      <c r="L135" t="s">
        <v>15</v>
      </c>
      <c r="M135">
        <v>1.9E-3</v>
      </c>
      <c r="O135" t="s">
        <v>40</v>
      </c>
    </row>
    <row r="136" spans="1:17" ht="16" x14ac:dyDescent="0.2">
      <c r="A136" t="s">
        <v>200</v>
      </c>
      <c r="B136" t="s">
        <v>134</v>
      </c>
      <c r="C136" s="10">
        <v>-30.139927</v>
      </c>
      <c r="D136" s="9">
        <v>153.18624700000001</v>
      </c>
      <c r="E136" s="9">
        <v>0</v>
      </c>
      <c r="F136" s="1">
        <v>42881</v>
      </c>
      <c r="G136" t="s">
        <v>201</v>
      </c>
      <c r="H136" t="s">
        <v>24</v>
      </c>
      <c r="K136">
        <v>134</v>
      </c>
      <c r="L136" t="s">
        <v>25</v>
      </c>
      <c r="M136">
        <v>4.5400000000000003E-2</v>
      </c>
      <c r="O136">
        <v>3</v>
      </c>
      <c r="P136">
        <v>3.8740000000000001</v>
      </c>
      <c r="Q136">
        <v>14.207000000000001</v>
      </c>
    </row>
    <row r="137" spans="1:17" ht="16" x14ac:dyDescent="0.2">
      <c r="A137" t="s">
        <v>202</v>
      </c>
      <c r="B137" t="s">
        <v>134</v>
      </c>
      <c r="C137" s="10">
        <v>-30.139927</v>
      </c>
      <c r="D137" s="9">
        <v>153.18624700000001</v>
      </c>
      <c r="E137" s="9">
        <v>0</v>
      </c>
      <c r="F137" s="1">
        <v>42881</v>
      </c>
      <c r="H137" t="s">
        <v>24</v>
      </c>
      <c r="K137">
        <v>135</v>
      </c>
      <c r="L137" t="s">
        <v>25</v>
      </c>
      <c r="M137">
        <v>4.36E-2</v>
      </c>
      <c r="O137">
        <v>3</v>
      </c>
      <c r="P137">
        <v>3.9820000000000002</v>
      </c>
      <c r="Q137">
        <v>15.462999999999999</v>
      </c>
    </row>
    <row r="138" spans="1:17" ht="16" x14ac:dyDescent="0.2">
      <c r="A138" t="s">
        <v>203</v>
      </c>
      <c r="B138" t="s">
        <v>134</v>
      </c>
      <c r="C138" s="10">
        <v>-30.139927</v>
      </c>
      <c r="D138" s="9">
        <v>153.18624700000001</v>
      </c>
      <c r="E138" s="9">
        <v>0</v>
      </c>
      <c r="F138" s="1">
        <v>42880</v>
      </c>
      <c r="H138" t="s">
        <v>24</v>
      </c>
      <c r="K138">
        <v>136</v>
      </c>
      <c r="L138" t="s">
        <v>25</v>
      </c>
      <c r="M138">
        <v>3.9399999999999998E-2</v>
      </c>
      <c r="O138">
        <v>3</v>
      </c>
      <c r="P138">
        <v>1.9419999999999999</v>
      </c>
      <c r="Q138">
        <f>5.58+4.038</f>
        <v>9.6180000000000003</v>
      </c>
    </row>
    <row r="139" spans="1:17" ht="16" x14ac:dyDescent="0.2">
      <c r="A139" t="s">
        <v>204</v>
      </c>
      <c r="B139" t="s">
        <v>175</v>
      </c>
      <c r="C139" s="10">
        <v>-30.037337000000001</v>
      </c>
      <c r="D139" s="9">
        <v>153.147063</v>
      </c>
      <c r="E139" s="9">
        <v>0</v>
      </c>
      <c r="F139" s="1">
        <v>42881</v>
      </c>
      <c r="H139" t="s">
        <v>24</v>
      </c>
      <c r="K139">
        <v>137</v>
      </c>
      <c r="L139" t="s">
        <v>25</v>
      </c>
      <c r="M139">
        <v>4.2700000000000002E-2</v>
      </c>
      <c r="O139">
        <v>3</v>
      </c>
      <c r="P139">
        <v>3.8260000000000001</v>
      </c>
      <c r="Q139">
        <v>14.882999999999999</v>
      </c>
    </row>
    <row r="140" spans="1:17" ht="16" x14ac:dyDescent="0.2">
      <c r="A140" t="s">
        <v>205</v>
      </c>
      <c r="B140" t="s">
        <v>175</v>
      </c>
      <c r="C140" s="10">
        <v>-30.037337000000001</v>
      </c>
      <c r="D140" s="9">
        <v>153.147063</v>
      </c>
      <c r="E140" s="9">
        <v>0</v>
      </c>
      <c r="F140" s="1">
        <v>42881</v>
      </c>
      <c r="H140" t="s">
        <v>24</v>
      </c>
      <c r="K140">
        <v>138</v>
      </c>
      <c r="L140" t="s">
        <v>25</v>
      </c>
      <c r="M140">
        <v>4.0099999999999997E-2</v>
      </c>
      <c r="O140">
        <v>3</v>
      </c>
      <c r="P140">
        <v>1.9810000000000001</v>
      </c>
      <c r="Q140">
        <f>2.663+1.952+5.69</f>
        <v>10.305</v>
      </c>
    </row>
    <row r="141" spans="1:17" ht="16" x14ac:dyDescent="0.2">
      <c r="A141" t="s">
        <v>206</v>
      </c>
      <c r="B141" t="s">
        <v>207</v>
      </c>
      <c r="C141" s="10">
        <v>-30.009444999999999</v>
      </c>
      <c r="D141" s="9">
        <v>153.10040100000001</v>
      </c>
      <c r="E141" s="9">
        <v>0</v>
      </c>
      <c r="F141" s="1">
        <v>42863</v>
      </c>
      <c r="H141" t="s">
        <v>14</v>
      </c>
      <c r="I141" t="s">
        <v>184</v>
      </c>
      <c r="K141">
        <v>139</v>
      </c>
      <c r="L141" t="s">
        <v>15</v>
      </c>
      <c r="M141">
        <v>1.5E-3</v>
      </c>
      <c r="O141" t="s">
        <v>40</v>
      </c>
    </row>
    <row r="142" spans="1:17" ht="16" x14ac:dyDescent="0.2">
      <c r="A142" t="s">
        <v>208</v>
      </c>
      <c r="B142" t="s">
        <v>55</v>
      </c>
      <c r="C142" s="8">
        <v>-29.997240000000001</v>
      </c>
      <c r="D142" s="9">
        <v>153.14993100000001</v>
      </c>
      <c r="E142" s="9">
        <v>0</v>
      </c>
      <c r="F142" s="1">
        <v>42863</v>
      </c>
      <c r="H142" t="s">
        <v>209</v>
      </c>
      <c r="I142" t="s">
        <v>210</v>
      </c>
      <c r="K142">
        <v>140</v>
      </c>
      <c r="L142" t="s">
        <v>15</v>
      </c>
      <c r="M142">
        <v>2.3E-3</v>
      </c>
      <c r="O142" t="s">
        <v>40</v>
      </c>
    </row>
    <row r="143" spans="1:17" ht="16" x14ac:dyDescent="0.2">
      <c r="A143" t="s">
        <v>211</v>
      </c>
      <c r="B143" t="s">
        <v>52</v>
      </c>
      <c r="C143" s="10">
        <v>-30.016062000000002</v>
      </c>
      <c r="D143" s="9">
        <v>153.12394800000001</v>
      </c>
      <c r="E143" s="9">
        <v>0</v>
      </c>
      <c r="F143" s="1">
        <v>42863</v>
      </c>
      <c r="H143" t="s">
        <v>212</v>
      </c>
      <c r="I143" t="s">
        <v>184</v>
      </c>
      <c r="K143">
        <v>141</v>
      </c>
      <c r="L143" t="s">
        <v>15</v>
      </c>
      <c r="M143">
        <v>1.9E-3</v>
      </c>
      <c r="O143" t="s">
        <v>40</v>
      </c>
    </row>
    <row r="144" spans="1:17" ht="16" x14ac:dyDescent="0.2">
      <c r="A144" t="s">
        <v>213</v>
      </c>
      <c r="B144" t="s">
        <v>76</v>
      </c>
      <c r="C144" s="10">
        <v>-30.004933000000001</v>
      </c>
      <c r="D144" s="9">
        <v>153.09672599999999</v>
      </c>
      <c r="E144" s="9">
        <v>0</v>
      </c>
      <c r="F144" s="1">
        <v>42863</v>
      </c>
      <c r="H144" t="s">
        <v>14</v>
      </c>
      <c r="I144" t="s">
        <v>184</v>
      </c>
      <c r="K144">
        <v>142</v>
      </c>
      <c r="L144" t="s">
        <v>15</v>
      </c>
      <c r="M144">
        <v>1.8E-3</v>
      </c>
      <c r="O144" t="s">
        <v>40</v>
      </c>
    </row>
    <row r="145" spans="1:17" ht="16" x14ac:dyDescent="0.2">
      <c r="A145" t="s">
        <v>214</v>
      </c>
      <c r="B145" t="s">
        <v>207</v>
      </c>
      <c r="C145" s="10">
        <v>-30.009444999999999</v>
      </c>
      <c r="D145" s="9">
        <v>153.10040100000001</v>
      </c>
      <c r="E145" s="9">
        <v>0</v>
      </c>
      <c r="F145" s="1">
        <v>42863</v>
      </c>
      <c r="H145" t="s">
        <v>14</v>
      </c>
      <c r="I145" t="s">
        <v>184</v>
      </c>
      <c r="K145">
        <v>143</v>
      </c>
      <c r="L145" t="s">
        <v>15</v>
      </c>
      <c r="M145">
        <v>1.4E-3</v>
      </c>
      <c r="O145" t="s">
        <v>40</v>
      </c>
    </row>
    <row r="146" spans="1:17" ht="16" x14ac:dyDescent="0.2">
      <c r="A146" t="s">
        <v>215</v>
      </c>
      <c r="B146" t="s">
        <v>76</v>
      </c>
      <c r="C146" s="10">
        <v>-30.004933000000001</v>
      </c>
      <c r="D146" s="9">
        <v>153.09672599999999</v>
      </c>
      <c r="E146" s="9">
        <v>0</v>
      </c>
      <c r="F146" s="1">
        <v>42863</v>
      </c>
      <c r="H146" t="s">
        <v>18</v>
      </c>
      <c r="I146" t="s">
        <v>184</v>
      </c>
      <c r="K146">
        <v>144</v>
      </c>
      <c r="L146" t="s">
        <v>15</v>
      </c>
      <c r="M146">
        <v>2.3E-3</v>
      </c>
      <c r="O146" t="s">
        <v>40</v>
      </c>
    </row>
    <row r="147" spans="1:17" ht="16" x14ac:dyDescent="0.2">
      <c r="A147" t="s">
        <v>216</v>
      </c>
      <c r="B147" t="s">
        <v>76</v>
      </c>
      <c r="C147" s="10">
        <v>-30.004933000000001</v>
      </c>
      <c r="D147" s="9">
        <v>153.09672599999999</v>
      </c>
      <c r="E147" s="9">
        <v>0</v>
      </c>
      <c r="F147" s="1">
        <v>42857</v>
      </c>
      <c r="H147" t="s">
        <v>14</v>
      </c>
      <c r="I147" t="s">
        <v>184</v>
      </c>
      <c r="K147">
        <v>145</v>
      </c>
      <c r="L147" t="s">
        <v>15</v>
      </c>
      <c r="M147">
        <v>2.5999999999999999E-3</v>
      </c>
      <c r="O147" t="s">
        <v>40</v>
      </c>
    </row>
    <row r="148" spans="1:17" ht="16" x14ac:dyDescent="0.2">
      <c r="A148" t="s">
        <v>217</v>
      </c>
      <c r="B148" t="s">
        <v>207</v>
      </c>
      <c r="C148" s="10">
        <v>-30.009444999999999</v>
      </c>
      <c r="D148" s="9">
        <v>153.10040100000001</v>
      </c>
      <c r="E148" s="9">
        <v>0</v>
      </c>
      <c r="F148" s="1">
        <v>42859</v>
      </c>
      <c r="H148" t="s">
        <v>14</v>
      </c>
      <c r="I148" t="s">
        <v>184</v>
      </c>
      <c r="K148">
        <v>146</v>
      </c>
      <c r="L148" t="s">
        <v>15</v>
      </c>
      <c r="M148">
        <v>3.0000000000000001E-3</v>
      </c>
      <c r="O148" t="s">
        <v>40</v>
      </c>
    </row>
    <row r="149" spans="1:17" ht="16" x14ac:dyDescent="0.2">
      <c r="A149" t="s">
        <v>218</v>
      </c>
      <c r="B149" t="s">
        <v>207</v>
      </c>
      <c r="C149" s="10">
        <v>-30.009444999999999</v>
      </c>
      <c r="D149" s="9">
        <v>153.10040100000001</v>
      </c>
      <c r="E149" s="9">
        <v>0</v>
      </c>
      <c r="F149" s="1">
        <v>42857</v>
      </c>
      <c r="H149" t="s">
        <v>18</v>
      </c>
      <c r="I149" t="s">
        <v>184</v>
      </c>
      <c r="K149">
        <v>147</v>
      </c>
      <c r="L149" t="s">
        <v>15</v>
      </c>
      <c r="M149">
        <v>2.3E-3</v>
      </c>
      <c r="O149" t="s">
        <v>40</v>
      </c>
    </row>
    <row r="150" spans="1:17" ht="16" x14ac:dyDescent="0.2">
      <c r="A150" t="s">
        <v>219</v>
      </c>
      <c r="B150" t="s">
        <v>207</v>
      </c>
      <c r="C150" s="10">
        <v>-30.009444999999999</v>
      </c>
      <c r="D150" s="9">
        <v>153.10040100000001</v>
      </c>
      <c r="E150" s="9">
        <v>0</v>
      </c>
      <c r="F150" s="1">
        <v>42858</v>
      </c>
      <c r="H150" t="s">
        <v>14</v>
      </c>
      <c r="I150" t="s">
        <v>184</v>
      </c>
      <c r="K150">
        <v>148</v>
      </c>
      <c r="L150" t="s">
        <v>15</v>
      </c>
      <c r="M150">
        <v>1.6000000000000001E-3</v>
      </c>
      <c r="O150" t="s">
        <v>40</v>
      </c>
    </row>
    <row r="151" spans="1:17" ht="16" x14ac:dyDescent="0.2">
      <c r="A151" t="s">
        <v>220</v>
      </c>
      <c r="B151" t="s">
        <v>207</v>
      </c>
      <c r="C151" s="10">
        <v>-30.009444999999999</v>
      </c>
      <c r="D151" s="9">
        <v>153.10040100000001</v>
      </c>
      <c r="E151" s="9">
        <v>0</v>
      </c>
      <c r="F151" s="1">
        <v>42858</v>
      </c>
      <c r="H151" t="s">
        <v>14</v>
      </c>
      <c r="I151" t="s">
        <v>221</v>
      </c>
      <c r="K151">
        <v>149</v>
      </c>
      <c r="L151" t="s">
        <v>15</v>
      </c>
      <c r="M151">
        <v>1.5E-3</v>
      </c>
      <c r="O151" t="s">
        <v>40</v>
      </c>
    </row>
    <row r="152" spans="1:17" ht="16" x14ac:dyDescent="0.2">
      <c r="A152" t="s">
        <v>222</v>
      </c>
      <c r="B152" t="s">
        <v>207</v>
      </c>
      <c r="C152" s="10">
        <v>-30.009444999999999</v>
      </c>
      <c r="D152" s="9">
        <v>153.10040100000001</v>
      </c>
      <c r="E152" s="9">
        <v>0</v>
      </c>
      <c r="F152" s="1">
        <v>42857</v>
      </c>
      <c r="H152" t="s">
        <v>14</v>
      </c>
      <c r="I152" t="s">
        <v>184</v>
      </c>
      <c r="K152">
        <v>150</v>
      </c>
      <c r="L152" t="s">
        <v>15</v>
      </c>
      <c r="M152">
        <v>2.3E-3</v>
      </c>
      <c r="O152" t="s">
        <v>40</v>
      </c>
    </row>
    <row r="153" spans="1:17" ht="16" x14ac:dyDescent="0.2">
      <c r="A153" t="s">
        <v>223</v>
      </c>
      <c r="B153" t="s">
        <v>76</v>
      </c>
      <c r="C153" s="10">
        <v>-30.004933000000001</v>
      </c>
      <c r="D153" s="9">
        <v>153.09672599999999</v>
      </c>
      <c r="E153" s="9">
        <v>0</v>
      </c>
      <c r="F153" s="1">
        <v>42863</v>
      </c>
      <c r="H153" t="s">
        <v>14</v>
      </c>
      <c r="I153" t="s">
        <v>184</v>
      </c>
      <c r="K153">
        <v>151</v>
      </c>
      <c r="L153" t="s">
        <v>15</v>
      </c>
      <c r="M153">
        <v>1.4E-3</v>
      </c>
      <c r="O153" t="s">
        <v>40</v>
      </c>
    </row>
    <row r="154" spans="1:17" ht="16" x14ac:dyDescent="0.2">
      <c r="A154" t="s">
        <v>224</v>
      </c>
      <c r="B154" t="s">
        <v>207</v>
      </c>
      <c r="C154" s="10">
        <v>-30.009444999999999</v>
      </c>
      <c r="D154" s="9">
        <v>153.10040100000001</v>
      </c>
      <c r="E154" s="9">
        <v>0</v>
      </c>
      <c r="F154" s="1">
        <v>42863</v>
      </c>
      <c r="H154" t="s">
        <v>18</v>
      </c>
      <c r="I154" t="s">
        <v>184</v>
      </c>
      <c r="K154">
        <v>152</v>
      </c>
      <c r="L154" t="s">
        <v>15</v>
      </c>
      <c r="M154">
        <v>2.3E-3</v>
      </c>
      <c r="O154" t="s">
        <v>40</v>
      </c>
    </row>
    <row r="155" spans="1:17" ht="16" x14ac:dyDescent="0.2">
      <c r="A155" t="s">
        <v>225</v>
      </c>
      <c r="B155" t="s">
        <v>207</v>
      </c>
      <c r="C155" s="10">
        <v>-30.009444999999999</v>
      </c>
      <c r="D155" s="9">
        <v>153.10040100000001</v>
      </c>
      <c r="E155" s="9">
        <v>0</v>
      </c>
      <c r="F155" s="1">
        <v>42863</v>
      </c>
      <c r="H155" t="s">
        <v>18</v>
      </c>
      <c r="I155" t="s">
        <v>221</v>
      </c>
      <c r="K155">
        <v>153</v>
      </c>
      <c r="L155" t="s">
        <v>15</v>
      </c>
      <c r="M155">
        <v>2.0999999999999999E-3</v>
      </c>
      <c r="O155" t="s">
        <v>40</v>
      </c>
    </row>
    <row r="156" spans="1:17" ht="16" x14ac:dyDescent="0.2">
      <c r="A156" t="s">
        <v>226</v>
      </c>
      <c r="B156" t="s">
        <v>31</v>
      </c>
      <c r="C156" s="10">
        <v>-30.002158999999999</v>
      </c>
      <c r="D156" s="9">
        <v>153.14892399999999</v>
      </c>
      <c r="E156" s="9">
        <v>0</v>
      </c>
      <c r="F156" s="1">
        <v>42864</v>
      </c>
      <c r="H156" t="s">
        <v>32</v>
      </c>
      <c r="I156" t="s">
        <v>210</v>
      </c>
      <c r="K156">
        <v>154</v>
      </c>
      <c r="L156" t="s">
        <v>25</v>
      </c>
      <c r="M156">
        <v>6.9599999999999995E-2</v>
      </c>
      <c r="O156">
        <v>2</v>
      </c>
      <c r="P156">
        <v>2.8130000000000002</v>
      </c>
      <c r="Q156">
        <f>5.08+2.813+4.261</f>
        <v>12.154</v>
      </c>
    </row>
    <row r="157" spans="1:17" ht="16" x14ac:dyDescent="0.2">
      <c r="A157" t="s">
        <v>227</v>
      </c>
      <c r="B157" t="s">
        <v>228</v>
      </c>
      <c r="C157" s="8">
        <v>-29.997240000000001</v>
      </c>
      <c r="D157" s="9">
        <v>153.14993100000001</v>
      </c>
      <c r="E157" s="9">
        <v>0</v>
      </c>
      <c r="F157" s="1">
        <v>42860</v>
      </c>
      <c r="H157" t="s">
        <v>32</v>
      </c>
      <c r="I157" t="s">
        <v>210</v>
      </c>
      <c r="K157">
        <v>155</v>
      </c>
      <c r="L157" t="s">
        <v>25</v>
      </c>
      <c r="M157">
        <v>6.8699999999999997E-2</v>
      </c>
      <c r="O157">
        <v>2</v>
      </c>
      <c r="P157">
        <v>1.71</v>
      </c>
      <c r="Q157">
        <f>6.072+3.737</f>
        <v>9.8090000000000011</v>
      </c>
    </row>
    <row r="158" spans="1:17" ht="16" x14ac:dyDescent="0.2">
      <c r="A158" t="s">
        <v>229</v>
      </c>
      <c r="B158" t="s">
        <v>228</v>
      </c>
      <c r="C158" s="8">
        <v>-29.997240000000001</v>
      </c>
      <c r="D158" s="9">
        <v>153.14993100000001</v>
      </c>
      <c r="E158" s="9">
        <v>0</v>
      </c>
      <c r="F158" s="1">
        <v>42863</v>
      </c>
      <c r="H158" t="s">
        <v>32</v>
      </c>
      <c r="I158" t="s">
        <v>210</v>
      </c>
      <c r="K158">
        <v>156</v>
      </c>
      <c r="L158" t="s">
        <v>25</v>
      </c>
      <c r="M158">
        <v>6.9099999999999995E-2</v>
      </c>
      <c r="O158">
        <v>2</v>
      </c>
      <c r="P158">
        <v>2.1379999999999999</v>
      </c>
      <c r="Q158">
        <f>2.921+7.585</f>
        <v>10.506</v>
      </c>
    </row>
    <row r="159" spans="1:17" ht="16" x14ac:dyDescent="0.2">
      <c r="A159" t="s">
        <v>230</v>
      </c>
      <c r="B159" t="s">
        <v>52</v>
      </c>
      <c r="C159" s="10">
        <v>-30.016062000000002</v>
      </c>
      <c r="D159" s="9">
        <v>153.12394800000001</v>
      </c>
      <c r="E159" s="9">
        <v>0</v>
      </c>
      <c r="F159" s="1">
        <v>42864</v>
      </c>
      <c r="H159" t="s">
        <v>18</v>
      </c>
      <c r="I159" t="s">
        <v>221</v>
      </c>
      <c r="K159">
        <v>157</v>
      </c>
      <c r="L159" t="s">
        <v>15</v>
      </c>
      <c r="M159">
        <v>7.9899999999999999E-2</v>
      </c>
      <c r="O159">
        <v>2</v>
      </c>
      <c r="P159">
        <v>3.2069999999999999</v>
      </c>
      <c r="Q159">
        <f>7.025+6.272</f>
        <v>13.297000000000001</v>
      </c>
    </row>
    <row r="160" spans="1:17" ht="16" x14ac:dyDescent="0.2">
      <c r="A160" t="s">
        <v>231</v>
      </c>
      <c r="B160" t="s">
        <v>17</v>
      </c>
      <c r="C160" s="10">
        <v>-29.943010999999998</v>
      </c>
      <c r="D160" s="9">
        <v>153.12657400000001</v>
      </c>
      <c r="E160" s="9">
        <v>0</v>
      </c>
      <c r="F160" s="1">
        <v>42863</v>
      </c>
      <c r="H160" t="s">
        <v>14</v>
      </c>
      <c r="I160" t="s">
        <v>184</v>
      </c>
      <c r="K160">
        <v>158</v>
      </c>
      <c r="L160" t="s">
        <v>15</v>
      </c>
      <c r="M160">
        <v>7.4399999999999994E-2</v>
      </c>
      <c r="O160">
        <v>2</v>
      </c>
      <c r="P160">
        <v>2.915</v>
      </c>
      <c r="Q160">
        <v>12.4</v>
      </c>
    </row>
    <row r="161" spans="1:17" s="2" customFormat="1" ht="16" x14ac:dyDescent="0.2">
      <c r="A161" s="2" t="s">
        <v>232</v>
      </c>
      <c r="B161" t="s">
        <v>52</v>
      </c>
      <c r="C161" s="10">
        <v>-30.016062000000002</v>
      </c>
      <c r="D161" s="9">
        <v>153.12394800000001</v>
      </c>
      <c r="E161" s="9">
        <v>0</v>
      </c>
      <c r="F161" s="3">
        <v>42863</v>
      </c>
      <c r="H161" s="2" t="s">
        <v>108</v>
      </c>
      <c r="I161" s="2" t="s">
        <v>184</v>
      </c>
      <c r="K161" s="2">
        <v>159</v>
      </c>
      <c r="L161" s="2" t="s">
        <v>44</v>
      </c>
      <c r="M161" s="2" t="s">
        <v>44</v>
      </c>
      <c r="N161" s="13"/>
      <c r="O161" s="2" t="s">
        <v>44</v>
      </c>
      <c r="P161" s="2" t="s">
        <v>44</v>
      </c>
      <c r="Q161" s="2" t="s">
        <v>44</v>
      </c>
    </row>
    <row r="162" spans="1:17" ht="16" x14ac:dyDescent="0.2">
      <c r="A162" t="s">
        <v>233</v>
      </c>
      <c r="B162" t="s">
        <v>31</v>
      </c>
      <c r="C162" s="10">
        <v>-30.002158999999999</v>
      </c>
      <c r="D162" s="9">
        <v>153.14892399999999</v>
      </c>
      <c r="E162" s="9">
        <v>0</v>
      </c>
      <c r="F162" s="1">
        <v>42863</v>
      </c>
      <c r="H162" t="s">
        <v>32</v>
      </c>
      <c r="I162" t="s">
        <v>234</v>
      </c>
      <c r="K162">
        <v>160</v>
      </c>
      <c r="L162" t="s">
        <v>25</v>
      </c>
      <c r="M162">
        <v>7.2999999999999995E-2</v>
      </c>
      <c r="O162">
        <v>2</v>
      </c>
      <c r="P162">
        <v>3.3570000000000002</v>
      </c>
      <c r="Q162">
        <f>8.962+5.05</f>
        <v>14.012</v>
      </c>
    </row>
    <row r="163" spans="1:17" ht="16" x14ac:dyDescent="0.2">
      <c r="A163" t="s">
        <v>235</v>
      </c>
      <c r="B163" t="s">
        <v>31</v>
      </c>
      <c r="C163" s="10">
        <v>-30.002158999999999</v>
      </c>
      <c r="D163" s="9">
        <v>153.14892399999999</v>
      </c>
      <c r="E163" s="9">
        <v>0</v>
      </c>
      <c r="F163" s="1">
        <v>42864</v>
      </c>
      <c r="H163" t="s">
        <v>18</v>
      </c>
      <c r="I163" t="s">
        <v>234</v>
      </c>
      <c r="K163">
        <v>161</v>
      </c>
      <c r="L163" t="s">
        <v>15</v>
      </c>
      <c r="M163">
        <v>6.9699999999999998E-2</v>
      </c>
      <c r="O163">
        <v>2</v>
      </c>
      <c r="P163">
        <v>1.972</v>
      </c>
      <c r="Q163">
        <v>6.391</v>
      </c>
    </row>
    <row r="164" spans="1:17" ht="16" x14ac:dyDescent="0.2">
      <c r="A164" t="s">
        <v>236</v>
      </c>
      <c r="B164" t="s">
        <v>31</v>
      </c>
      <c r="C164" s="10">
        <v>-30.002158999999999</v>
      </c>
      <c r="D164" s="9">
        <v>153.14892399999999</v>
      </c>
      <c r="E164" s="9">
        <v>0</v>
      </c>
      <c r="F164" s="1">
        <v>42864</v>
      </c>
      <c r="H164" t="s">
        <v>18</v>
      </c>
      <c r="I164" t="s">
        <v>234</v>
      </c>
      <c r="K164">
        <v>162</v>
      </c>
      <c r="L164" t="s">
        <v>15</v>
      </c>
      <c r="M164">
        <v>6.9099999999999995E-2</v>
      </c>
      <c r="O164">
        <v>2</v>
      </c>
      <c r="P164">
        <v>1.97</v>
      </c>
      <c r="Q164">
        <v>6.2370000000000001</v>
      </c>
    </row>
    <row r="165" spans="1:17" ht="16" x14ac:dyDescent="0.2">
      <c r="A165" t="s">
        <v>237</v>
      </c>
      <c r="B165" t="s">
        <v>31</v>
      </c>
      <c r="C165" s="10">
        <v>-30.002158999999999</v>
      </c>
      <c r="D165" s="9">
        <v>153.14892399999999</v>
      </c>
      <c r="E165" s="9">
        <v>0</v>
      </c>
      <c r="F165" s="1">
        <v>42864</v>
      </c>
      <c r="H165" t="s">
        <v>32</v>
      </c>
      <c r="I165" t="s">
        <v>210</v>
      </c>
      <c r="K165">
        <v>163</v>
      </c>
      <c r="L165" t="s">
        <v>25</v>
      </c>
      <c r="M165">
        <v>6.88E-2</v>
      </c>
      <c r="O165">
        <v>2</v>
      </c>
      <c r="P165">
        <v>1.6950000000000001</v>
      </c>
      <c r="Q165">
        <f>3.875+5.628</f>
        <v>9.5030000000000001</v>
      </c>
    </row>
    <row r="166" spans="1:17" s="2" customFormat="1" ht="16" x14ac:dyDescent="0.2">
      <c r="A166" s="2" t="s">
        <v>238</v>
      </c>
      <c r="B166" s="2" t="s">
        <v>228</v>
      </c>
      <c r="C166" s="8">
        <v>-29.997240000000001</v>
      </c>
      <c r="D166" s="9">
        <v>153.14993100000001</v>
      </c>
      <c r="E166" s="9">
        <v>0</v>
      </c>
      <c r="F166" s="3">
        <v>42864</v>
      </c>
      <c r="H166" s="2" t="s">
        <v>18</v>
      </c>
      <c r="I166" s="2" t="s">
        <v>234</v>
      </c>
      <c r="K166" s="2">
        <v>164</v>
      </c>
      <c r="L166" s="2" t="s">
        <v>15</v>
      </c>
      <c r="M166" s="2">
        <v>7.0099999999999996E-2</v>
      </c>
      <c r="N166" s="13"/>
      <c r="O166" s="2">
        <v>2</v>
      </c>
      <c r="P166">
        <v>2.3439999999999999</v>
      </c>
      <c r="Q166">
        <f>6.129+5.178</f>
        <v>11.306999999999999</v>
      </c>
    </row>
    <row r="167" spans="1:17" ht="16" x14ac:dyDescent="0.2">
      <c r="A167" t="s">
        <v>239</v>
      </c>
      <c r="B167" t="s">
        <v>13</v>
      </c>
      <c r="C167" s="8">
        <v>-29.997240000000001</v>
      </c>
      <c r="D167" s="9">
        <v>153.14993100000001</v>
      </c>
      <c r="E167" s="9">
        <v>0</v>
      </c>
      <c r="F167" s="1">
        <v>42860</v>
      </c>
      <c r="H167" t="s">
        <v>18</v>
      </c>
      <c r="I167" t="s">
        <v>234</v>
      </c>
      <c r="K167">
        <v>165</v>
      </c>
      <c r="L167" t="s">
        <v>15</v>
      </c>
      <c r="M167">
        <v>7.17E-2</v>
      </c>
      <c r="O167">
        <v>2</v>
      </c>
      <c r="P167">
        <v>2.198</v>
      </c>
      <c r="Q167">
        <f>6.164+4.531</f>
        <v>10.695</v>
      </c>
    </row>
    <row r="168" spans="1:17" ht="16" x14ac:dyDescent="0.2">
      <c r="A168" t="s">
        <v>240</v>
      </c>
      <c r="B168" t="s">
        <v>241</v>
      </c>
      <c r="C168" s="10">
        <v>-30.002158999999999</v>
      </c>
      <c r="D168" s="9">
        <v>153.14892399999999</v>
      </c>
      <c r="E168" s="9">
        <v>0</v>
      </c>
      <c r="F168" s="1">
        <v>42864</v>
      </c>
      <c r="H168" t="s">
        <v>32</v>
      </c>
      <c r="I168" t="s">
        <v>234</v>
      </c>
      <c r="K168">
        <v>166</v>
      </c>
      <c r="L168" t="s">
        <v>25</v>
      </c>
      <c r="M168">
        <v>6.8900000000000003E-2</v>
      </c>
      <c r="O168">
        <v>2</v>
      </c>
      <c r="P168">
        <v>2.2559999999999998</v>
      </c>
      <c r="Q168">
        <f>6.078+4.157</f>
        <v>10.234999999999999</v>
      </c>
    </row>
    <row r="169" spans="1:17" ht="16" x14ac:dyDescent="0.2">
      <c r="A169" t="s">
        <v>242</v>
      </c>
      <c r="B169" t="s">
        <v>207</v>
      </c>
      <c r="C169" s="10">
        <v>-30.009444999999999</v>
      </c>
      <c r="D169" s="9">
        <v>153.10040100000001</v>
      </c>
      <c r="E169" s="9">
        <v>0</v>
      </c>
      <c r="F169" s="1">
        <v>42863</v>
      </c>
      <c r="H169" t="s">
        <v>14</v>
      </c>
      <c r="I169" t="s">
        <v>184</v>
      </c>
      <c r="K169">
        <v>167</v>
      </c>
      <c r="L169" t="s">
        <v>15</v>
      </c>
      <c r="M169">
        <v>0.11260000000000001</v>
      </c>
      <c r="O169">
        <v>2</v>
      </c>
      <c r="P169">
        <v>5.9880000000000004</v>
      </c>
      <c r="Q169">
        <f>10.44+9.235</f>
        <v>19.674999999999997</v>
      </c>
    </row>
    <row r="170" spans="1:17" ht="16" x14ac:dyDescent="0.2">
      <c r="A170" t="s">
        <v>243</v>
      </c>
      <c r="B170" t="s">
        <v>17</v>
      </c>
      <c r="C170" s="10">
        <v>-29.943010999999998</v>
      </c>
      <c r="D170" s="9">
        <v>153.12657400000001</v>
      </c>
      <c r="E170" s="9">
        <v>0</v>
      </c>
      <c r="F170" s="1">
        <v>42860</v>
      </c>
      <c r="H170" t="s">
        <v>14</v>
      </c>
      <c r="I170" t="s">
        <v>184</v>
      </c>
      <c r="K170">
        <v>168</v>
      </c>
      <c r="L170" t="s">
        <v>15</v>
      </c>
      <c r="M170">
        <v>0.12470000000000001</v>
      </c>
      <c r="O170">
        <v>2</v>
      </c>
      <c r="P170">
        <v>5.4260000000000002</v>
      </c>
      <c r="Q170">
        <f>8.713+11.376</f>
        <v>20.088999999999999</v>
      </c>
    </row>
    <row r="171" spans="1:17" ht="16" x14ac:dyDescent="0.2">
      <c r="A171" t="s">
        <v>244</v>
      </c>
      <c r="B171" t="s">
        <v>17</v>
      </c>
      <c r="C171" s="10">
        <v>-29.943010999999998</v>
      </c>
      <c r="D171" s="9">
        <v>153.12657400000001</v>
      </c>
      <c r="E171" s="9">
        <v>0</v>
      </c>
      <c r="F171" s="1">
        <v>42859</v>
      </c>
      <c r="H171" t="s">
        <v>14</v>
      </c>
      <c r="I171" t="s">
        <v>184</v>
      </c>
      <c r="K171">
        <v>169</v>
      </c>
      <c r="L171" t="s">
        <v>15</v>
      </c>
      <c r="M171">
        <v>0.1323</v>
      </c>
      <c r="O171">
        <v>2</v>
      </c>
      <c r="P171">
        <v>6.2629999999999999</v>
      </c>
      <c r="Q171">
        <f>12.352+10.098</f>
        <v>22.450000000000003</v>
      </c>
    </row>
    <row r="172" spans="1:17" ht="16" x14ac:dyDescent="0.2">
      <c r="A172" t="s">
        <v>245</v>
      </c>
      <c r="B172" t="s">
        <v>31</v>
      </c>
      <c r="C172" s="10">
        <v>-30.002158999999999</v>
      </c>
      <c r="D172" s="9">
        <v>153.14892399999999</v>
      </c>
      <c r="E172" s="9">
        <v>0</v>
      </c>
      <c r="F172" s="1">
        <v>42864</v>
      </c>
      <c r="H172" t="s">
        <v>18</v>
      </c>
      <c r="I172" t="s">
        <v>234</v>
      </c>
      <c r="K172">
        <v>170</v>
      </c>
      <c r="L172" t="s">
        <v>15</v>
      </c>
      <c r="M172">
        <v>6.9599999999999995E-2</v>
      </c>
      <c r="O172">
        <v>2</v>
      </c>
      <c r="P172">
        <v>2.5329999999999999</v>
      </c>
      <c r="Q172">
        <f>4.091+2.629</f>
        <v>6.7200000000000006</v>
      </c>
    </row>
    <row r="173" spans="1:17" ht="16" x14ac:dyDescent="0.2">
      <c r="A173" t="s">
        <v>246</v>
      </c>
      <c r="B173" t="s">
        <v>17</v>
      </c>
      <c r="C173" s="10">
        <v>-29.943010999999998</v>
      </c>
      <c r="D173" s="9">
        <v>153.12657400000001</v>
      </c>
      <c r="E173" s="9">
        <v>0</v>
      </c>
      <c r="F173" s="1">
        <v>42863</v>
      </c>
      <c r="H173" t="s">
        <v>14</v>
      </c>
      <c r="I173" t="s">
        <v>184</v>
      </c>
      <c r="K173">
        <v>171</v>
      </c>
      <c r="L173" t="s">
        <v>15</v>
      </c>
      <c r="M173">
        <v>9.1300000000000006E-2</v>
      </c>
      <c r="O173">
        <v>2</v>
      </c>
      <c r="P173">
        <v>4.9020000000000001</v>
      </c>
      <c r="Q173">
        <f>6.763+7.716</f>
        <v>14.478999999999999</v>
      </c>
    </row>
    <row r="174" spans="1:17" ht="16" x14ac:dyDescent="0.2">
      <c r="A174" t="s">
        <v>247</v>
      </c>
      <c r="B174" t="s">
        <v>17</v>
      </c>
      <c r="C174" s="10">
        <v>-29.943010999999998</v>
      </c>
      <c r="D174" s="9">
        <v>153.12657400000001</v>
      </c>
      <c r="E174" s="9">
        <v>0</v>
      </c>
      <c r="F174" s="1">
        <v>42859</v>
      </c>
      <c r="H174" t="s">
        <v>18</v>
      </c>
      <c r="I174" t="s">
        <v>184</v>
      </c>
      <c r="K174">
        <v>172</v>
      </c>
      <c r="L174" t="s">
        <v>15</v>
      </c>
      <c r="M174">
        <v>0.1192</v>
      </c>
      <c r="O174">
        <v>2</v>
      </c>
      <c r="P174">
        <v>6.2069999999999999</v>
      </c>
      <c r="Q174">
        <f>11.47+9.067</f>
        <v>20.536999999999999</v>
      </c>
    </row>
    <row r="175" spans="1:17" ht="16" x14ac:dyDescent="0.2">
      <c r="A175" t="s">
        <v>248</v>
      </c>
      <c r="B175" t="s">
        <v>76</v>
      </c>
      <c r="C175" s="10">
        <v>-30.004933000000001</v>
      </c>
      <c r="D175" s="9">
        <v>153.09672599999999</v>
      </c>
      <c r="E175" s="9">
        <v>0</v>
      </c>
      <c r="F175" s="1">
        <v>42863</v>
      </c>
      <c r="H175" t="s">
        <v>18</v>
      </c>
      <c r="I175" t="s">
        <v>221</v>
      </c>
      <c r="K175">
        <v>173</v>
      </c>
      <c r="L175" t="s">
        <v>15</v>
      </c>
      <c r="M175">
        <v>0.1077</v>
      </c>
      <c r="O175">
        <v>2</v>
      </c>
      <c r="P175">
        <v>5.4459999999999997</v>
      </c>
      <c r="Q175">
        <f>8.692+10.479</f>
        <v>19.170999999999999</v>
      </c>
    </row>
    <row r="176" spans="1:17" ht="16" x14ac:dyDescent="0.2">
      <c r="A176" t="s">
        <v>249</v>
      </c>
      <c r="B176" t="s">
        <v>31</v>
      </c>
      <c r="C176" s="10">
        <v>-30.002158999999999</v>
      </c>
      <c r="D176" s="9">
        <v>153.14892399999999</v>
      </c>
      <c r="E176" s="9">
        <v>0</v>
      </c>
      <c r="F176" s="1">
        <v>42864</v>
      </c>
      <c r="H176" t="s">
        <v>18</v>
      </c>
      <c r="I176" t="s">
        <v>234</v>
      </c>
      <c r="K176">
        <v>174</v>
      </c>
      <c r="L176" t="s">
        <v>15</v>
      </c>
      <c r="M176">
        <v>6.9500000000000006E-2</v>
      </c>
      <c r="O176">
        <v>2</v>
      </c>
      <c r="P176">
        <v>2.3959999999999999</v>
      </c>
      <c r="Q176">
        <f>2.448+4.745</f>
        <v>7.1929999999999996</v>
      </c>
    </row>
    <row r="177" spans="1:17" ht="16" x14ac:dyDescent="0.2">
      <c r="A177" t="s">
        <v>250</v>
      </c>
      <c r="B177" t="s">
        <v>17</v>
      </c>
      <c r="C177" s="10">
        <v>-29.943010999999998</v>
      </c>
      <c r="D177" s="9">
        <v>153.12657400000001</v>
      </c>
      <c r="E177" s="9">
        <v>0</v>
      </c>
      <c r="F177" s="1">
        <v>42863</v>
      </c>
      <c r="H177" t="s">
        <v>14</v>
      </c>
      <c r="I177" t="s">
        <v>184</v>
      </c>
      <c r="K177">
        <v>175</v>
      </c>
      <c r="L177" t="s">
        <v>15</v>
      </c>
      <c r="M177">
        <v>9.6000000000000002E-2</v>
      </c>
      <c r="O177">
        <v>2</v>
      </c>
      <c r="P177">
        <v>5.2779999999999996</v>
      </c>
      <c r="Q177">
        <f>8.076+7.93</f>
        <v>16.006</v>
      </c>
    </row>
    <row r="178" spans="1:17" ht="16" x14ac:dyDescent="0.2">
      <c r="A178" t="s">
        <v>251</v>
      </c>
      <c r="B178" t="s">
        <v>17</v>
      </c>
      <c r="C178" s="10">
        <v>-29.943010999999998</v>
      </c>
      <c r="D178" s="9">
        <v>153.12657400000001</v>
      </c>
      <c r="E178" s="9">
        <v>0</v>
      </c>
      <c r="F178" s="1">
        <v>42863</v>
      </c>
      <c r="H178" t="s">
        <v>18</v>
      </c>
      <c r="I178" t="s">
        <v>184</v>
      </c>
      <c r="K178">
        <v>176</v>
      </c>
      <c r="L178" t="s">
        <v>15</v>
      </c>
      <c r="M178">
        <v>0.1046</v>
      </c>
      <c r="O178">
        <v>2</v>
      </c>
      <c r="P178">
        <f>5.823</f>
        <v>5.8230000000000004</v>
      </c>
      <c r="Q178">
        <f>11.779+8.611</f>
        <v>20.39</v>
      </c>
    </row>
    <row r="179" spans="1:17" ht="16" x14ac:dyDescent="0.2">
      <c r="A179" t="s">
        <v>252</v>
      </c>
      <c r="B179" t="s">
        <v>31</v>
      </c>
      <c r="C179" s="10">
        <v>-30.002158999999999</v>
      </c>
      <c r="D179" s="9">
        <v>153.14892399999999</v>
      </c>
      <c r="E179" s="9">
        <v>0</v>
      </c>
      <c r="F179" s="1">
        <v>42864</v>
      </c>
      <c r="H179" t="s">
        <v>14</v>
      </c>
      <c r="I179" t="s">
        <v>210</v>
      </c>
      <c r="K179">
        <v>177</v>
      </c>
      <c r="L179" t="s">
        <v>15</v>
      </c>
      <c r="M179">
        <v>6.9800000000000001E-2</v>
      </c>
      <c r="O179">
        <v>2</v>
      </c>
      <c r="P179">
        <v>1.776</v>
      </c>
      <c r="Q179">
        <f>3.285+2.671</f>
        <v>5.9559999999999995</v>
      </c>
    </row>
    <row r="180" spans="1:17" ht="16" x14ac:dyDescent="0.2">
      <c r="A180" t="s">
        <v>253</v>
      </c>
      <c r="B180" t="s">
        <v>31</v>
      </c>
      <c r="C180" s="10">
        <v>-30.002158999999999</v>
      </c>
      <c r="D180" s="9">
        <v>153.14892399999999</v>
      </c>
      <c r="E180" s="9">
        <v>0</v>
      </c>
      <c r="F180" s="1">
        <v>42864</v>
      </c>
      <c r="H180" t="s">
        <v>32</v>
      </c>
      <c r="I180" t="s">
        <v>234</v>
      </c>
      <c r="K180">
        <v>178</v>
      </c>
      <c r="L180" t="s">
        <v>25</v>
      </c>
      <c r="M180">
        <v>6.9000000000000006E-2</v>
      </c>
      <c r="O180">
        <v>2</v>
      </c>
      <c r="P180">
        <v>1.6240000000000001</v>
      </c>
      <c r="Q180">
        <f>2.854+3.42+4.099</f>
        <v>10.373000000000001</v>
      </c>
    </row>
    <row r="181" spans="1:17" ht="16" x14ac:dyDescent="0.2">
      <c r="A181">
        <v>94.1</v>
      </c>
      <c r="B181" t="s">
        <v>254</v>
      </c>
      <c r="C181" s="10">
        <v>-29.988817000000001</v>
      </c>
      <c r="D181" s="9">
        <v>153.13584900000001</v>
      </c>
      <c r="E181" s="9">
        <v>0</v>
      </c>
      <c r="F181" s="1">
        <v>42875</v>
      </c>
      <c r="H181" t="s">
        <v>25</v>
      </c>
      <c r="I181" t="s">
        <v>184</v>
      </c>
      <c r="K181" s="2">
        <v>94.1</v>
      </c>
      <c r="L181" s="2" t="s">
        <v>25</v>
      </c>
      <c r="M181" s="2">
        <v>7.4800000000000005E-2</v>
      </c>
      <c r="O181" s="2">
        <v>2</v>
      </c>
      <c r="P181">
        <v>4.0270000000000001</v>
      </c>
      <c r="Q181">
        <f>5.082+9.259</f>
        <v>14.341000000000001</v>
      </c>
    </row>
    <row r="182" spans="1:17" ht="16" x14ac:dyDescent="0.2">
      <c r="A182">
        <v>95.1</v>
      </c>
      <c r="B182" t="s">
        <v>254</v>
      </c>
      <c r="C182" s="10">
        <v>-29.988817000000001</v>
      </c>
      <c r="D182" s="9">
        <v>153.13584900000001</v>
      </c>
      <c r="E182" s="9">
        <v>0</v>
      </c>
      <c r="F182" s="1">
        <v>42875</v>
      </c>
      <c r="H182" t="s">
        <v>25</v>
      </c>
      <c r="I182" t="s">
        <v>184</v>
      </c>
      <c r="K182" s="2">
        <v>95.1</v>
      </c>
      <c r="L182" s="2" t="s">
        <v>25</v>
      </c>
      <c r="M182" s="2">
        <v>7.3599999999999999E-2</v>
      </c>
      <c r="O182" s="2">
        <v>2</v>
      </c>
      <c r="P182">
        <v>4.1619999999999999</v>
      </c>
      <c r="Q182">
        <f>9.847+5.694</f>
        <v>15.541</v>
      </c>
    </row>
    <row r="183" spans="1:17" s="2" customFormat="1" ht="16" x14ac:dyDescent="0.2">
      <c r="A183" s="2">
        <v>96.1</v>
      </c>
      <c r="B183" s="2" t="s">
        <v>254</v>
      </c>
      <c r="C183" s="10">
        <v>-29.988817000000001</v>
      </c>
      <c r="D183" s="9">
        <v>153.13584900000001</v>
      </c>
      <c r="E183" s="9">
        <v>0</v>
      </c>
      <c r="F183" s="3">
        <v>42875</v>
      </c>
      <c r="H183" s="2" t="s">
        <v>25</v>
      </c>
      <c r="I183" s="2" t="s">
        <v>184</v>
      </c>
      <c r="K183" s="2">
        <v>96.1</v>
      </c>
      <c r="L183" s="2" t="s">
        <v>25</v>
      </c>
      <c r="M183" s="2">
        <v>4.7399999999999998E-2</v>
      </c>
      <c r="N183" s="13"/>
      <c r="O183" s="2">
        <v>3</v>
      </c>
      <c r="P183">
        <v>3.6739999999999999</v>
      </c>
      <c r="Q183">
        <f>3.398+4.579+7.152</f>
        <v>15.129000000000001</v>
      </c>
    </row>
    <row r="184" spans="1:17" ht="16" x14ac:dyDescent="0.2">
      <c r="A184">
        <v>97.1</v>
      </c>
      <c r="B184" t="s">
        <v>254</v>
      </c>
      <c r="C184" s="10">
        <v>-29.988817000000001</v>
      </c>
      <c r="D184" s="9">
        <v>153.13584900000001</v>
      </c>
      <c r="E184" s="9">
        <v>0</v>
      </c>
      <c r="F184" s="1">
        <v>42875</v>
      </c>
      <c r="H184" t="s">
        <v>25</v>
      </c>
      <c r="I184" t="s">
        <v>184</v>
      </c>
      <c r="K184" s="2">
        <v>97.1</v>
      </c>
      <c r="L184" s="2" t="s">
        <v>25</v>
      </c>
      <c r="M184" s="2">
        <v>7.2700000000000001E-2</v>
      </c>
      <c r="O184" s="2">
        <v>2</v>
      </c>
      <c r="P184">
        <v>3.984</v>
      </c>
      <c r="Q184">
        <f>11.572+3.194</f>
        <v>14.765999999999998</v>
      </c>
    </row>
    <row r="185" spans="1:17" ht="16" x14ac:dyDescent="0.2">
      <c r="A185">
        <v>98.1</v>
      </c>
      <c r="B185" t="s">
        <v>254</v>
      </c>
      <c r="C185" s="10">
        <v>-29.988817000000001</v>
      </c>
      <c r="D185" s="9">
        <v>153.13584900000001</v>
      </c>
      <c r="E185" s="9">
        <v>0</v>
      </c>
      <c r="F185" s="1">
        <v>42875</v>
      </c>
      <c r="H185" t="s">
        <v>25</v>
      </c>
      <c r="I185" t="s">
        <v>184</v>
      </c>
      <c r="K185" s="2">
        <v>98.1</v>
      </c>
      <c r="L185" s="2" t="s">
        <v>25</v>
      </c>
      <c r="M185" s="2">
        <v>4.4999999999999998E-2</v>
      </c>
      <c r="O185" s="2">
        <v>3</v>
      </c>
      <c r="P185">
        <v>3.7029999999999998</v>
      </c>
      <c r="Q185">
        <f>8.901+5.506</f>
        <v>14.407</v>
      </c>
    </row>
    <row r="186" spans="1:17" ht="16" x14ac:dyDescent="0.2">
      <c r="A186">
        <v>99.1</v>
      </c>
      <c r="B186" t="s">
        <v>254</v>
      </c>
      <c r="C186" s="10">
        <v>-29.988817000000001</v>
      </c>
      <c r="D186" s="9">
        <v>153.13584900000001</v>
      </c>
      <c r="E186" s="9">
        <v>0</v>
      </c>
      <c r="F186" s="1">
        <v>42875</v>
      </c>
      <c r="H186" t="s">
        <v>25</v>
      </c>
      <c r="I186" t="s">
        <v>184</v>
      </c>
      <c r="K186" s="2">
        <v>99.1</v>
      </c>
      <c r="L186" s="2" t="s">
        <v>25</v>
      </c>
      <c r="M186" s="2">
        <v>4.4400000000000002E-2</v>
      </c>
      <c r="O186" s="2">
        <v>3</v>
      </c>
      <c r="P186">
        <v>3.339</v>
      </c>
      <c r="Q186">
        <f>8.908+5.224</f>
        <v>14.132</v>
      </c>
    </row>
    <row r="187" spans="1:17" ht="16" x14ac:dyDescent="0.2">
      <c r="A187">
        <v>100.1</v>
      </c>
      <c r="B187" t="s">
        <v>254</v>
      </c>
      <c r="C187" s="10">
        <v>-29.988817000000001</v>
      </c>
      <c r="D187" s="9">
        <v>153.13584900000001</v>
      </c>
      <c r="E187" s="9">
        <v>0</v>
      </c>
      <c r="F187" s="1">
        <v>42875</v>
      </c>
      <c r="H187" t="s">
        <v>15</v>
      </c>
      <c r="I187" t="s">
        <v>184</v>
      </c>
      <c r="K187" s="2">
        <v>100.1</v>
      </c>
      <c r="L187" s="2" t="s">
        <v>15</v>
      </c>
      <c r="M187" s="2">
        <v>4.6300000000000001E-2</v>
      </c>
      <c r="O187" s="2">
        <v>3</v>
      </c>
      <c r="P187">
        <v>3.7040000000000002</v>
      </c>
      <c r="Q187">
        <f>10.901+2.926</f>
        <v>13.827</v>
      </c>
    </row>
    <row r="188" spans="1:17" ht="16" x14ac:dyDescent="0.2">
      <c r="A188">
        <v>101.1</v>
      </c>
      <c r="B188" t="s">
        <v>254</v>
      </c>
      <c r="C188" s="10">
        <v>-29.988817000000001</v>
      </c>
      <c r="D188" s="9">
        <v>153.13584900000001</v>
      </c>
      <c r="E188" s="9">
        <v>0</v>
      </c>
      <c r="F188" s="1">
        <v>42875</v>
      </c>
      <c r="H188" t="s">
        <v>25</v>
      </c>
      <c r="I188" t="s">
        <v>184</v>
      </c>
      <c r="K188" s="2">
        <v>101.1</v>
      </c>
      <c r="L188" s="2" t="s">
        <v>25</v>
      </c>
      <c r="M188" s="2">
        <v>4.2000000000000003E-2</v>
      </c>
      <c r="O188" s="2">
        <v>3</v>
      </c>
      <c r="P188">
        <v>2.5049999999999999</v>
      </c>
      <c r="Q188">
        <v>12.087999999999999</v>
      </c>
    </row>
    <row r="189" spans="1:17" ht="16" x14ac:dyDescent="0.2">
      <c r="A189">
        <v>102.1</v>
      </c>
      <c r="B189" t="s">
        <v>254</v>
      </c>
      <c r="C189" s="10">
        <v>-29.988817000000001</v>
      </c>
      <c r="D189" s="9">
        <v>153.13584900000001</v>
      </c>
      <c r="E189" s="9">
        <v>0</v>
      </c>
      <c r="F189" s="1">
        <v>42875</v>
      </c>
      <c r="H189" t="s">
        <v>25</v>
      </c>
      <c r="I189" t="s">
        <v>184</v>
      </c>
      <c r="K189" s="2">
        <v>102.1</v>
      </c>
      <c r="L189" s="2" t="s">
        <v>25</v>
      </c>
      <c r="M189" s="2">
        <v>4.5199999999999997E-2</v>
      </c>
      <c r="O189" s="2">
        <v>3</v>
      </c>
      <c r="P189">
        <v>3.5089999999999999</v>
      </c>
      <c r="Q189">
        <f>8.258+4.811</f>
        <v>13.068999999999999</v>
      </c>
    </row>
    <row r="190" spans="1:17" ht="16" x14ac:dyDescent="0.2">
      <c r="A190">
        <v>103.1</v>
      </c>
      <c r="B190" t="s">
        <v>254</v>
      </c>
      <c r="C190" s="10">
        <v>-29.988817000000001</v>
      </c>
      <c r="D190" s="9">
        <v>153.13584900000001</v>
      </c>
      <c r="E190" s="9">
        <v>0</v>
      </c>
      <c r="F190" s="1">
        <v>42875</v>
      </c>
      <c r="H190" t="s">
        <v>25</v>
      </c>
      <c r="I190" t="s">
        <v>184</v>
      </c>
      <c r="K190" s="2">
        <v>103.1</v>
      </c>
      <c r="L190" s="2" t="s">
        <v>25</v>
      </c>
      <c r="M190" s="2">
        <v>4.7500000000000001E-2</v>
      </c>
      <c r="O190" s="2">
        <v>3</v>
      </c>
      <c r="P190">
        <v>3.7480000000000002</v>
      </c>
      <c r="Q190">
        <f>4.417+9.742</f>
        <v>14.159000000000001</v>
      </c>
    </row>
    <row r="191" spans="1:17" ht="16" x14ac:dyDescent="0.2">
      <c r="A191" t="s">
        <v>255</v>
      </c>
      <c r="B191" t="s">
        <v>17</v>
      </c>
      <c r="C191" s="10">
        <v>-29.943010999999998</v>
      </c>
      <c r="D191" s="9">
        <v>153.12657400000001</v>
      </c>
      <c r="E191" s="9">
        <v>0</v>
      </c>
      <c r="F191" s="1">
        <v>42833</v>
      </c>
      <c r="H191" t="s">
        <v>14</v>
      </c>
      <c r="I191" t="s">
        <v>256</v>
      </c>
      <c r="K191">
        <v>179</v>
      </c>
      <c r="M191">
        <v>0.16350000000000001</v>
      </c>
      <c r="O191">
        <v>2</v>
      </c>
      <c r="P191">
        <v>7.1750999999999996</v>
      </c>
      <c r="Q191">
        <f>15.0868+11.0728</f>
        <v>26.159600000000001</v>
      </c>
    </row>
    <row r="192" spans="1:17" ht="16" x14ac:dyDescent="0.2">
      <c r="A192" t="s">
        <v>257</v>
      </c>
      <c r="B192" t="s">
        <v>17</v>
      </c>
      <c r="C192" s="10">
        <v>-29.943010999999998</v>
      </c>
      <c r="D192" s="9">
        <v>153.12657400000001</v>
      </c>
      <c r="E192" s="9">
        <v>0</v>
      </c>
      <c r="F192" s="1">
        <v>42833</v>
      </c>
      <c r="H192" t="s">
        <v>14</v>
      </c>
      <c r="I192" t="s">
        <v>256</v>
      </c>
      <c r="K192">
        <v>180</v>
      </c>
      <c r="M192">
        <v>0.3805</v>
      </c>
      <c r="O192">
        <v>2</v>
      </c>
      <c r="P192">
        <v>11.8094</v>
      </c>
      <c r="Q192">
        <f>19.6483+15.8313</f>
        <v>35.479599999999998</v>
      </c>
    </row>
    <row r="193" spans="1:17" ht="16" x14ac:dyDescent="0.2">
      <c r="A193" t="s">
        <v>258</v>
      </c>
      <c r="B193" t="s">
        <v>17</v>
      </c>
      <c r="C193" s="10">
        <v>-29.943010999999998</v>
      </c>
      <c r="D193" s="9">
        <v>153.12657400000001</v>
      </c>
      <c r="E193" s="9">
        <v>0</v>
      </c>
      <c r="F193" s="1">
        <v>42833</v>
      </c>
      <c r="H193" t="s">
        <v>14</v>
      </c>
      <c r="I193" t="s">
        <v>256</v>
      </c>
      <c r="K193">
        <v>181</v>
      </c>
      <c r="M193">
        <v>0.34799999999999998</v>
      </c>
      <c r="O193">
        <v>2</v>
      </c>
      <c r="P193">
        <v>11.603999999999999</v>
      </c>
      <c r="Q193">
        <f>18.883+16.231</f>
        <v>35.114000000000004</v>
      </c>
    </row>
    <row r="194" spans="1:17" ht="16" x14ac:dyDescent="0.2">
      <c r="A194" t="s">
        <v>259</v>
      </c>
      <c r="B194" t="s">
        <v>17</v>
      </c>
      <c r="C194" s="10">
        <v>-29.943010999999998</v>
      </c>
      <c r="D194" s="9">
        <v>153.12657400000001</v>
      </c>
      <c r="E194" s="9">
        <v>0</v>
      </c>
      <c r="F194" s="1">
        <v>42833</v>
      </c>
      <c r="H194" t="s">
        <v>14</v>
      </c>
      <c r="I194" t="s">
        <v>256</v>
      </c>
      <c r="K194">
        <v>182</v>
      </c>
      <c r="M194">
        <v>0.1757</v>
      </c>
      <c r="O194">
        <v>2</v>
      </c>
      <c r="P194">
        <v>8.1549999999999994</v>
      </c>
      <c r="Q194">
        <f>11.8+12.677</f>
        <v>24.477</v>
      </c>
    </row>
    <row r="195" spans="1:17" ht="16" x14ac:dyDescent="0.2">
      <c r="A195" t="s">
        <v>260</v>
      </c>
      <c r="B195" t="s">
        <v>17</v>
      </c>
      <c r="C195" s="10">
        <v>-29.943010999999998</v>
      </c>
      <c r="D195" s="9">
        <v>153.12657400000001</v>
      </c>
      <c r="E195" s="9">
        <v>0</v>
      </c>
      <c r="F195" s="1">
        <v>42833</v>
      </c>
      <c r="H195" t="s">
        <v>14</v>
      </c>
      <c r="I195" t="s">
        <v>256</v>
      </c>
      <c r="K195">
        <v>183</v>
      </c>
      <c r="M195">
        <v>0.16039999999999999</v>
      </c>
      <c r="O195">
        <v>2</v>
      </c>
      <c r="P195">
        <v>7.4779999999999998</v>
      </c>
      <c r="Q195">
        <f>11.6014+13.708</f>
        <v>25.3094</v>
      </c>
    </row>
    <row r="196" spans="1:17" ht="16" x14ac:dyDescent="0.2">
      <c r="A196" t="s">
        <v>261</v>
      </c>
      <c r="B196" t="s">
        <v>17</v>
      </c>
      <c r="C196" s="10">
        <v>-29.943010999999998</v>
      </c>
      <c r="D196" s="9">
        <v>153.12657400000001</v>
      </c>
      <c r="E196" s="9">
        <v>0</v>
      </c>
      <c r="F196" s="1">
        <v>42833</v>
      </c>
      <c r="H196" t="s">
        <v>14</v>
      </c>
      <c r="I196" t="s">
        <v>256</v>
      </c>
      <c r="K196">
        <v>184</v>
      </c>
      <c r="M196">
        <v>7.4399999999999994E-2</v>
      </c>
      <c r="O196">
        <v>2</v>
      </c>
      <c r="P196">
        <v>2.8860000000000001</v>
      </c>
      <c r="Q196">
        <f>5.354+5.269</f>
        <v>10.623000000000001</v>
      </c>
    </row>
    <row r="197" spans="1:17" ht="16" x14ac:dyDescent="0.2">
      <c r="A197" t="s">
        <v>262</v>
      </c>
      <c r="B197" t="s">
        <v>17</v>
      </c>
      <c r="C197" s="10">
        <v>-29.943010999999998</v>
      </c>
      <c r="D197" s="9">
        <v>153.12657400000001</v>
      </c>
      <c r="E197" s="9">
        <v>0</v>
      </c>
      <c r="F197" s="1">
        <v>42833</v>
      </c>
      <c r="H197" t="s">
        <v>14</v>
      </c>
      <c r="I197" t="s">
        <v>256</v>
      </c>
      <c r="K197">
        <v>185</v>
      </c>
      <c r="M197">
        <v>7.2800000000000004E-2</v>
      </c>
      <c r="O197">
        <v>2</v>
      </c>
      <c r="P197">
        <v>2.7069999999999999</v>
      </c>
      <c r="Q197">
        <f>5.165+5.329</f>
        <v>10.494</v>
      </c>
    </row>
    <row r="198" spans="1:17" ht="16" x14ac:dyDescent="0.2">
      <c r="A198" t="s">
        <v>263</v>
      </c>
      <c r="B198" t="s">
        <v>17</v>
      </c>
      <c r="C198" s="10">
        <v>-29.943010999999998</v>
      </c>
      <c r="D198" s="9">
        <v>153.12657400000001</v>
      </c>
      <c r="E198" s="9">
        <v>0</v>
      </c>
      <c r="F198" s="1">
        <v>42833</v>
      </c>
      <c r="H198" t="s">
        <v>14</v>
      </c>
      <c r="I198" t="s">
        <v>256</v>
      </c>
      <c r="K198">
        <v>186</v>
      </c>
      <c r="M198">
        <v>7.3200000000000001E-2</v>
      </c>
      <c r="O198">
        <v>2</v>
      </c>
      <c r="P198">
        <v>2.3660000000000001</v>
      </c>
      <c r="Q198">
        <f>1.985+3.332+5.1495</f>
        <v>10.4665</v>
      </c>
    </row>
    <row r="199" spans="1:17" ht="16" x14ac:dyDescent="0.2">
      <c r="A199" t="s">
        <v>264</v>
      </c>
      <c r="B199" t="s">
        <v>17</v>
      </c>
      <c r="C199" s="10">
        <v>-29.943010999999998</v>
      </c>
      <c r="D199" s="9">
        <v>153.12657400000001</v>
      </c>
      <c r="E199" s="9">
        <v>0</v>
      </c>
      <c r="F199" s="1">
        <v>42833</v>
      </c>
      <c r="H199" t="s">
        <v>32</v>
      </c>
      <c r="I199" t="s">
        <v>256</v>
      </c>
      <c r="K199">
        <v>187</v>
      </c>
      <c r="M199">
        <v>7.0400000000000004E-2</v>
      </c>
      <c r="O199">
        <v>2</v>
      </c>
      <c r="P199">
        <v>3.6829999999999998</v>
      </c>
      <c r="Q199">
        <v>13.2079</v>
      </c>
    </row>
    <row r="200" spans="1:17" ht="16" x14ac:dyDescent="0.2">
      <c r="A200" t="s">
        <v>265</v>
      </c>
      <c r="B200" t="s">
        <v>17</v>
      </c>
      <c r="C200" s="10">
        <v>-29.943010999999998</v>
      </c>
      <c r="D200" s="9">
        <v>153.12657400000001</v>
      </c>
      <c r="E200" s="9">
        <v>0</v>
      </c>
      <c r="F200" s="1">
        <v>42833</v>
      </c>
      <c r="H200" t="s">
        <v>14</v>
      </c>
      <c r="I200" t="s">
        <v>256</v>
      </c>
      <c r="K200">
        <v>188</v>
      </c>
      <c r="M200">
        <v>1.2999999999999999E-3</v>
      </c>
      <c r="O200" t="s">
        <v>40</v>
      </c>
    </row>
    <row r="201" spans="1:17" ht="16" x14ac:dyDescent="0.2">
      <c r="A201" t="s">
        <v>266</v>
      </c>
      <c r="B201" t="s">
        <v>17</v>
      </c>
      <c r="C201" s="10">
        <v>-29.943010999999998</v>
      </c>
      <c r="D201" s="9">
        <v>153.12657400000001</v>
      </c>
      <c r="E201" s="9">
        <v>0</v>
      </c>
      <c r="F201" s="1">
        <v>42833</v>
      </c>
      <c r="H201" t="s">
        <v>14</v>
      </c>
      <c r="I201" t="s">
        <v>256</v>
      </c>
      <c r="K201">
        <v>189</v>
      </c>
      <c r="M201">
        <v>1.6000000000000001E-3</v>
      </c>
      <c r="O201" t="s">
        <v>40</v>
      </c>
    </row>
    <row r="202" spans="1:17" ht="16" x14ac:dyDescent="0.2">
      <c r="A202" t="s">
        <v>267</v>
      </c>
      <c r="B202" t="s">
        <v>17</v>
      </c>
      <c r="C202" s="10">
        <v>-29.943010999999998</v>
      </c>
      <c r="D202" s="9">
        <v>153.12657400000001</v>
      </c>
      <c r="E202" s="9">
        <v>0</v>
      </c>
      <c r="F202" s="1">
        <v>42833</v>
      </c>
      <c r="H202" t="s">
        <v>14</v>
      </c>
      <c r="I202" t="s">
        <v>256</v>
      </c>
      <c r="K202">
        <v>190</v>
      </c>
      <c r="M202">
        <v>1.5E-3</v>
      </c>
      <c r="O202" t="s">
        <v>40</v>
      </c>
    </row>
    <row r="203" spans="1:17" ht="16" x14ac:dyDescent="0.2">
      <c r="A203" t="s">
        <v>268</v>
      </c>
      <c r="B203" t="s">
        <v>17</v>
      </c>
      <c r="C203" s="10">
        <v>-29.943010999999998</v>
      </c>
      <c r="D203" s="9">
        <v>153.12657400000001</v>
      </c>
      <c r="E203" s="9">
        <v>0</v>
      </c>
      <c r="F203" s="1">
        <v>42833</v>
      </c>
      <c r="H203" t="s">
        <v>14</v>
      </c>
      <c r="I203" t="s">
        <v>256</v>
      </c>
      <c r="K203">
        <v>191</v>
      </c>
      <c r="M203">
        <v>1.5E-3</v>
      </c>
      <c r="O203" t="s">
        <v>40</v>
      </c>
    </row>
    <row r="204" spans="1:17" ht="16" x14ac:dyDescent="0.2">
      <c r="A204" t="s">
        <v>269</v>
      </c>
      <c r="B204" t="s">
        <v>17</v>
      </c>
      <c r="C204" s="10">
        <v>-29.943010999999998</v>
      </c>
      <c r="D204" s="9">
        <v>153.12657400000001</v>
      </c>
      <c r="E204" s="9">
        <v>0</v>
      </c>
      <c r="F204" s="1">
        <v>42833</v>
      </c>
      <c r="H204" t="s">
        <v>14</v>
      </c>
      <c r="I204" t="s">
        <v>256</v>
      </c>
      <c r="K204">
        <v>192</v>
      </c>
      <c r="M204">
        <v>1.9E-3</v>
      </c>
      <c r="O204" t="s">
        <v>40</v>
      </c>
    </row>
    <row r="205" spans="1:17" ht="16" x14ac:dyDescent="0.2">
      <c r="A205" t="s">
        <v>270</v>
      </c>
      <c r="B205" t="s">
        <v>17</v>
      </c>
      <c r="C205" s="10">
        <v>-29.943010999999998</v>
      </c>
      <c r="D205" s="9">
        <v>153.12657400000001</v>
      </c>
      <c r="E205" s="9">
        <v>0</v>
      </c>
      <c r="F205" s="1">
        <v>42833</v>
      </c>
      <c r="H205" t="s">
        <v>14</v>
      </c>
      <c r="I205" t="s">
        <v>256</v>
      </c>
      <c r="K205">
        <v>193</v>
      </c>
      <c r="M205">
        <v>2E-3</v>
      </c>
      <c r="O205" t="s">
        <v>40</v>
      </c>
    </row>
    <row r="206" spans="1:17" ht="16" x14ac:dyDescent="0.2">
      <c r="A206" t="s">
        <v>271</v>
      </c>
      <c r="B206" t="s">
        <v>17</v>
      </c>
      <c r="C206" s="10">
        <v>-29.943010999999998</v>
      </c>
      <c r="D206" s="9">
        <v>153.12657400000001</v>
      </c>
      <c r="E206" s="9">
        <v>0</v>
      </c>
      <c r="F206" s="1">
        <v>42833</v>
      </c>
      <c r="H206" t="s">
        <v>14</v>
      </c>
      <c r="I206" t="s">
        <v>256</v>
      </c>
      <c r="K206">
        <v>194</v>
      </c>
      <c r="M206">
        <v>1.9E-3</v>
      </c>
      <c r="O206" t="s">
        <v>40</v>
      </c>
    </row>
    <row r="207" spans="1:17" ht="16" x14ac:dyDescent="0.2">
      <c r="A207" t="s">
        <v>272</v>
      </c>
      <c r="B207" t="s">
        <v>17</v>
      </c>
      <c r="C207" s="10">
        <v>-29.943010999999998</v>
      </c>
      <c r="D207" s="9">
        <v>153.12657400000001</v>
      </c>
      <c r="E207" s="9">
        <v>0</v>
      </c>
      <c r="F207" s="1">
        <v>42833</v>
      </c>
      <c r="H207" t="s">
        <v>14</v>
      </c>
      <c r="I207" t="s">
        <v>256</v>
      </c>
      <c r="K207">
        <v>195</v>
      </c>
      <c r="M207">
        <v>1.5E-3</v>
      </c>
      <c r="O207" t="s">
        <v>40</v>
      </c>
    </row>
    <row r="208" spans="1:17" ht="16" x14ac:dyDescent="0.2">
      <c r="A208" t="s">
        <v>273</v>
      </c>
      <c r="B208" t="s">
        <v>17</v>
      </c>
      <c r="C208" s="10">
        <v>-29.943010999999998</v>
      </c>
      <c r="D208" s="9">
        <v>153.12657400000001</v>
      </c>
      <c r="E208" s="9">
        <v>0</v>
      </c>
      <c r="F208" s="1">
        <v>42833</v>
      </c>
      <c r="H208" t="s">
        <v>14</v>
      </c>
      <c r="I208" t="s">
        <v>256</v>
      </c>
      <c r="K208">
        <v>196</v>
      </c>
      <c r="M208">
        <v>1.1999999999999999E-3</v>
      </c>
      <c r="O208" t="s">
        <v>40</v>
      </c>
    </row>
    <row r="209" spans="1:17" ht="16" x14ac:dyDescent="0.2">
      <c r="A209" t="s">
        <v>274</v>
      </c>
      <c r="B209" t="s">
        <v>17</v>
      </c>
      <c r="C209" s="10">
        <v>-29.943010999999998</v>
      </c>
      <c r="D209" s="9">
        <v>153.12657400000001</v>
      </c>
      <c r="E209" s="9">
        <v>0</v>
      </c>
      <c r="F209" s="1">
        <v>42833</v>
      </c>
      <c r="H209" t="s">
        <v>32</v>
      </c>
      <c r="I209" t="s">
        <v>256</v>
      </c>
      <c r="K209">
        <v>197</v>
      </c>
      <c r="M209">
        <v>7.0900000000000005E-2</v>
      </c>
      <c r="O209">
        <v>2</v>
      </c>
      <c r="P209">
        <v>3.242</v>
      </c>
      <c r="Q209">
        <v>12.906000000000001</v>
      </c>
    </row>
    <row r="210" spans="1:17" ht="16" x14ac:dyDescent="0.2">
      <c r="A210" t="s">
        <v>275</v>
      </c>
      <c r="B210" t="s">
        <v>17</v>
      </c>
      <c r="C210" s="10">
        <v>-29.943010999999998</v>
      </c>
      <c r="D210" s="9">
        <v>153.12657400000001</v>
      </c>
      <c r="E210" s="9">
        <v>0</v>
      </c>
      <c r="F210" s="1">
        <v>42833</v>
      </c>
      <c r="H210" t="s">
        <v>32</v>
      </c>
      <c r="I210" t="s">
        <v>256</v>
      </c>
      <c r="K210">
        <v>198</v>
      </c>
      <c r="M210">
        <v>7.2499999999999995E-2</v>
      </c>
      <c r="O210">
        <v>2</v>
      </c>
      <c r="P210">
        <v>2.7069999999999999</v>
      </c>
      <c r="Q210">
        <f>11.916+1.705+2.106</f>
        <v>15.727</v>
      </c>
    </row>
    <row r="211" spans="1:17" ht="16" x14ac:dyDescent="0.2">
      <c r="A211" t="s">
        <v>276</v>
      </c>
      <c r="B211" t="s">
        <v>277</v>
      </c>
      <c r="C211" s="10">
        <v>-30.486018000000001</v>
      </c>
      <c r="D211" s="9">
        <v>151.641143</v>
      </c>
      <c r="E211" s="9">
        <v>0</v>
      </c>
      <c r="F211" s="1">
        <v>42841</v>
      </c>
      <c r="G211" t="s">
        <v>278</v>
      </c>
      <c r="H211" t="s">
        <v>32</v>
      </c>
      <c r="I211" t="s">
        <v>256</v>
      </c>
      <c r="K211">
        <v>199</v>
      </c>
      <c r="M211">
        <v>7.5800000000000006E-2</v>
      </c>
      <c r="O211">
        <v>2</v>
      </c>
      <c r="P211">
        <v>4.03</v>
      </c>
      <c r="Q211">
        <v>15.336</v>
      </c>
    </row>
    <row r="212" spans="1:17" ht="16" x14ac:dyDescent="0.2">
      <c r="A212" t="s">
        <v>279</v>
      </c>
      <c r="B212" t="s">
        <v>277</v>
      </c>
      <c r="C212" s="10">
        <v>-30.486018000000001</v>
      </c>
      <c r="D212" s="9">
        <v>151.641143</v>
      </c>
      <c r="E212" s="9">
        <v>0</v>
      </c>
      <c r="F212" s="1">
        <v>42841</v>
      </c>
      <c r="G212" t="s">
        <v>278</v>
      </c>
      <c r="H212" t="s">
        <v>32</v>
      </c>
      <c r="I212" t="s">
        <v>256</v>
      </c>
      <c r="K212">
        <v>200</v>
      </c>
      <c r="M212">
        <v>7.5399999999999995E-2</v>
      </c>
      <c r="O212">
        <v>2</v>
      </c>
      <c r="P212">
        <v>4.306</v>
      </c>
      <c r="Q212">
        <v>15.257</v>
      </c>
    </row>
    <row r="213" spans="1:17" ht="16" x14ac:dyDescent="0.2">
      <c r="A213" t="s">
        <v>280</v>
      </c>
      <c r="B213" t="s">
        <v>277</v>
      </c>
      <c r="C213" s="10">
        <v>-30.486018000000001</v>
      </c>
      <c r="D213" s="9">
        <v>151.641143</v>
      </c>
      <c r="E213" s="9">
        <v>0</v>
      </c>
      <c r="F213" s="1">
        <v>42841</v>
      </c>
      <c r="G213" t="s">
        <v>278</v>
      </c>
      <c r="H213" t="s">
        <v>32</v>
      </c>
      <c r="I213" t="s">
        <v>256</v>
      </c>
      <c r="K213">
        <v>201</v>
      </c>
      <c r="M213">
        <v>7.6399999999999996E-2</v>
      </c>
      <c r="O213">
        <v>2</v>
      </c>
      <c r="P213">
        <v>3.9009999999999998</v>
      </c>
      <c r="Q213">
        <f>6.706+3.04+4.428</f>
        <v>14.173999999999999</v>
      </c>
    </row>
    <row r="214" spans="1:17" ht="16" x14ac:dyDescent="0.2">
      <c r="A214" t="s">
        <v>281</v>
      </c>
      <c r="B214" t="s">
        <v>277</v>
      </c>
      <c r="C214" s="10">
        <v>-30.486018000000001</v>
      </c>
      <c r="D214" s="9">
        <v>151.641143</v>
      </c>
      <c r="E214" s="9">
        <v>0</v>
      </c>
      <c r="F214" s="1">
        <v>42841</v>
      </c>
      <c r="G214" t="s">
        <v>278</v>
      </c>
      <c r="H214" t="s">
        <v>32</v>
      </c>
      <c r="I214" t="s">
        <v>256</v>
      </c>
      <c r="K214">
        <v>202</v>
      </c>
      <c r="M214">
        <v>7.7399999999999997E-2</v>
      </c>
      <c r="O214">
        <v>2</v>
      </c>
      <c r="P214">
        <v>4.0419999999999998</v>
      </c>
      <c r="Q214">
        <v>14.38</v>
      </c>
    </row>
    <row r="215" spans="1:17" ht="16" x14ac:dyDescent="0.2">
      <c r="A215" t="s">
        <v>282</v>
      </c>
      <c r="B215" t="s">
        <v>277</v>
      </c>
      <c r="C215" s="10">
        <v>-30.486018000000001</v>
      </c>
      <c r="D215" s="9">
        <v>151.641143</v>
      </c>
      <c r="E215" s="9">
        <v>0</v>
      </c>
      <c r="F215" s="1">
        <v>42841</v>
      </c>
      <c r="G215" t="s">
        <v>278</v>
      </c>
      <c r="H215" t="s">
        <v>32</v>
      </c>
      <c r="I215" t="s">
        <v>256</v>
      </c>
      <c r="K215">
        <v>203</v>
      </c>
      <c r="M215">
        <v>7.2599999999999998E-2</v>
      </c>
      <c r="O215">
        <v>2</v>
      </c>
      <c r="P215">
        <v>3.6930000000000001</v>
      </c>
      <c r="Q215">
        <v>12.939</v>
      </c>
    </row>
    <row r="216" spans="1:17" ht="16" x14ac:dyDescent="0.2">
      <c r="A216" t="s">
        <v>283</v>
      </c>
      <c r="B216" t="s">
        <v>277</v>
      </c>
      <c r="C216" s="10">
        <v>-30.486018000000001</v>
      </c>
      <c r="D216" s="9">
        <v>151.641143</v>
      </c>
      <c r="E216" s="9">
        <v>0</v>
      </c>
      <c r="F216" s="1">
        <v>42841</v>
      </c>
      <c r="G216" t="s">
        <v>278</v>
      </c>
      <c r="H216" s="6" t="s">
        <v>14</v>
      </c>
      <c r="I216" t="s">
        <v>256</v>
      </c>
      <c r="K216">
        <v>204</v>
      </c>
      <c r="M216">
        <v>7.9699999999999993E-2</v>
      </c>
      <c r="O216">
        <v>2</v>
      </c>
      <c r="P216">
        <v>3.2839999999999998</v>
      </c>
      <c r="Q216">
        <f>6.244+6.505</f>
        <v>12.748999999999999</v>
      </c>
    </row>
    <row r="217" spans="1:17" ht="16" x14ac:dyDescent="0.2">
      <c r="A217" t="s">
        <v>284</v>
      </c>
      <c r="B217" t="s">
        <v>277</v>
      </c>
      <c r="C217" s="10">
        <v>-30.489515999999998</v>
      </c>
      <c r="D217" s="9">
        <v>151.6422</v>
      </c>
      <c r="E217" s="9">
        <v>0</v>
      </c>
      <c r="F217" s="1">
        <v>42841</v>
      </c>
      <c r="G217" t="s">
        <v>285</v>
      </c>
      <c r="H217" s="6" t="s">
        <v>14</v>
      </c>
      <c r="I217" t="s">
        <v>256</v>
      </c>
      <c r="K217">
        <v>205</v>
      </c>
      <c r="M217">
        <v>7.2499999999999995E-2</v>
      </c>
      <c r="O217">
        <v>2</v>
      </c>
      <c r="P217">
        <v>2.7513999999999998</v>
      </c>
      <c r="Q217">
        <f>5.9867+5.4839</f>
        <v>11.470600000000001</v>
      </c>
    </row>
    <row r="218" spans="1:17" ht="16" x14ac:dyDescent="0.2">
      <c r="A218" t="s">
        <v>286</v>
      </c>
      <c r="B218" t="s">
        <v>277</v>
      </c>
      <c r="C218" s="10">
        <v>-30.489515999999998</v>
      </c>
      <c r="D218" s="9">
        <v>151.6422</v>
      </c>
      <c r="E218" s="9">
        <v>0</v>
      </c>
      <c r="F218" s="1">
        <v>42841</v>
      </c>
      <c r="G218" t="s">
        <v>285</v>
      </c>
      <c r="H218" s="6" t="s">
        <v>14</v>
      </c>
      <c r="I218" t="s">
        <v>256</v>
      </c>
      <c r="K218">
        <v>206</v>
      </c>
      <c r="M218">
        <v>7.3999999999999996E-2</v>
      </c>
      <c r="O218">
        <v>2</v>
      </c>
      <c r="P218">
        <v>2.6779999999999999</v>
      </c>
      <c r="Q218">
        <f>6.59+5.324</f>
        <v>11.914</v>
      </c>
    </row>
    <row r="219" spans="1:17" ht="16" x14ac:dyDescent="0.2">
      <c r="A219" t="s">
        <v>287</v>
      </c>
      <c r="B219" t="s">
        <v>277</v>
      </c>
      <c r="C219" s="10">
        <v>-30.489515999999998</v>
      </c>
      <c r="D219" s="9">
        <v>151.6422</v>
      </c>
      <c r="E219" s="9">
        <v>0</v>
      </c>
      <c r="F219" s="1">
        <v>42841</v>
      </c>
      <c r="G219" t="s">
        <v>285</v>
      </c>
      <c r="H219" s="6" t="s">
        <v>14</v>
      </c>
      <c r="I219" t="s">
        <v>256</v>
      </c>
      <c r="K219">
        <v>207</v>
      </c>
      <c r="M219">
        <v>7.2700000000000001E-2</v>
      </c>
      <c r="O219">
        <v>2</v>
      </c>
      <c r="P219">
        <v>2.7509999999999999</v>
      </c>
      <c r="Q219">
        <f>7.177+4.899</f>
        <v>12.076000000000001</v>
      </c>
    </row>
    <row r="220" spans="1:17" ht="16" x14ac:dyDescent="0.2">
      <c r="A220" t="s">
        <v>288</v>
      </c>
      <c r="B220" t="s">
        <v>277</v>
      </c>
      <c r="C220" s="10">
        <v>-30.489515999999998</v>
      </c>
      <c r="D220" s="9">
        <v>151.6422</v>
      </c>
      <c r="E220" s="9">
        <v>0</v>
      </c>
      <c r="F220" s="1">
        <v>42841</v>
      </c>
      <c r="G220" t="s">
        <v>285</v>
      </c>
      <c r="H220" s="6" t="s">
        <v>14</v>
      </c>
      <c r="I220" t="s">
        <v>256</v>
      </c>
      <c r="K220">
        <v>208</v>
      </c>
      <c r="M220">
        <v>7.2499999999999995E-2</v>
      </c>
      <c r="O220">
        <v>2</v>
      </c>
      <c r="P220">
        <v>2.4169999999999998</v>
      </c>
      <c r="Q220">
        <f>5.715+4.627</f>
        <v>10.341999999999999</v>
      </c>
    </row>
    <row r="221" spans="1:17" ht="16" x14ac:dyDescent="0.2">
      <c r="A221" t="s">
        <v>289</v>
      </c>
      <c r="B221" t="s">
        <v>277</v>
      </c>
      <c r="C221" s="10">
        <v>-30.489515999999998</v>
      </c>
      <c r="D221" s="9">
        <v>151.6422</v>
      </c>
      <c r="E221" s="9">
        <v>0</v>
      </c>
      <c r="F221" s="1">
        <v>42841</v>
      </c>
      <c r="G221" t="s">
        <v>285</v>
      </c>
      <c r="H221" s="6" t="s">
        <v>14</v>
      </c>
      <c r="I221" t="s">
        <v>256</v>
      </c>
      <c r="K221">
        <v>209</v>
      </c>
      <c r="M221">
        <v>7.3099999999999998E-2</v>
      </c>
      <c r="O221">
        <v>2</v>
      </c>
      <c r="P221">
        <v>2.6269999999999998</v>
      </c>
      <c r="Q221">
        <f>5.736+6.289</f>
        <v>12.024999999999999</v>
      </c>
    </row>
    <row r="222" spans="1:17" x14ac:dyDescent="0.2">
      <c r="A222" t="s">
        <v>290</v>
      </c>
      <c r="B222" t="s">
        <v>291</v>
      </c>
      <c r="F222" s="1" t="s">
        <v>44</v>
      </c>
      <c r="G222">
        <v>20699</v>
      </c>
      <c r="H222" s="6" t="s">
        <v>32</v>
      </c>
      <c r="I222" s="6" t="s">
        <v>116</v>
      </c>
      <c r="K222">
        <v>210</v>
      </c>
      <c r="M222">
        <v>6.9599999999999995E-2</v>
      </c>
      <c r="O222">
        <v>2</v>
      </c>
      <c r="P222">
        <v>3.3090000000000002</v>
      </c>
      <c r="Q222">
        <f>6.533+6.839</f>
        <v>13.372</v>
      </c>
    </row>
    <row r="223" spans="1:17" x14ac:dyDescent="0.2">
      <c r="A223" t="s">
        <v>292</v>
      </c>
      <c r="B223" t="s">
        <v>291</v>
      </c>
      <c r="F223" s="1" t="s">
        <v>44</v>
      </c>
      <c r="G223">
        <v>20826</v>
      </c>
      <c r="H223" s="6" t="s">
        <v>14</v>
      </c>
      <c r="I223" s="6" t="s">
        <v>116</v>
      </c>
      <c r="K223">
        <v>211</v>
      </c>
      <c r="M223">
        <v>6.88E-2</v>
      </c>
      <c r="O223">
        <v>2</v>
      </c>
      <c r="P223">
        <v>2.0630000000000002</v>
      </c>
      <c r="Q223">
        <f>5.173+4.425</f>
        <v>9.597999999999999</v>
      </c>
    </row>
    <row r="224" spans="1:17" x14ac:dyDescent="0.2">
      <c r="A224" t="s">
        <v>293</v>
      </c>
      <c r="B224" t="s">
        <v>291</v>
      </c>
      <c r="F224" s="1" t="s">
        <v>44</v>
      </c>
      <c r="G224">
        <v>20605</v>
      </c>
      <c r="H224" s="6" t="s">
        <v>14</v>
      </c>
      <c r="I224" s="6" t="s">
        <v>116</v>
      </c>
      <c r="K224">
        <v>212</v>
      </c>
      <c r="M224">
        <v>6.7599999999999993E-2</v>
      </c>
      <c r="O224">
        <v>2</v>
      </c>
      <c r="P224">
        <v>2.157</v>
      </c>
      <c r="Q224">
        <f>5.986+4.106</f>
        <v>10.091999999999999</v>
      </c>
    </row>
    <row r="225" spans="1:17" x14ac:dyDescent="0.2">
      <c r="A225" t="s">
        <v>294</v>
      </c>
      <c r="B225" t="s">
        <v>291</v>
      </c>
      <c r="F225" s="1" t="s">
        <v>44</v>
      </c>
      <c r="G225">
        <v>20717</v>
      </c>
      <c r="H225" s="6" t="s">
        <v>14</v>
      </c>
      <c r="I225" s="6" t="s">
        <v>116</v>
      </c>
      <c r="K225">
        <v>213</v>
      </c>
      <c r="M225">
        <v>6.8400000000000002E-2</v>
      </c>
      <c r="O225">
        <v>2</v>
      </c>
      <c r="P225">
        <v>2.496</v>
      </c>
      <c r="Q225">
        <f>5.564+5.334</f>
        <v>10.898</v>
      </c>
    </row>
    <row r="226" spans="1:17" x14ac:dyDescent="0.2">
      <c r="A226" t="s">
        <v>295</v>
      </c>
      <c r="B226" t="s">
        <v>291</v>
      </c>
      <c r="F226" s="1" t="s">
        <v>44</v>
      </c>
      <c r="G226">
        <v>20675</v>
      </c>
      <c r="H226" s="6" t="s">
        <v>14</v>
      </c>
      <c r="I226" s="6" t="s">
        <v>116</v>
      </c>
      <c r="K226">
        <v>214</v>
      </c>
      <c r="M226">
        <v>6.83E-2</v>
      </c>
      <c r="O226">
        <v>2</v>
      </c>
      <c r="P226">
        <v>2.2109999999999999</v>
      </c>
      <c r="Q226">
        <f>6.131+4.679</f>
        <v>10.81</v>
      </c>
    </row>
    <row r="227" spans="1:17" x14ac:dyDescent="0.2">
      <c r="A227" t="s">
        <v>296</v>
      </c>
      <c r="B227" t="s">
        <v>291</v>
      </c>
      <c r="F227" s="1" t="s">
        <v>44</v>
      </c>
      <c r="G227">
        <v>20703</v>
      </c>
      <c r="H227" s="6" t="s">
        <v>14</v>
      </c>
      <c r="I227" s="6" t="s">
        <v>116</v>
      </c>
      <c r="K227">
        <v>215</v>
      </c>
      <c r="M227">
        <v>7.1300000000000002E-2</v>
      </c>
      <c r="O227">
        <v>2</v>
      </c>
      <c r="P227">
        <v>3.0470000000000002</v>
      </c>
      <c r="Q227">
        <f>5.672+6.905</f>
        <v>12.577</v>
      </c>
    </row>
    <row r="228" spans="1:17" x14ac:dyDescent="0.2">
      <c r="A228" t="s">
        <v>297</v>
      </c>
      <c r="B228" t="s">
        <v>291</v>
      </c>
      <c r="F228" s="1" t="s">
        <v>44</v>
      </c>
      <c r="G228">
        <v>20621</v>
      </c>
      <c r="H228" s="6" t="s">
        <v>14</v>
      </c>
      <c r="I228" s="6" t="s">
        <v>116</v>
      </c>
      <c r="K228">
        <v>216</v>
      </c>
      <c r="M228">
        <v>4.0000000000000002E-4</v>
      </c>
      <c r="O228" t="s">
        <v>40</v>
      </c>
    </row>
    <row r="229" spans="1:17" x14ac:dyDescent="0.2">
      <c r="A229" t="s">
        <v>298</v>
      </c>
      <c r="B229" t="s">
        <v>291</v>
      </c>
      <c r="F229" s="1" t="s">
        <v>44</v>
      </c>
      <c r="G229">
        <v>20653</v>
      </c>
      <c r="H229" s="6" t="s">
        <v>14</v>
      </c>
      <c r="I229" s="6" t="s">
        <v>116</v>
      </c>
      <c r="K229">
        <v>217</v>
      </c>
      <c r="M229">
        <v>2.0000000000000001E-4</v>
      </c>
      <c r="O229" t="s">
        <v>40</v>
      </c>
    </row>
    <row r="230" spans="1:17" ht="16" x14ac:dyDescent="0.2">
      <c r="A230" t="s">
        <v>299</v>
      </c>
      <c r="B230" t="s">
        <v>300</v>
      </c>
      <c r="C230" s="8">
        <v>-24.836607000000001</v>
      </c>
      <c r="D230" s="9">
        <v>152.45960199999999</v>
      </c>
      <c r="E230" s="9">
        <v>0</v>
      </c>
      <c r="F230" s="1">
        <v>42785</v>
      </c>
      <c r="H230" s="6" t="s">
        <v>32</v>
      </c>
      <c r="I230" s="6" t="s">
        <v>256</v>
      </c>
      <c r="K230">
        <v>218</v>
      </c>
      <c r="M230">
        <v>7.0300000000000001E-2</v>
      </c>
      <c r="O230">
        <v>2</v>
      </c>
      <c r="P230">
        <v>2.891</v>
      </c>
      <c r="Q230">
        <f>4.322+6.864</f>
        <v>11.186</v>
      </c>
    </row>
    <row r="231" spans="1:17" ht="16" x14ac:dyDescent="0.2">
      <c r="A231" t="s">
        <v>301</v>
      </c>
      <c r="B231" t="s">
        <v>302</v>
      </c>
      <c r="C231" s="8">
        <v>-30.107710000000001</v>
      </c>
      <c r="D231" s="9">
        <v>153.199806</v>
      </c>
      <c r="E231" s="9">
        <v>0</v>
      </c>
      <c r="F231" s="1">
        <v>42797</v>
      </c>
      <c r="H231" s="6" t="s">
        <v>32</v>
      </c>
      <c r="I231" s="6" t="s">
        <v>256</v>
      </c>
      <c r="K231">
        <v>219</v>
      </c>
      <c r="M231">
        <v>4.6600000000000003E-2</v>
      </c>
      <c r="O231">
        <v>3</v>
      </c>
      <c r="P231">
        <v>3.75</v>
      </c>
      <c r="Q231">
        <v>15.163</v>
      </c>
    </row>
    <row r="232" spans="1:17" ht="16" x14ac:dyDescent="0.2">
      <c r="A232" t="s">
        <v>303</v>
      </c>
      <c r="B232" t="s">
        <v>302</v>
      </c>
      <c r="C232" s="8">
        <v>-30.107710000000001</v>
      </c>
      <c r="D232" s="9">
        <v>153.199806</v>
      </c>
      <c r="E232" s="9">
        <v>0</v>
      </c>
      <c r="F232" s="1">
        <v>42797</v>
      </c>
      <c r="H232" s="6" t="s">
        <v>32</v>
      </c>
      <c r="I232" s="6" t="s">
        <v>256</v>
      </c>
      <c r="K232">
        <v>220</v>
      </c>
      <c r="M232">
        <v>7.3300000000000004E-2</v>
      </c>
      <c r="O232">
        <v>2</v>
      </c>
      <c r="P232">
        <v>3.1669999999999998</v>
      </c>
      <c r="Q232">
        <f>7.628+5.954</f>
        <v>13.582000000000001</v>
      </c>
    </row>
    <row r="233" spans="1:17" ht="16" x14ac:dyDescent="0.2">
      <c r="A233" t="s">
        <v>304</v>
      </c>
      <c r="B233" t="s">
        <v>302</v>
      </c>
      <c r="C233" s="8">
        <v>-30.107710000000001</v>
      </c>
      <c r="D233" s="9">
        <v>153.199806</v>
      </c>
      <c r="E233" s="9">
        <v>0</v>
      </c>
      <c r="F233" s="1">
        <v>42797</v>
      </c>
      <c r="H233" s="6" t="s">
        <v>14</v>
      </c>
      <c r="I233" s="6" t="s">
        <v>256</v>
      </c>
      <c r="K233">
        <v>221</v>
      </c>
      <c r="M233">
        <v>5.6099999999999997E-2</v>
      </c>
      <c r="O233">
        <v>3</v>
      </c>
      <c r="P233">
        <v>4.6150000000000002</v>
      </c>
      <c r="Q233">
        <v>14.103999999999999</v>
      </c>
    </row>
    <row r="234" spans="1:17" ht="16" x14ac:dyDescent="0.2">
      <c r="A234" t="s">
        <v>305</v>
      </c>
      <c r="B234" t="s">
        <v>302</v>
      </c>
      <c r="C234" s="8">
        <v>-30.107710000000001</v>
      </c>
      <c r="D234" s="9">
        <v>153.199806</v>
      </c>
      <c r="E234" s="9">
        <v>0</v>
      </c>
      <c r="F234" s="1">
        <v>42797</v>
      </c>
      <c r="H234" s="6" t="s">
        <v>14</v>
      </c>
      <c r="I234" s="6" t="s">
        <v>256</v>
      </c>
      <c r="K234">
        <v>222</v>
      </c>
      <c r="M234">
        <v>4.0599999999999997E-2</v>
      </c>
      <c r="O234">
        <v>3</v>
      </c>
      <c r="P234">
        <v>1.8280000000000001</v>
      </c>
      <c r="Q234">
        <f>3.111+3.458</f>
        <v>6.5690000000000008</v>
      </c>
    </row>
    <row r="235" spans="1:17" ht="16" x14ac:dyDescent="0.2">
      <c r="A235" t="s">
        <v>306</v>
      </c>
      <c r="B235" t="s">
        <v>302</v>
      </c>
      <c r="C235" s="8">
        <v>-30.107710000000001</v>
      </c>
      <c r="D235" s="9">
        <v>153.199806</v>
      </c>
      <c r="E235" s="9">
        <v>0</v>
      </c>
      <c r="F235" s="1">
        <v>42797</v>
      </c>
      <c r="H235" s="6" t="s">
        <v>14</v>
      </c>
      <c r="I235" s="6" t="s">
        <v>256</v>
      </c>
      <c r="K235">
        <v>223</v>
      </c>
      <c r="M235">
        <v>4.1099999999999998E-2</v>
      </c>
      <c r="O235">
        <v>3</v>
      </c>
      <c r="P235">
        <v>1.948</v>
      </c>
      <c r="Q235">
        <v>6.2149999999999999</v>
      </c>
    </row>
    <row r="236" spans="1:17" s="2" customFormat="1" ht="16" x14ac:dyDescent="0.2">
      <c r="A236" s="2" t="s">
        <v>307</v>
      </c>
      <c r="B236" s="2" t="s">
        <v>302</v>
      </c>
      <c r="C236" s="8">
        <v>-30.107710000000001</v>
      </c>
      <c r="D236" s="9">
        <v>153.199806</v>
      </c>
      <c r="E236" s="9">
        <v>0</v>
      </c>
      <c r="F236" s="3">
        <v>42797</v>
      </c>
      <c r="H236" s="7" t="s">
        <v>14</v>
      </c>
      <c r="I236" s="7" t="s">
        <v>256</v>
      </c>
      <c r="K236" s="2">
        <v>224</v>
      </c>
      <c r="M236" s="2">
        <v>4.1799999999999997E-2</v>
      </c>
      <c r="N236" s="13"/>
      <c r="O236" s="2">
        <v>3</v>
      </c>
      <c r="P236" s="2" t="s">
        <v>44</v>
      </c>
      <c r="Q236" s="2" t="s">
        <v>44</v>
      </c>
    </row>
    <row r="237" spans="1:17" ht="16" x14ac:dyDescent="0.2">
      <c r="A237" t="s">
        <v>308</v>
      </c>
      <c r="B237" t="s">
        <v>302</v>
      </c>
      <c r="C237" s="8">
        <v>-30.107710000000001</v>
      </c>
      <c r="D237" s="9">
        <v>153.199806</v>
      </c>
      <c r="E237" s="9">
        <v>0</v>
      </c>
      <c r="F237" s="1">
        <v>42797</v>
      </c>
      <c r="H237" s="6" t="s">
        <v>14</v>
      </c>
      <c r="I237" s="6" t="s">
        <v>256</v>
      </c>
      <c r="K237">
        <v>225</v>
      </c>
      <c r="M237">
        <v>4.1099999999999998E-2</v>
      </c>
      <c r="O237">
        <v>3</v>
      </c>
      <c r="P237">
        <v>2.0009999999999999</v>
      </c>
      <c r="Q237">
        <f>3.322+2.744</f>
        <v>6.0660000000000007</v>
      </c>
    </row>
    <row r="238" spans="1:17" ht="16" x14ac:dyDescent="0.2">
      <c r="A238" t="s">
        <v>309</v>
      </c>
      <c r="B238" t="s">
        <v>302</v>
      </c>
      <c r="C238" s="8">
        <v>-30.107710000000001</v>
      </c>
      <c r="D238" s="9">
        <v>153.199806</v>
      </c>
      <c r="E238" s="9">
        <v>0</v>
      </c>
      <c r="F238" s="1">
        <v>42797</v>
      </c>
      <c r="H238" s="6" t="s">
        <v>14</v>
      </c>
      <c r="I238" s="6" t="s">
        <v>256</v>
      </c>
      <c r="K238">
        <v>226</v>
      </c>
      <c r="M238">
        <v>0.11940000000000001</v>
      </c>
      <c r="O238">
        <v>1</v>
      </c>
      <c r="P238">
        <v>5.0679999999999996</v>
      </c>
      <c r="Q238">
        <v>17.001000000000001</v>
      </c>
    </row>
    <row r="239" spans="1:17" ht="16" x14ac:dyDescent="0.2">
      <c r="A239" t="s">
        <v>310</v>
      </c>
      <c r="B239" t="s">
        <v>302</v>
      </c>
      <c r="C239" s="8">
        <v>-30.107710000000001</v>
      </c>
      <c r="D239" s="9">
        <v>153.199806</v>
      </c>
      <c r="E239" s="9">
        <v>0</v>
      </c>
      <c r="F239" s="1">
        <v>42797</v>
      </c>
      <c r="H239" s="6" t="s">
        <v>14</v>
      </c>
      <c r="I239" s="6" t="s">
        <v>256</v>
      </c>
      <c r="K239">
        <v>227</v>
      </c>
      <c r="M239">
        <v>4.24E-2</v>
      </c>
      <c r="O239">
        <v>3</v>
      </c>
      <c r="P239">
        <v>2.6949999999999998</v>
      </c>
      <c r="Q239">
        <v>9.7270000000000003</v>
      </c>
    </row>
    <row r="240" spans="1:17" ht="16" x14ac:dyDescent="0.2">
      <c r="A240" t="s">
        <v>311</v>
      </c>
      <c r="B240" t="s">
        <v>302</v>
      </c>
      <c r="C240" s="8">
        <v>-30.107710000000001</v>
      </c>
      <c r="D240" s="9">
        <v>153.199806</v>
      </c>
      <c r="E240" s="9">
        <v>0</v>
      </c>
      <c r="F240" s="1">
        <v>42797</v>
      </c>
      <c r="H240" s="6" t="s">
        <v>14</v>
      </c>
      <c r="I240" s="6" t="s">
        <v>256</v>
      </c>
      <c r="K240">
        <v>228</v>
      </c>
      <c r="M240">
        <v>4.1099999999999998E-2</v>
      </c>
      <c r="O240">
        <v>3</v>
      </c>
      <c r="P240">
        <v>1.996</v>
      </c>
      <c r="Q240">
        <f>8.0548</f>
        <v>8.0548000000000002</v>
      </c>
    </row>
    <row r="241" spans="1:17" ht="16" x14ac:dyDescent="0.2">
      <c r="A241" t="s">
        <v>312</v>
      </c>
      <c r="B241" t="s">
        <v>302</v>
      </c>
      <c r="C241" s="8">
        <v>-30.107710000000001</v>
      </c>
      <c r="D241" s="9">
        <v>153.199806</v>
      </c>
      <c r="E241" s="9">
        <v>0</v>
      </c>
      <c r="F241" s="1">
        <v>42797</v>
      </c>
      <c r="H241" s="6" t="s">
        <v>14</v>
      </c>
      <c r="I241" s="6" t="s">
        <v>256</v>
      </c>
      <c r="K241">
        <v>229</v>
      </c>
      <c r="M241">
        <v>7.8700000000000006E-2</v>
      </c>
      <c r="O241">
        <v>2</v>
      </c>
      <c r="P241">
        <v>3.177</v>
      </c>
      <c r="Q241">
        <v>12.593</v>
      </c>
    </row>
    <row r="242" spans="1:17" ht="16" x14ac:dyDescent="0.2">
      <c r="A242" t="s">
        <v>313</v>
      </c>
      <c r="B242" t="s">
        <v>300</v>
      </c>
      <c r="C242" s="8">
        <v>-24.836607000000001</v>
      </c>
      <c r="D242" s="9">
        <v>152.45960199999999</v>
      </c>
      <c r="E242" s="9">
        <v>0</v>
      </c>
      <c r="F242" s="1">
        <v>42785</v>
      </c>
      <c r="H242" s="6" t="s">
        <v>14</v>
      </c>
      <c r="I242" s="6" t="s">
        <v>256</v>
      </c>
      <c r="K242">
        <v>230</v>
      </c>
      <c r="M242">
        <v>6.8900000000000003E-2</v>
      </c>
      <c r="O242">
        <v>2</v>
      </c>
      <c r="P242">
        <v>2.0049999999999999</v>
      </c>
      <c r="Q242">
        <v>8.4618000000000002</v>
      </c>
    </row>
    <row r="243" spans="1:17" ht="16" x14ac:dyDescent="0.2">
      <c r="A243" t="s">
        <v>314</v>
      </c>
      <c r="B243" t="s">
        <v>302</v>
      </c>
      <c r="C243" s="8">
        <v>-30.107710000000001</v>
      </c>
      <c r="D243" s="9">
        <v>153.199806</v>
      </c>
      <c r="E243" s="9">
        <v>0</v>
      </c>
      <c r="F243" s="1">
        <v>42797</v>
      </c>
      <c r="H243" s="6" t="s">
        <v>14</v>
      </c>
      <c r="I243" s="6" t="s">
        <v>256</v>
      </c>
      <c r="K243">
        <v>231</v>
      </c>
      <c r="M243">
        <v>0.11990000000000001</v>
      </c>
      <c r="O243">
        <v>1</v>
      </c>
      <c r="P243">
        <v>4.968</v>
      </c>
      <c r="Q243">
        <f>8.80166+8.5792</f>
        <v>17.380859999999998</v>
      </c>
    </row>
    <row r="244" spans="1:17" ht="16" x14ac:dyDescent="0.2">
      <c r="A244" t="s">
        <v>315</v>
      </c>
      <c r="B244" t="s">
        <v>300</v>
      </c>
      <c r="C244" s="8">
        <v>-24.836607000000001</v>
      </c>
      <c r="D244" s="9">
        <v>152.45960199999999</v>
      </c>
      <c r="E244" s="9">
        <v>0</v>
      </c>
      <c r="F244" s="1">
        <v>42785</v>
      </c>
      <c r="H244" s="6" t="s">
        <v>14</v>
      </c>
      <c r="I244" s="6" t="s">
        <v>256</v>
      </c>
      <c r="K244">
        <v>232</v>
      </c>
      <c r="M244">
        <v>6.8500000000000005E-2</v>
      </c>
      <c r="O244">
        <v>3</v>
      </c>
      <c r="P244">
        <v>5.4618000000000002</v>
      </c>
      <c r="Q244">
        <v>18.286999999999999</v>
      </c>
    </row>
    <row r="245" spans="1:17" ht="16" x14ac:dyDescent="0.2">
      <c r="A245" t="s">
        <v>316</v>
      </c>
      <c r="B245" t="s">
        <v>300</v>
      </c>
      <c r="C245" s="8">
        <v>-24.836607000000001</v>
      </c>
      <c r="D245" s="9">
        <v>152.45960199999999</v>
      </c>
      <c r="E245" s="9">
        <v>0</v>
      </c>
      <c r="F245" s="1">
        <v>42785</v>
      </c>
      <c r="H245" s="6" t="s">
        <v>14</v>
      </c>
      <c r="I245" s="6" t="s">
        <v>256</v>
      </c>
      <c r="K245">
        <v>233</v>
      </c>
      <c r="M245">
        <v>6.3799999999999996E-2</v>
      </c>
      <c r="O245">
        <v>3</v>
      </c>
      <c r="P245">
        <v>5.452</v>
      </c>
      <c r="Q245">
        <f>8.714+7.848</f>
        <v>16.562000000000001</v>
      </c>
    </row>
    <row r="246" spans="1:17" ht="16" x14ac:dyDescent="0.2">
      <c r="A246" t="s">
        <v>317</v>
      </c>
      <c r="B246" t="s">
        <v>300</v>
      </c>
      <c r="C246" s="8">
        <v>-24.836607000000001</v>
      </c>
      <c r="D246" s="9">
        <v>152.45960199999999</v>
      </c>
      <c r="E246" s="9">
        <v>0</v>
      </c>
      <c r="F246" s="1">
        <v>42785</v>
      </c>
      <c r="H246" s="6" t="s">
        <v>14</v>
      </c>
      <c r="I246" s="6" t="s">
        <v>256</v>
      </c>
      <c r="K246">
        <v>234</v>
      </c>
      <c r="M246">
        <v>4.3499999999999997E-2</v>
      </c>
      <c r="O246">
        <v>3</v>
      </c>
      <c r="P246">
        <v>2.5819999999999999</v>
      </c>
      <c r="Q246">
        <v>10.061999999999999</v>
      </c>
    </row>
    <row r="247" spans="1:17" ht="16" x14ac:dyDescent="0.2">
      <c r="A247" t="s">
        <v>318</v>
      </c>
      <c r="B247" t="s">
        <v>300</v>
      </c>
      <c r="C247" s="8">
        <v>-24.836607000000001</v>
      </c>
      <c r="D247" s="9">
        <v>152.45960199999999</v>
      </c>
      <c r="E247" s="9">
        <v>0</v>
      </c>
      <c r="F247" s="1">
        <v>42785</v>
      </c>
      <c r="H247" s="6" t="s">
        <v>14</v>
      </c>
      <c r="I247" s="6" t="s">
        <v>256</v>
      </c>
      <c r="K247">
        <v>235</v>
      </c>
      <c r="M247">
        <v>6.5600000000000006E-2</v>
      </c>
      <c r="O247">
        <v>3</v>
      </c>
      <c r="P247">
        <v>4.5960000000000001</v>
      </c>
      <c r="Q247">
        <f>7.114+6.792</f>
        <v>13.905999999999999</v>
      </c>
    </row>
    <row r="248" spans="1:17" ht="16" x14ac:dyDescent="0.2">
      <c r="A248" t="s">
        <v>319</v>
      </c>
      <c r="B248" t="s">
        <v>302</v>
      </c>
      <c r="C248" s="8">
        <v>-30.107710000000001</v>
      </c>
      <c r="D248" s="9">
        <v>153.199806</v>
      </c>
      <c r="E248" s="9">
        <v>0</v>
      </c>
      <c r="F248" s="1">
        <v>42797</v>
      </c>
      <c r="H248" s="6" t="s">
        <v>14</v>
      </c>
      <c r="I248" s="6" t="s">
        <v>256</v>
      </c>
      <c r="K248">
        <v>236</v>
      </c>
      <c r="M248">
        <v>0.12640000000000001</v>
      </c>
      <c r="O248">
        <v>1</v>
      </c>
      <c r="P248">
        <v>6.5449999999999999</v>
      </c>
      <c r="Q248">
        <f>8.027+9.441</f>
        <v>17.468</v>
      </c>
    </row>
    <row r="249" spans="1:17" ht="16" x14ac:dyDescent="0.2">
      <c r="A249" t="s">
        <v>320</v>
      </c>
      <c r="B249" t="s">
        <v>302</v>
      </c>
      <c r="C249" s="8">
        <v>-30.107710000000001</v>
      </c>
      <c r="D249" s="9">
        <v>153.199806</v>
      </c>
      <c r="E249" s="9">
        <v>0</v>
      </c>
      <c r="F249" s="1">
        <v>42797</v>
      </c>
      <c r="H249" s="6" t="s">
        <v>14</v>
      </c>
      <c r="I249" s="6" t="s">
        <v>256</v>
      </c>
      <c r="K249">
        <v>237</v>
      </c>
      <c r="M249">
        <v>7.1499999999999994E-2</v>
      </c>
      <c r="O249">
        <v>3</v>
      </c>
      <c r="P249">
        <v>5.3419999999999996</v>
      </c>
      <c r="Q249">
        <f>8.95+9.7135</f>
        <v>18.663499999999999</v>
      </c>
    </row>
    <row r="250" spans="1:17" ht="16" x14ac:dyDescent="0.2">
      <c r="A250" t="s">
        <v>321</v>
      </c>
      <c r="B250" t="s">
        <v>300</v>
      </c>
      <c r="C250" s="8">
        <v>-24.836607000000001</v>
      </c>
      <c r="D250" s="9">
        <v>152.45960199999999</v>
      </c>
      <c r="E250" s="9">
        <v>0</v>
      </c>
      <c r="F250" s="1">
        <v>42785</v>
      </c>
      <c r="H250" s="6" t="s">
        <v>14</v>
      </c>
      <c r="I250" s="6" t="s">
        <v>256</v>
      </c>
      <c r="K250">
        <v>238</v>
      </c>
      <c r="M250">
        <v>5.6000000000000001E-2</v>
      </c>
      <c r="O250">
        <v>3</v>
      </c>
      <c r="P250">
        <v>4.5759999999999996</v>
      </c>
      <c r="Q250">
        <v>13.765000000000001</v>
      </c>
    </row>
    <row r="251" spans="1:17" ht="16" x14ac:dyDescent="0.2">
      <c r="A251" t="s">
        <v>322</v>
      </c>
      <c r="B251" t="s">
        <v>300</v>
      </c>
      <c r="C251" s="8">
        <v>-24.836607000000001</v>
      </c>
      <c r="D251" s="9">
        <v>152.45960199999999</v>
      </c>
      <c r="E251" s="9">
        <v>0</v>
      </c>
      <c r="F251" s="1">
        <v>42785</v>
      </c>
      <c r="H251" s="6" t="s">
        <v>32</v>
      </c>
      <c r="I251" s="6" t="s">
        <v>256</v>
      </c>
      <c r="K251">
        <v>239</v>
      </c>
      <c r="M251">
        <v>4.1000000000000002E-2</v>
      </c>
      <c r="O251">
        <v>3</v>
      </c>
      <c r="P251">
        <v>2.754</v>
      </c>
      <c r="Q251">
        <f>7.353+3.963</f>
        <v>11.315999999999999</v>
      </c>
    </row>
    <row r="252" spans="1:17" x14ac:dyDescent="0.2">
      <c r="A252" t="s">
        <v>323</v>
      </c>
      <c r="B252" t="s">
        <v>324</v>
      </c>
      <c r="F252" s="1">
        <v>42750</v>
      </c>
      <c r="H252" s="6" t="s">
        <v>32</v>
      </c>
      <c r="K252">
        <v>240</v>
      </c>
      <c r="M252">
        <v>8.72E-2</v>
      </c>
      <c r="O252">
        <v>2</v>
      </c>
      <c r="P252">
        <v>6.0949999999999998</v>
      </c>
      <c r="Q252">
        <f>4.369+12.469</f>
        <v>16.838000000000001</v>
      </c>
    </row>
    <row r="253" spans="1:17" x14ac:dyDescent="0.2">
      <c r="A253" t="s">
        <v>325</v>
      </c>
      <c r="B253" t="s">
        <v>324</v>
      </c>
      <c r="F253" s="1">
        <v>42750</v>
      </c>
      <c r="H253" s="6" t="s">
        <v>14</v>
      </c>
      <c r="K253">
        <v>241</v>
      </c>
      <c r="M253">
        <v>0.1021</v>
      </c>
      <c r="O253">
        <v>2</v>
      </c>
      <c r="P253">
        <v>5.5094000000000003</v>
      </c>
      <c r="Q253">
        <v>19.021000000000001</v>
      </c>
    </row>
    <row r="254" spans="1:17" x14ac:dyDescent="0.2">
      <c r="A254" t="s">
        <v>326</v>
      </c>
      <c r="B254" t="s">
        <v>324</v>
      </c>
      <c r="F254" s="1">
        <v>42750</v>
      </c>
      <c r="H254" s="6" t="s">
        <v>14</v>
      </c>
      <c r="K254">
        <v>242</v>
      </c>
      <c r="M254">
        <v>8.3500000000000005E-2</v>
      </c>
      <c r="O254">
        <v>2</v>
      </c>
      <c r="P254">
        <v>4.8520000000000003</v>
      </c>
      <c r="Q254">
        <f>7.4589+7.2396</f>
        <v>14.698499999999999</v>
      </c>
    </row>
    <row r="255" spans="1:17" x14ac:dyDescent="0.2">
      <c r="A255" t="s">
        <v>327</v>
      </c>
      <c r="B255" t="s">
        <v>324</v>
      </c>
      <c r="F255" s="1">
        <v>42750</v>
      </c>
      <c r="H255" s="6" t="s">
        <v>14</v>
      </c>
      <c r="K255">
        <v>243</v>
      </c>
      <c r="M255">
        <v>0.2185</v>
      </c>
      <c r="O255">
        <v>2</v>
      </c>
      <c r="P255">
        <v>7.6454000000000004</v>
      </c>
      <c r="Q255">
        <f>18.8098+18.0402</f>
        <v>36.849999999999994</v>
      </c>
    </row>
    <row r="256" spans="1:17" x14ac:dyDescent="0.2">
      <c r="A256" t="s">
        <v>393</v>
      </c>
      <c r="B256" t="s">
        <v>450</v>
      </c>
      <c r="E256">
        <v>0</v>
      </c>
      <c r="K256">
        <v>244</v>
      </c>
      <c r="O256">
        <v>3</v>
      </c>
    </row>
    <row r="257" spans="1:15" x14ac:dyDescent="0.2">
      <c r="A257" t="s">
        <v>394</v>
      </c>
      <c r="B257" t="s">
        <v>450</v>
      </c>
      <c r="E257">
        <v>0</v>
      </c>
      <c r="K257">
        <v>245</v>
      </c>
      <c r="O257">
        <v>3</v>
      </c>
    </row>
    <row r="258" spans="1:15" x14ac:dyDescent="0.2">
      <c r="A258" t="s">
        <v>395</v>
      </c>
      <c r="B258" t="s">
        <v>450</v>
      </c>
      <c r="E258">
        <v>0</v>
      </c>
      <c r="K258">
        <v>246</v>
      </c>
      <c r="O258">
        <v>3</v>
      </c>
    </row>
    <row r="259" spans="1:15" x14ac:dyDescent="0.2">
      <c r="A259" t="s">
        <v>396</v>
      </c>
      <c r="B259" t="s">
        <v>450</v>
      </c>
      <c r="E259">
        <v>0</v>
      </c>
      <c r="K259">
        <v>247</v>
      </c>
      <c r="O259">
        <v>3</v>
      </c>
    </row>
    <row r="260" spans="1:15" x14ac:dyDescent="0.2">
      <c r="A260" t="s">
        <v>397</v>
      </c>
      <c r="B260" t="s">
        <v>450</v>
      </c>
      <c r="E260">
        <v>0</v>
      </c>
      <c r="K260">
        <v>248</v>
      </c>
      <c r="O260">
        <v>3</v>
      </c>
    </row>
    <row r="261" spans="1:15" x14ac:dyDescent="0.2">
      <c r="A261" t="s">
        <v>398</v>
      </c>
      <c r="B261" t="s">
        <v>450</v>
      </c>
      <c r="E261">
        <v>0</v>
      </c>
      <c r="K261">
        <v>249</v>
      </c>
      <c r="O261">
        <v>3</v>
      </c>
    </row>
    <row r="262" spans="1:15" x14ac:dyDescent="0.2">
      <c r="A262" t="s">
        <v>399</v>
      </c>
      <c r="B262" t="s">
        <v>450</v>
      </c>
      <c r="E262">
        <v>0</v>
      </c>
      <c r="K262">
        <v>250</v>
      </c>
      <c r="O262">
        <v>3</v>
      </c>
    </row>
    <row r="263" spans="1:15" x14ac:dyDescent="0.2">
      <c r="A263" t="s">
        <v>400</v>
      </c>
      <c r="B263" t="s">
        <v>450</v>
      </c>
      <c r="E263">
        <v>0</v>
      </c>
      <c r="K263">
        <v>251</v>
      </c>
      <c r="O263">
        <v>3</v>
      </c>
    </row>
    <row r="264" spans="1:15" x14ac:dyDescent="0.2">
      <c r="A264" t="s">
        <v>401</v>
      </c>
      <c r="B264" t="s">
        <v>450</v>
      </c>
      <c r="E264">
        <v>0</v>
      </c>
      <c r="K264">
        <v>252</v>
      </c>
      <c r="O264">
        <v>3</v>
      </c>
    </row>
    <row r="265" spans="1:15" x14ac:dyDescent="0.2">
      <c r="A265" t="s">
        <v>402</v>
      </c>
      <c r="B265" t="s">
        <v>450</v>
      </c>
      <c r="E265">
        <v>0</v>
      </c>
      <c r="K265">
        <v>253</v>
      </c>
      <c r="O265">
        <v>3</v>
      </c>
    </row>
    <row r="266" spans="1:15" x14ac:dyDescent="0.2">
      <c r="A266" t="s">
        <v>403</v>
      </c>
      <c r="B266" t="s">
        <v>450</v>
      </c>
      <c r="E266">
        <v>0</v>
      </c>
      <c r="K266">
        <v>254</v>
      </c>
      <c r="O266">
        <v>3</v>
      </c>
    </row>
    <row r="267" spans="1:15" x14ac:dyDescent="0.2">
      <c r="A267" t="s">
        <v>404</v>
      </c>
      <c r="B267" t="s">
        <v>450</v>
      </c>
      <c r="E267">
        <v>0</v>
      </c>
      <c r="K267">
        <v>255</v>
      </c>
      <c r="O267">
        <v>3</v>
      </c>
    </row>
    <row r="268" spans="1:15" x14ac:dyDescent="0.2">
      <c r="A268" t="s">
        <v>405</v>
      </c>
      <c r="B268" t="s">
        <v>450</v>
      </c>
      <c r="E268">
        <v>0</v>
      </c>
      <c r="K268">
        <v>256</v>
      </c>
      <c r="O268">
        <v>3</v>
      </c>
    </row>
    <row r="269" spans="1:15" x14ac:dyDescent="0.2">
      <c r="A269" t="s">
        <v>406</v>
      </c>
      <c r="B269" t="s">
        <v>450</v>
      </c>
      <c r="E269">
        <v>0</v>
      </c>
      <c r="K269">
        <v>257</v>
      </c>
      <c r="O269">
        <v>3</v>
      </c>
    </row>
    <row r="270" spans="1:15" x14ac:dyDescent="0.2">
      <c r="A270" t="s">
        <v>407</v>
      </c>
      <c r="B270" t="s">
        <v>450</v>
      </c>
      <c r="E270">
        <v>0</v>
      </c>
      <c r="K270">
        <v>258</v>
      </c>
      <c r="O270">
        <v>3</v>
      </c>
    </row>
    <row r="271" spans="1:15" x14ac:dyDescent="0.2">
      <c r="A271" t="s">
        <v>408</v>
      </c>
      <c r="B271" t="s">
        <v>450</v>
      </c>
      <c r="E271">
        <v>0</v>
      </c>
      <c r="K271">
        <v>259</v>
      </c>
      <c r="O271">
        <v>3</v>
      </c>
    </row>
    <row r="272" spans="1:15" x14ac:dyDescent="0.2">
      <c r="A272" t="s">
        <v>409</v>
      </c>
      <c r="B272" t="s">
        <v>450</v>
      </c>
      <c r="E272">
        <v>0</v>
      </c>
      <c r="K272">
        <v>260</v>
      </c>
      <c r="O272">
        <v>3</v>
      </c>
    </row>
    <row r="273" spans="1:15" x14ac:dyDescent="0.2">
      <c r="A273" t="s">
        <v>410</v>
      </c>
      <c r="B273" t="s">
        <v>450</v>
      </c>
      <c r="E273">
        <v>0</v>
      </c>
      <c r="K273">
        <v>261</v>
      </c>
      <c r="O273">
        <v>3</v>
      </c>
    </row>
    <row r="274" spans="1:15" x14ac:dyDescent="0.2">
      <c r="A274" t="s">
        <v>411</v>
      </c>
      <c r="B274" t="s">
        <v>450</v>
      </c>
      <c r="E274">
        <v>0</v>
      </c>
      <c r="K274">
        <v>262</v>
      </c>
      <c r="O274">
        <v>3</v>
      </c>
    </row>
    <row r="275" spans="1:15" x14ac:dyDescent="0.2">
      <c r="A275" t="s">
        <v>412</v>
      </c>
      <c r="B275" t="s">
        <v>450</v>
      </c>
      <c r="E275">
        <v>0</v>
      </c>
      <c r="K275">
        <v>263</v>
      </c>
      <c r="O275">
        <v>3</v>
      </c>
    </row>
    <row r="276" spans="1:15" x14ac:dyDescent="0.2">
      <c r="A276" t="s">
        <v>413</v>
      </c>
      <c r="B276" t="s">
        <v>450</v>
      </c>
      <c r="E276">
        <v>0</v>
      </c>
      <c r="K276">
        <v>264</v>
      </c>
      <c r="O276">
        <v>3</v>
      </c>
    </row>
    <row r="277" spans="1:15" x14ac:dyDescent="0.2">
      <c r="A277" t="s">
        <v>414</v>
      </c>
      <c r="B277" t="s">
        <v>450</v>
      </c>
      <c r="E277">
        <v>0</v>
      </c>
      <c r="K277">
        <v>265</v>
      </c>
      <c r="O277">
        <v>3</v>
      </c>
    </row>
    <row r="278" spans="1:15" x14ac:dyDescent="0.2">
      <c r="A278" t="s">
        <v>415</v>
      </c>
      <c r="B278" t="s">
        <v>450</v>
      </c>
      <c r="E278">
        <v>0</v>
      </c>
      <c r="K278">
        <v>266</v>
      </c>
      <c r="O278">
        <v>3</v>
      </c>
    </row>
    <row r="279" spans="1:15" x14ac:dyDescent="0.2">
      <c r="A279" t="s">
        <v>416</v>
      </c>
      <c r="B279" t="s">
        <v>450</v>
      </c>
      <c r="E279">
        <v>0</v>
      </c>
      <c r="K279">
        <v>267</v>
      </c>
      <c r="O279">
        <v>3</v>
      </c>
    </row>
    <row r="280" spans="1:15" x14ac:dyDescent="0.2">
      <c r="A280" t="s">
        <v>417</v>
      </c>
      <c r="B280" t="s">
        <v>450</v>
      </c>
      <c r="E280">
        <v>0</v>
      </c>
      <c r="K280">
        <v>268</v>
      </c>
      <c r="O280">
        <v>3</v>
      </c>
    </row>
    <row r="281" spans="1:15" x14ac:dyDescent="0.2">
      <c r="A281" t="s">
        <v>418</v>
      </c>
      <c r="B281" t="s">
        <v>450</v>
      </c>
      <c r="E281">
        <v>0</v>
      </c>
      <c r="K281">
        <v>269</v>
      </c>
      <c r="O281">
        <v>3</v>
      </c>
    </row>
    <row r="282" spans="1:15" x14ac:dyDescent="0.2">
      <c r="A282" t="s">
        <v>419</v>
      </c>
      <c r="B282" t="s">
        <v>450</v>
      </c>
      <c r="E282">
        <v>0</v>
      </c>
      <c r="K282">
        <v>270</v>
      </c>
      <c r="O282">
        <v>3</v>
      </c>
    </row>
    <row r="283" spans="1:15" x14ac:dyDescent="0.2">
      <c r="A283" t="s">
        <v>420</v>
      </c>
      <c r="B283" t="s">
        <v>450</v>
      </c>
      <c r="E283">
        <v>0</v>
      </c>
      <c r="K283">
        <v>271</v>
      </c>
      <c r="O283">
        <v>3</v>
      </c>
    </row>
    <row r="284" spans="1:15" x14ac:dyDescent="0.2">
      <c r="A284" t="s">
        <v>421</v>
      </c>
      <c r="B284" t="s">
        <v>450</v>
      </c>
      <c r="E284">
        <v>0</v>
      </c>
      <c r="K284">
        <v>272</v>
      </c>
      <c r="O284">
        <v>3</v>
      </c>
    </row>
    <row r="285" spans="1:15" x14ac:dyDescent="0.2">
      <c r="A285" t="s">
        <v>422</v>
      </c>
      <c r="B285" t="s">
        <v>450</v>
      </c>
      <c r="E285">
        <v>0</v>
      </c>
      <c r="K285">
        <v>273</v>
      </c>
      <c r="O285">
        <v>3</v>
      </c>
    </row>
    <row r="286" spans="1:15" x14ac:dyDescent="0.2">
      <c r="A286" t="s">
        <v>423</v>
      </c>
      <c r="B286" t="s">
        <v>450</v>
      </c>
      <c r="E286">
        <v>0</v>
      </c>
      <c r="K286">
        <v>274</v>
      </c>
      <c r="O286">
        <v>3</v>
      </c>
    </row>
    <row r="287" spans="1:15" x14ac:dyDescent="0.2">
      <c r="A287" t="s">
        <v>424</v>
      </c>
      <c r="B287" t="s">
        <v>450</v>
      </c>
      <c r="E287">
        <v>0</v>
      </c>
      <c r="K287">
        <v>275</v>
      </c>
      <c r="O287">
        <v>3</v>
      </c>
    </row>
    <row r="288" spans="1:15" x14ac:dyDescent="0.2">
      <c r="A288" t="s">
        <v>425</v>
      </c>
      <c r="B288" t="s">
        <v>450</v>
      </c>
      <c r="E288">
        <v>0</v>
      </c>
      <c r="K288">
        <v>276</v>
      </c>
      <c r="O288">
        <v>3</v>
      </c>
    </row>
    <row r="289" spans="1:15" x14ac:dyDescent="0.2">
      <c r="A289" t="s">
        <v>426</v>
      </c>
      <c r="B289" t="s">
        <v>450</v>
      </c>
      <c r="E289">
        <v>0</v>
      </c>
      <c r="K289">
        <v>277</v>
      </c>
      <c r="O289">
        <v>3</v>
      </c>
    </row>
    <row r="290" spans="1:15" x14ac:dyDescent="0.2">
      <c r="A290" t="s">
        <v>427</v>
      </c>
      <c r="B290" t="s">
        <v>450</v>
      </c>
      <c r="E290">
        <v>0</v>
      </c>
      <c r="K290">
        <v>278</v>
      </c>
      <c r="O290">
        <v>3</v>
      </c>
    </row>
    <row r="291" spans="1:15" x14ac:dyDescent="0.2">
      <c r="A291" t="s">
        <v>428</v>
      </c>
      <c r="B291" t="s">
        <v>450</v>
      </c>
      <c r="E291">
        <v>0</v>
      </c>
      <c r="K291">
        <v>279</v>
      </c>
      <c r="O291">
        <v>3</v>
      </c>
    </row>
    <row r="292" spans="1:15" x14ac:dyDescent="0.2">
      <c r="A292" t="s">
        <v>429</v>
      </c>
      <c r="B292" t="s">
        <v>450</v>
      </c>
      <c r="E292">
        <v>0</v>
      </c>
      <c r="K292">
        <v>280</v>
      </c>
      <c r="O292">
        <v>3</v>
      </c>
    </row>
    <row r="293" spans="1:15" x14ac:dyDescent="0.2">
      <c r="A293" t="s">
        <v>430</v>
      </c>
      <c r="B293" t="s">
        <v>450</v>
      </c>
      <c r="E293">
        <v>0</v>
      </c>
      <c r="K293">
        <v>281</v>
      </c>
      <c r="O293">
        <v>3</v>
      </c>
    </row>
    <row r="294" spans="1:15" x14ac:dyDescent="0.2">
      <c r="A294" t="s">
        <v>431</v>
      </c>
      <c r="B294" t="s">
        <v>450</v>
      </c>
      <c r="E294">
        <v>0</v>
      </c>
      <c r="K294">
        <v>282</v>
      </c>
      <c r="O294">
        <v>3</v>
      </c>
    </row>
    <row r="295" spans="1:15" x14ac:dyDescent="0.2">
      <c r="A295" t="s">
        <v>432</v>
      </c>
      <c r="B295" t="s">
        <v>450</v>
      </c>
      <c r="E295">
        <v>0</v>
      </c>
      <c r="K295">
        <v>283</v>
      </c>
      <c r="O295">
        <v>3</v>
      </c>
    </row>
    <row r="296" spans="1:15" x14ac:dyDescent="0.2">
      <c r="A296" t="s">
        <v>433</v>
      </c>
      <c r="B296" t="s">
        <v>450</v>
      </c>
      <c r="E296">
        <v>0</v>
      </c>
      <c r="K296">
        <v>284</v>
      </c>
      <c r="O296">
        <v>3</v>
      </c>
    </row>
    <row r="297" spans="1:15" x14ac:dyDescent="0.2">
      <c r="A297" t="s">
        <v>434</v>
      </c>
      <c r="B297" t="s">
        <v>450</v>
      </c>
      <c r="E297">
        <v>0</v>
      </c>
      <c r="K297">
        <v>285</v>
      </c>
      <c r="O297">
        <v>3</v>
      </c>
    </row>
    <row r="298" spans="1:15" x14ac:dyDescent="0.2">
      <c r="A298" t="s">
        <v>435</v>
      </c>
      <c r="B298" t="s">
        <v>450</v>
      </c>
      <c r="E298">
        <v>0</v>
      </c>
      <c r="K298">
        <v>286</v>
      </c>
      <c r="O298">
        <v>3</v>
      </c>
    </row>
    <row r="299" spans="1:15" x14ac:dyDescent="0.2">
      <c r="A299" t="s">
        <v>436</v>
      </c>
      <c r="B299" t="s">
        <v>450</v>
      </c>
      <c r="E299">
        <v>0</v>
      </c>
      <c r="K299">
        <v>287</v>
      </c>
      <c r="O299">
        <v>3</v>
      </c>
    </row>
    <row r="300" spans="1:15" x14ac:dyDescent="0.2">
      <c r="A300" t="s">
        <v>437</v>
      </c>
      <c r="B300" t="s">
        <v>450</v>
      </c>
      <c r="E300">
        <v>0</v>
      </c>
      <c r="K300">
        <v>288</v>
      </c>
      <c r="O300">
        <v>3</v>
      </c>
    </row>
    <row r="301" spans="1:15" x14ac:dyDescent="0.2">
      <c r="A301" t="s">
        <v>438</v>
      </c>
      <c r="B301" t="s">
        <v>450</v>
      </c>
      <c r="E301">
        <v>0</v>
      </c>
      <c r="K301">
        <v>289</v>
      </c>
      <c r="O301">
        <v>3</v>
      </c>
    </row>
    <row r="302" spans="1:15" x14ac:dyDescent="0.2">
      <c r="A302" t="s">
        <v>439</v>
      </c>
      <c r="B302" t="s">
        <v>450</v>
      </c>
      <c r="E302">
        <v>0</v>
      </c>
      <c r="K302">
        <v>290</v>
      </c>
      <c r="O302">
        <v>3</v>
      </c>
    </row>
    <row r="303" spans="1:15" x14ac:dyDescent="0.2">
      <c r="A303" t="s">
        <v>440</v>
      </c>
      <c r="B303" t="s">
        <v>450</v>
      </c>
      <c r="E303">
        <v>0</v>
      </c>
      <c r="K303">
        <v>291</v>
      </c>
      <c r="O303">
        <v>3</v>
      </c>
    </row>
    <row r="304" spans="1:15" x14ac:dyDescent="0.2">
      <c r="A304" t="s">
        <v>441</v>
      </c>
      <c r="B304" t="s">
        <v>450</v>
      </c>
      <c r="E304">
        <v>0</v>
      </c>
      <c r="K304">
        <v>292</v>
      </c>
      <c r="O304">
        <v>3</v>
      </c>
    </row>
    <row r="305" spans="1:15" x14ac:dyDescent="0.2">
      <c r="A305" t="s">
        <v>442</v>
      </c>
      <c r="B305" t="s">
        <v>450</v>
      </c>
      <c r="E305">
        <v>0</v>
      </c>
      <c r="K305">
        <v>293</v>
      </c>
      <c r="O305">
        <v>3</v>
      </c>
    </row>
    <row r="306" spans="1:15" x14ac:dyDescent="0.2">
      <c r="A306" t="s">
        <v>443</v>
      </c>
      <c r="B306" t="s">
        <v>450</v>
      </c>
      <c r="E306">
        <v>0</v>
      </c>
      <c r="K306">
        <v>294</v>
      </c>
      <c r="O306">
        <v>3</v>
      </c>
    </row>
    <row r="307" spans="1:15" x14ac:dyDescent="0.2">
      <c r="A307" t="s">
        <v>444</v>
      </c>
      <c r="B307" t="s">
        <v>450</v>
      </c>
      <c r="E307">
        <v>0</v>
      </c>
      <c r="K307">
        <v>295</v>
      </c>
      <c r="O307">
        <v>3</v>
      </c>
    </row>
    <row r="308" spans="1:15" x14ac:dyDescent="0.2">
      <c r="A308" t="s">
        <v>445</v>
      </c>
      <c r="B308" t="s">
        <v>450</v>
      </c>
      <c r="E308">
        <v>0</v>
      </c>
      <c r="K308">
        <v>296</v>
      </c>
      <c r="O308">
        <v>3</v>
      </c>
    </row>
    <row r="309" spans="1:15" x14ac:dyDescent="0.2">
      <c r="A309" t="s">
        <v>446</v>
      </c>
      <c r="B309" t="s">
        <v>450</v>
      </c>
      <c r="E309">
        <v>0</v>
      </c>
      <c r="K309">
        <v>297</v>
      </c>
      <c r="O309">
        <v>3</v>
      </c>
    </row>
    <row r="310" spans="1:15" x14ac:dyDescent="0.2">
      <c r="A310" t="s">
        <v>447</v>
      </c>
      <c r="B310" t="s">
        <v>450</v>
      </c>
      <c r="E310">
        <v>0</v>
      </c>
      <c r="K310">
        <v>298</v>
      </c>
      <c r="O310">
        <v>3</v>
      </c>
    </row>
    <row r="311" spans="1:15" x14ac:dyDescent="0.2">
      <c r="A311" t="s">
        <v>448</v>
      </c>
      <c r="B311" t="s">
        <v>450</v>
      </c>
      <c r="E311">
        <v>0</v>
      </c>
      <c r="K311">
        <v>299</v>
      </c>
      <c r="O311">
        <v>3</v>
      </c>
    </row>
    <row r="312" spans="1:15" x14ac:dyDescent="0.2">
      <c r="A312" t="s">
        <v>449</v>
      </c>
      <c r="B312" t="s">
        <v>450</v>
      </c>
      <c r="E312">
        <v>0</v>
      </c>
      <c r="K312">
        <v>300</v>
      </c>
      <c r="O312">
        <v>3</v>
      </c>
    </row>
  </sheetData>
  <conditionalFormatting sqref="K3 K7 K11:K13 K20:K23 K37:K41 K81:K87 K108:K109 K125:K126 K138 K132 K130 K156:K180 K25:K32 K34:K35">
    <cfRule type="duplicateValues" dxfId="4" priority="4"/>
  </conditionalFormatting>
  <conditionalFormatting sqref="P245:P249 P250:Q250 P251:P255">
    <cfRule type="duplicateValues" dxfId="3" priority="3"/>
  </conditionalFormatting>
  <conditionalFormatting sqref="K1:K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6 R125:R126 R130 R132 R138 R7 R11:R13 R20:R35 R37:R41 R81:R87 R95">
    <cfRule type="duplicateValues" dxfId="2" priority="5"/>
  </conditionalFormatting>
  <conditionalFormatting sqref="O2:O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Q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16"/>
  <sheetViews>
    <sheetView tabSelected="1" topLeftCell="H1" zoomScale="140" zoomScaleNormal="140" workbookViewId="0">
      <pane ySplit="1" topLeftCell="A237" activePane="bottomLeft" state="frozen"/>
      <selection pane="bottomLeft" activeCell="K261" sqref="K261"/>
    </sheetView>
  </sheetViews>
  <sheetFormatPr baseColWidth="10" defaultColWidth="8.83203125" defaultRowHeight="15" x14ac:dyDescent="0.2"/>
  <cols>
    <col min="1" max="1" width="16.5" bestFit="1" customWidth="1"/>
    <col min="5" max="5" width="10.5" bestFit="1" customWidth="1"/>
    <col min="6" max="6" width="9.5" bestFit="1" customWidth="1"/>
    <col min="8" max="8" width="12.6640625" bestFit="1" customWidth="1"/>
    <col min="10" max="10" width="10.1640625" bestFit="1" customWidth="1"/>
    <col min="13" max="13" width="16.5" bestFit="1" customWidth="1"/>
    <col min="16" max="16" width="12.83203125" bestFit="1" customWidth="1"/>
    <col min="17" max="17" width="12.6640625" bestFit="1" customWidth="1"/>
  </cols>
  <sheetData>
    <row r="1" spans="1:14" x14ac:dyDescent="0.2">
      <c r="A1" t="s">
        <v>329</v>
      </c>
      <c r="B1" t="s">
        <v>1586</v>
      </c>
      <c r="C1" t="s">
        <v>1585</v>
      </c>
      <c r="D1" t="s">
        <v>1584</v>
      </c>
      <c r="E1" t="s">
        <v>1583</v>
      </c>
      <c r="F1" t="s">
        <v>391</v>
      </c>
      <c r="G1" t="s">
        <v>388</v>
      </c>
      <c r="H1" t="s">
        <v>389</v>
      </c>
      <c r="I1" t="s">
        <v>390</v>
      </c>
      <c r="J1" t="s">
        <v>5</v>
      </c>
      <c r="K1" s="18" t="s">
        <v>1347</v>
      </c>
      <c r="L1" s="19" t="s">
        <v>7</v>
      </c>
      <c r="M1" s="41" t="s">
        <v>2206</v>
      </c>
      <c r="N1" s="41" t="s">
        <v>11</v>
      </c>
    </row>
    <row r="2" spans="1:14" x14ac:dyDescent="0.2">
      <c r="A2" s="2" t="s">
        <v>1582</v>
      </c>
      <c r="B2" s="2"/>
      <c r="C2" t="s">
        <v>953</v>
      </c>
      <c r="D2" s="1">
        <v>42921</v>
      </c>
      <c r="E2" s="1">
        <v>42972</v>
      </c>
      <c r="F2">
        <f t="shared" ref="F2:F65" si="0">E2-D2</f>
        <v>51</v>
      </c>
      <c r="L2" s="16"/>
    </row>
    <row r="3" spans="1:14" x14ac:dyDescent="0.2">
      <c r="A3" t="s">
        <v>1581</v>
      </c>
      <c r="B3" s="15" t="s">
        <v>954</v>
      </c>
      <c r="C3" t="s">
        <v>953</v>
      </c>
      <c r="D3" s="1">
        <v>42921</v>
      </c>
      <c r="E3" s="1">
        <v>42972</v>
      </c>
      <c r="F3">
        <f t="shared" si="0"/>
        <v>51</v>
      </c>
      <c r="L3" s="16"/>
    </row>
    <row r="4" spans="1:14" x14ac:dyDescent="0.2">
      <c r="A4" s="2" t="s">
        <v>1580</v>
      </c>
      <c r="B4" s="2"/>
      <c r="C4" t="s">
        <v>953</v>
      </c>
      <c r="D4" s="1">
        <v>42921</v>
      </c>
      <c r="E4" s="1">
        <v>42972</v>
      </c>
      <c r="F4">
        <f t="shared" si="0"/>
        <v>51</v>
      </c>
      <c r="L4" s="16"/>
    </row>
    <row r="5" spans="1:14" x14ac:dyDescent="0.2">
      <c r="A5" t="s">
        <v>1579</v>
      </c>
      <c r="B5" s="15" t="s">
        <v>954</v>
      </c>
      <c r="C5" t="s">
        <v>953</v>
      </c>
      <c r="D5" s="1">
        <v>42921</v>
      </c>
      <c r="E5" s="1">
        <v>42972</v>
      </c>
      <c r="F5">
        <f t="shared" si="0"/>
        <v>51</v>
      </c>
      <c r="L5" s="16"/>
    </row>
    <row r="6" spans="1:14" x14ac:dyDescent="0.2">
      <c r="A6" t="s">
        <v>1578</v>
      </c>
      <c r="B6" s="15" t="s">
        <v>954</v>
      </c>
      <c r="C6" t="s">
        <v>953</v>
      </c>
      <c r="D6" s="1">
        <v>42921</v>
      </c>
      <c r="E6" s="1">
        <v>42972</v>
      </c>
      <c r="F6">
        <f t="shared" si="0"/>
        <v>51</v>
      </c>
      <c r="L6" s="16"/>
    </row>
    <row r="7" spans="1:14" x14ac:dyDescent="0.2">
      <c r="A7" t="s">
        <v>1577</v>
      </c>
      <c r="B7" s="17" t="s">
        <v>951</v>
      </c>
      <c r="C7" t="s">
        <v>953</v>
      </c>
      <c r="D7" s="1">
        <v>42921</v>
      </c>
      <c r="E7" s="1">
        <v>42972</v>
      </c>
      <c r="F7">
        <f t="shared" si="0"/>
        <v>51</v>
      </c>
      <c r="L7" s="16"/>
    </row>
    <row r="8" spans="1:14" x14ac:dyDescent="0.2">
      <c r="A8" t="s">
        <v>1576</v>
      </c>
      <c r="B8" s="15" t="s">
        <v>954</v>
      </c>
      <c r="C8" t="s">
        <v>953</v>
      </c>
      <c r="D8" s="1">
        <v>42921</v>
      </c>
      <c r="E8" s="1">
        <v>42972</v>
      </c>
      <c r="F8">
        <f t="shared" si="0"/>
        <v>51</v>
      </c>
      <c r="L8" s="16"/>
    </row>
    <row r="9" spans="1:14" x14ac:dyDescent="0.2">
      <c r="A9" t="s">
        <v>1575</v>
      </c>
      <c r="B9" s="15" t="s">
        <v>954</v>
      </c>
      <c r="C9" t="s">
        <v>953</v>
      </c>
      <c r="D9" s="1">
        <v>42921</v>
      </c>
      <c r="E9" s="1">
        <v>42972</v>
      </c>
      <c r="F9">
        <f t="shared" si="0"/>
        <v>51</v>
      </c>
      <c r="L9" s="16"/>
    </row>
    <row r="10" spans="1:14" x14ac:dyDescent="0.2">
      <c r="A10" t="s">
        <v>1574</v>
      </c>
      <c r="B10" s="17" t="s">
        <v>951</v>
      </c>
      <c r="C10" t="s">
        <v>953</v>
      </c>
      <c r="D10" s="1">
        <v>42921</v>
      </c>
      <c r="E10" s="1">
        <v>42972</v>
      </c>
      <c r="F10">
        <f t="shared" si="0"/>
        <v>51</v>
      </c>
      <c r="L10" s="16"/>
    </row>
    <row r="11" spans="1:14" x14ac:dyDescent="0.2">
      <c r="A11" t="s">
        <v>1573</v>
      </c>
      <c r="B11" s="15" t="s">
        <v>954</v>
      </c>
      <c r="C11" t="s">
        <v>953</v>
      </c>
      <c r="D11" s="1">
        <v>42921</v>
      </c>
      <c r="E11" s="1">
        <v>42972</v>
      </c>
      <c r="F11">
        <f t="shared" si="0"/>
        <v>51</v>
      </c>
      <c r="L11" s="16"/>
    </row>
    <row r="12" spans="1:14" x14ac:dyDescent="0.2">
      <c r="A12" t="s">
        <v>1572</v>
      </c>
      <c r="B12" s="15" t="s">
        <v>954</v>
      </c>
      <c r="C12" t="s">
        <v>953</v>
      </c>
      <c r="D12" s="1">
        <v>42921</v>
      </c>
      <c r="E12" s="1">
        <v>42972</v>
      </c>
      <c r="F12">
        <f t="shared" si="0"/>
        <v>51</v>
      </c>
      <c r="L12" s="16"/>
    </row>
    <row r="13" spans="1:14" x14ac:dyDescent="0.2">
      <c r="A13" t="s">
        <v>1571</v>
      </c>
      <c r="B13" s="17" t="s">
        <v>951</v>
      </c>
      <c r="C13" t="s">
        <v>953</v>
      </c>
      <c r="D13" s="1">
        <v>42921</v>
      </c>
      <c r="E13" s="1">
        <v>42972</v>
      </c>
      <c r="F13">
        <f t="shared" si="0"/>
        <v>51</v>
      </c>
      <c r="L13" s="16"/>
    </row>
    <row r="14" spans="1:14" x14ac:dyDescent="0.2">
      <c r="A14" t="s">
        <v>1570</v>
      </c>
      <c r="B14" s="17" t="s">
        <v>951</v>
      </c>
      <c r="C14" t="s">
        <v>953</v>
      </c>
      <c r="D14" s="1">
        <v>42921</v>
      </c>
      <c r="E14" s="1">
        <v>42972</v>
      </c>
      <c r="F14">
        <f t="shared" si="0"/>
        <v>51</v>
      </c>
      <c r="L14" s="16"/>
    </row>
    <row r="15" spans="1:14" x14ac:dyDescent="0.2">
      <c r="A15" t="s">
        <v>1569</v>
      </c>
      <c r="B15" s="17" t="s">
        <v>951</v>
      </c>
      <c r="C15" t="s">
        <v>953</v>
      </c>
      <c r="D15" s="1">
        <v>42921</v>
      </c>
      <c r="E15" s="1">
        <v>42972</v>
      </c>
      <c r="F15">
        <f t="shared" si="0"/>
        <v>51</v>
      </c>
      <c r="L15" s="16"/>
    </row>
    <row r="16" spans="1:14" x14ac:dyDescent="0.2">
      <c r="A16" t="s">
        <v>1568</v>
      </c>
      <c r="B16" s="17" t="s">
        <v>951</v>
      </c>
      <c r="C16" t="s">
        <v>953</v>
      </c>
      <c r="D16" s="1">
        <v>42921</v>
      </c>
      <c r="E16" s="1">
        <v>42972</v>
      </c>
      <c r="F16">
        <f t="shared" si="0"/>
        <v>51</v>
      </c>
      <c r="L16" s="16"/>
    </row>
    <row r="17" spans="1:12" x14ac:dyDescent="0.2">
      <c r="A17" t="s">
        <v>1567</v>
      </c>
      <c r="B17" s="15" t="s">
        <v>954</v>
      </c>
      <c r="C17" t="s">
        <v>953</v>
      </c>
      <c r="D17" s="1">
        <v>42921</v>
      </c>
      <c r="E17" s="1">
        <v>42972</v>
      </c>
      <c r="F17">
        <f t="shared" si="0"/>
        <v>51</v>
      </c>
      <c r="L17" s="16"/>
    </row>
    <row r="18" spans="1:12" x14ac:dyDescent="0.2">
      <c r="A18" t="s">
        <v>1566</v>
      </c>
      <c r="B18" s="17" t="s">
        <v>951</v>
      </c>
      <c r="C18" t="s">
        <v>953</v>
      </c>
      <c r="D18" s="1">
        <v>42921</v>
      </c>
      <c r="E18" s="1">
        <v>42972</v>
      </c>
      <c r="F18">
        <f t="shared" si="0"/>
        <v>51</v>
      </c>
      <c r="L18" s="16"/>
    </row>
    <row r="19" spans="1:12" x14ac:dyDescent="0.2">
      <c r="A19" s="2" t="s">
        <v>1565</v>
      </c>
      <c r="B19" s="2"/>
      <c r="C19" t="s">
        <v>953</v>
      </c>
      <c r="D19" s="1">
        <v>42921</v>
      </c>
      <c r="E19" s="1">
        <v>42972</v>
      </c>
      <c r="F19">
        <f t="shared" si="0"/>
        <v>51</v>
      </c>
      <c r="L19" s="16"/>
    </row>
    <row r="20" spans="1:12" x14ac:dyDescent="0.2">
      <c r="A20" t="s">
        <v>1564</v>
      </c>
      <c r="B20" s="15" t="s">
        <v>954</v>
      </c>
      <c r="C20" t="s">
        <v>953</v>
      </c>
      <c r="D20" s="1">
        <v>42921</v>
      </c>
      <c r="E20" s="1">
        <v>42972</v>
      </c>
      <c r="F20">
        <f t="shared" si="0"/>
        <v>51</v>
      </c>
      <c r="L20" s="16"/>
    </row>
    <row r="21" spans="1:12" x14ac:dyDescent="0.2">
      <c r="A21" t="s">
        <v>1563</v>
      </c>
      <c r="B21" s="17" t="s">
        <v>951</v>
      </c>
      <c r="C21" t="s">
        <v>953</v>
      </c>
      <c r="D21" s="1">
        <v>42921</v>
      </c>
      <c r="E21" s="1">
        <v>42972</v>
      </c>
      <c r="F21">
        <f t="shared" si="0"/>
        <v>51</v>
      </c>
      <c r="L21" s="16"/>
    </row>
    <row r="22" spans="1:12" x14ac:dyDescent="0.2">
      <c r="A22" t="s">
        <v>1562</v>
      </c>
      <c r="B22" s="17" t="s">
        <v>951</v>
      </c>
      <c r="C22" t="s">
        <v>953</v>
      </c>
      <c r="D22" s="1">
        <v>42921</v>
      </c>
      <c r="E22" s="1">
        <v>42972</v>
      </c>
      <c r="F22">
        <f t="shared" si="0"/>
        <v>51</v>
      </c>
      <c r="L22" s="16"/>
    </row>
    <row r="23" spans="1:12" x14ac:dyDescent="0.2">
      <c r="A23" t="s">
        <v>1561</v>
      </c>
      <c r="B23" s="17" t="s">
        <v>951</v>
      </c>
      <c r="C23" t="s">
        <v>953</v>
      </c>
      <c r="D23" s="1">
        <v>42921</v>
      </c>
      <c r="E23" s="1">
        <v>42972</v>
      </c>
      <c r="F23">
        <f t="shared" si="0"/>
        <v>51</v>
      </c>
      <c r="L23" s="16"/>
    </row>
    <row r="24" spans="1:12" x14ac:dyDescent="0.2">
      <c r="A24" t="s">
        <v>1560</v>
      </c>
      <c r="B24" s="17" t="s">
        <v>951</v>
      </c>
      <c r="C24" t="s">
        <v>953</v>
      </c>
      <c r="D24" s="1">
        <v>42921</v>
      </c>
      <c r="E24" s="1">
        <v>42972</v>
      </c>
      <c r="F24">
        <f t="shared" si="0"/>
        <v>51</v>
      </c>
      <c r="L24" s="16"/>
    </row>
    <row r="25" spans="1:12" x14ac:dyDescent="0.2">
      <c r="A25" t="s">
        <v>1559</v>
      </c>
      <c r="B25" s="17" t="s">
        <v>951</v>
      </c>
      <c r="C25" t="s">
        <v>953</v>
      </c>
      <c r="D25" s="1">
        <v>42921</v>
      </c>
      <c r="E25" s="1">
        <v>42972</v>
      </c>
      <c r="F25">
        <f t="shared" si="0"/>
        <v>51</v>
      </c>
      <c r="L25" s="16"/>
    </row>
    <row r="26" spans="1:12" x14ac:dyDescent="0.2">
      <c r="A26" t="s">
        <v>1558</v>
      </c>
      <c r="B26" s="17" t="s">
        <v>951</v>
      </c>
      <c r="C26" t="s">
        <v>953</v>
      </c>
      <c r="D26" s="1">
        <v>42921</v>
      </c>
      <c r="E26" s="1">
        <v>42972</v>
      </c>
      <c r="F26">
        <f t="shared" si="0"/>
        <v>51</v>
      </c>
      <c r="L26" s="16"/>
    </row>
    <row r="27" spans="1:12" x14ac:dyDescent="0.2">
      <c r="A27" t="s">
        <v>1557</v>
      </c>
      <c r="B27" s="17" t="s">
        <v>951</v>
      </c>
      <c r="C27" t="s">
        <v>953</v>
      </c>
      <c r="D27" s="1">
        <v>42921</v>
      </c>
      <c r="E27" s="1">
        <v>42972</v>
      </c>
      <c r="F27">
        <f t="shared" si="0"/>
        <v>51</v>
      </c>
      <c r="L27" s="16"/>
    </row>
    <row r="28" spans="1:12" x14ac:dyDescent="0.2">
      <c r="A28" t="s">
        <v>1556</v>
      </c>
      <c r="B28" s="17" t="s">
        <v>951</v>
      </c>
      <c r="C28" t="s">
        <v>953</v>
      </c>
      <c r="D28" s="1">
        <v>42921</v>
      </c>
      <c r="E28" s="1">
        <v>42972</v>
      </c>
      <c r="F28">
        <f t="shared" si="0"/>
        <v>51</v>
      </c>
      <c r="L28" s="16"/>
    </row>
    <row r="29" spans="1:12" x14ac:dyDescent="0.2">
      <c r="A29" t="s">
        <v>1555</v>
      </c>
      <c r="B29" s="17" t="s">
        <v>951</v>
      </c>
      <c r="C29" t="s">
        <v>953</v>
      </c>
      <c r="D29" s="1">
        <v>42921</v>
      </c>
      <c r="E29" s="1">
        <v>42972</v>
      </c>
      <c r="F29">
        <f t="shared" si="0"/>
        <v>51</v>
      </c>
      <c r="L29" s="16"/>
    </row>
    <row r="30" spans="1:12" x14ac:dyDescent="0.2">
      <c r="A30" s="2" t="s">
        <v>1554</v>
      </c>
      <c r="B30" s="2"/>
      <c r="C30" t="s">
        <v>953</v>
      </c>
      <c r="D30" s="1">
        <v>42921</v>
      </c>
      <c r="E30" s="1">
        <v>42972</v>
      </c>
      <c r="F30">
        <f t="shared" si="0"/>
        <v>51</v>
      </c>
      <c r="L30" s="16"/>
    </row>
    <row r="31" spans="1:12" x14ac:dyDescent="0.2">
      <c r="A31" t="s">
        <v>1553</v>
      </c>
      <c r="B31" s="17" t="s">
        <v>951</v>
      </c>
      <c r="C31" t="s">
        <v>953</v>
      </c>
      <c r="D31" s="1">
        <v>42921</v>
      </c>
      <c r="E31" s="1">
        <v>42972</v>
      </c>
      <c r="F31">
        <f t="shared" si="0"/>
        <v>51</v>
      </c>
      <c r="L31" s="16"/>
    </row>
    <row r="32" spans="1:12" x14ac:dyDescent="0.2">
      <c r="A32" t="s">
        <v>1552</v>
      </c>
      <c r="B32" s="17" t="s">
        <v>951</v>
      </c>
      <c r="C32" t="s">
        <v>953</v>
      </c>
      <c r="D32" s="1">
        <v>42921</v>
      </c>
      <c r="E32" s="1">
        <v>42972</v>
      </c>
      <c r="F32">
        <f t="shared" si="0"/>
        <v>51</v>
      </c>
      <c r="L32" s="16"/>
    </row>
    <row r="33" spans="1:12" x14ac:dyDescent="0.2">
      <c r="A33" t="s">
        <v>1551</v>
      </c>
      <c r="B33" s="17" t="s">
        <v>951</v>
      </c>
      <c r="C33" t="s">
        <v>953</v>
      </c>
      <c r="D33" s="1">
        <v>42921</v>
      </c>
      <c r="E33" s="1">
        <v>42972</v>
      </c>
      <c r="F33">
        <f t="shared" si="0"/>
        <v>51</v>
      </c>
      <c r="L33" s="16"/>
    </row>
    <row r="34" spans="1:12" x14ac:dyDescent="0.2">
      <c r="A34" t="s">
        <v>1550</v>
      </c>
      <c r="B34" s="17" t="s">
        <v>951</v>
      </c>
      <c r="C34" t="s">
        <v>953</v>
      </c>
      <c r="D34" s="1">
        <v>42921</v>
      </c>
      <c r="E34" s="1">
        <v>42972</v>
      </c>
      <c r="F34">
        <f t="shared" si="0"/>
        <v>51</v>
      </c>
      <c r="L34" s="16"/>
    </row>
    <row r="35" spans="1:12" x14ac:dyDescent="0.2">
      <c r="A35" t="s">
        <v>1549</v>
      </c>
      <c r="B35" s="17" t="s">
        <v>951</v>
      </c>
      <c r="C35" t="s">
        <v>953</v>
      </c>
      <c r="D35" s="1">
        <v>42921</v>
      </c>
      <c r="E35" s="1">
        <v>42972</v>
      </c>
      <c r="F35">
        <f t="shared" si="0"/>
        <v>51</v>
      </c>
      <c r="L35" s="16"/>
    </row>
    <row r="36" spans="1:12" x14ac:dyDescent="0.2">
      <c r="A36" t="s">
        <v>1548</v>
      </c>
      <c r="B36" s="17" t="s">
        <v>951</v>
      </c>
      <c r="C36" t="s">
        <v>953</v>
      </c>
      <c r="D36" s="1">
        <v>42921</v>
      </c>
      <c r="E36" s="1">
        <v>42972</v>
      </c>
      <c r="F36">
        <f t="shared" si="0"/>
        <v>51</v>
      </c>
      <c r="L36" s="16"/>
    </row>
    <row r="37" spans="1:12" x14ac:dyDescent="0.2">
      <c r="A37" t="s">
        <v>1547</v>
      </c>
      <c r="B37" s="17" t="s">
        <v>951</v>
      </c>
      <c r="C37" t="s">
        <v>953</v>
      </c>
      <c r="D37" s="1">
        <v>42921</v>
      </c>
      <c r="E37" s="1">
        <v>42972</v>
      </c>
      <c r="F37">
        <f t="shared" si="0"/>
        <v>51</v>
      </c>
      <c r="L37" s="16"/>
    </row>
    <row r="38" spans="1:12" x14ac:dyDescent="0.2">
      <c r="A38" t="s">
        <v>1546</v>
      </c>
      <c r="B38" s="17" t="s">
        <v>951</v>
      </c>
      <c r="C38" t="s">
        <v>953</v>
      </c>
      <c r="D38" s="1">
        <v>42921</v>
      </c>
      <c r="E38" s="1">
        <v>42972</v>
      </c>
      <c r="F38">
        <f t="shared" si="0"/>
        <v>51</v>
      </c>
      <c r="L38" s="16"/>
    </row>
    <row r="39" spans="1:12" x14ac:dyDescent="0.2">
      <c r="A39" t="s">
        <v>1545</v>
      </c>
      <c r="B39" s="17" t="s">
        <v>951</v>
      </c>
      <c r="C39" t="s">
        <v>953</v>
      </c>
      <c r="D39" s="1">
        <v>42921</v>
      </c>
      <c r="E39" s="1">
        <v>42972</v>
      </c>
      <c r="F39">
        <f t="shared" si="0"/>
        <v>51</v>
      </c>
      <c r="L39" s="16"/>
    </row>
    <row r="40" spans="1:12" x14ac:dyDescent="0.2">
      <c r="A40" t="s">
        <v>1544</v>
      </c>
      <c r="B40" s="17" t="s">
        <v>951</v>
      </c>
      <c r="C40" t="s">
        <v>953</v>
      </c>
      <c r="D40" s="1">
        <v>42921</v>
      </c>
      <c r="E40" s="1">
        <v>42972</v>
      </c>
      <c r="F40">
        <f t="shared" si="0"/>
        <v>51</v>
      </c>
      <c r="L40" s="16"/>
    </row>
    <row r="41" spans="1:12" x14ac:dyDescent="0.2">
      <c r="A41" t="s">
        <v>1543</v>
      </c>
      <c r="B41" s="17" t="s">
        <v>951</v>
      </c>
      <c r="C41" t="s">
        <v>953</v>
      </c>
      <c r="D41" s="1">
        <v>42921</v>
      </c>
      <c r="E41" s="1">
        <v>42972</v>
      </c>
      <c r="F41">
        <f t="shared" si="0"/>
        <v>51</v>
      </c>
      <c r="L41" s="16"/>
    </row>
    <row r="42" spans="1:12" x14ac:dyDescent="0.2">
      <c r="A42" t="s">
        <v>1542</v>
      </c>
      <c r="B42" s="17" t="s">
        <v>951</v>
      </c>
      <c r="C42" t="s">
        <v>953</v>
      </c>
      <c r="D42" s="1">
        <v>42921</v>
      </c>
      <c r="E42" s="1">
        <v>42972</v>
      </c>
      <c r="F42">
        <f t="shared" si="0"/>
        <v>51</v>
      </c>
      <c r="L42" s="16"/>
    </row>
    <row r="43" spans="1:12" x14ac:dyDescent="0.2">
      <c r="A43" t="s">
        <v>1541</v>
      </c>
      <c r="B43" s="17" t="s">
        <v>951</v>
      </c>
      <c r="C43" t="s">
        <v>953</v>
      </c>
      <c r="D43" s="1">
        <v>42921</v>
      </c>
      <c r="E43" s="1">
        <v>42972</v>
      </c>
      <c r="F43">
        <f t="shared" si="0"/>
        <v>51</v>
      </c>
      <c r="L43" s="16"/>
    </row>
    <row r="44" spans="1:12" x14ac:dyDescent="0.2">
      <c r="A44" t="s">
        <v>1540</v>
      </c>
      <c r="B44" s="15" t="s">
        <v>954</v>
      </c>
      <c r="C44" t="s">
        <v>953</v>
      </c>
      <c r="D44" s="1">
        <v>42921</v>
      </c>
      <c r="E44" s="1">
        <v>42972</v>
      </c>
      <c r="F44">
        <f t="shared" si="0"/>
        <v>51</v>
      </c>
      <c r="L44" s="16"/>
    </row>
    <row r="45" spans="1:12" x14ac:dyDescent="0.2">
      <c r="A45" t="s">
        <v>1539</v>
      </c>
      <c r="B45" s="17" t="s">
        <v>951</v>
      </c>
      <c r="C45" t="s">
        <v>953</v>
      </c>
      <c r="D45" s="1">
        <v>42921</v>
      </c>
      <c r="E45" s="1">
        <v>42972</v>
      </c>
      <c r="F45">
        <f t="shared" si="0"/>
        <v>51</v>
      </c>
      <c r="L45" s="16"/>
    </row>
    <row r="46" spans="1:12" x14ac:dyDescent="0.2">
      <c r="A46" t="s">
        <v>1538</v>
      </c>
      <c r="B46" s="17" t="s">
        <v>951</v>
      </c>
      <c r="C46" t="s">
        <v>953</v>
      </c>
      <c r="D46" s="1">
        <v>42921</v>
      </c>
      <c r="E46" s="1">
        <v>42972</v>
      </c>
      <c r="F46">
        <f t="shared" si="0"/>
        <v>51</v>
      </c>
      <c r="L46" s="16"/>
    </row>
    <row r="47" spans="1:12" x14ac:dyDescent="0.2">
      <c r="A47" t="s">
        <v>1537</v>
      </c>
      <c r="B47" s="17" t="s">
        <v>951</v>
      </c>
      <c r="C47" t="s">
        <v>953</v>
      </c>
      <c r="D47" s="1">
        <v>42921</v>
      </c>
      <c r="E47" s="1">
        <v>42972</v>
      </c>
      <c r="F47">
        <f t="shared" si="0"/>
        <v>51</v>
      </c>
      <c r="L47" s="16"/>
    </row>
    <row r="48" spans="1:12" x14ac:dyDescent="0.2">
      <c r="A48" t="s">
        <v>1536</v>
      </c>
      <c r="B48" s="17" t="s">
        <v>951</v>
      </c>
      <c r="C48" t="s">
        <v>953</v>
      </c>
      <c r="D48" s="1">
        <v>42921</v>
      </c>
      <c r="E48" s="1">
        <v>42972</v>
      </c>
      <c r="F48">
        <f t="shared" si="0"/>
        <v>51</v>
      </c>
      <c r="L48" s="16"/>
    </row>
    <row r="49" spans="1:12" x14ac:dyDescent="0.2">
      <c r="A49" t="s">
        <v>1535</v>
      </c>
      <c r="B49" s="17" t="s">
        <v>951</v>
      </c>
      <c r="C49" t="s">
        <v>953</v>
      </c>
      <c r="D49" s="1">
        <v>42921</v>
      </c>
      <c r="E49" s="1">
        <v>42972</v>
      </c>
      <c r="F49">
        <f t="shared" si="0"/>
        <v>51</v>
      </c>
      <c r="L49" s="16"/>
    </row>
    <row r="50" spans="1:12" x14ac:dyDescent="0.2">
      <c r="A50" t="s">
        <v>1534</v>
      </c>
      <c r="B50" s="17" t="s">
        <v>951</v>
      </c>
      <c r="C50" t="s">
        <v>953</v>
      </c>
      <c r="D50" s="1">
        <v>42921</v>
      </c>
      <c r="E50" s="1">
        <v>42972</v>
      </c>
      <c r="F50">
        <f t="shared" si="0"/>
        <v>51</v>
      </c>
      <c r="L50" s="16"/>
    </row>
    <row r="51" spans="1:12" x14ac:dyDescent="0.2">
      <c r="A51" t="s">
        <v>1533</v>
      </c>
      <c r="B51" s="15" t="s">
        <v>954</v>
      </c>
      <c r="C51" t="s">
        <v>953</v>
      </c>
      <c r="D51" s="1">
        <v>42921</v>
      </c>
      <c r="E51" s="1">
        <v>42972</v>
      </c>
      <c r="F51">
        <f t="shared" si="0"/>
        <v>51</v>
      </c>
      <c r="L51" s="16"/>
    </row>
    <row r="52" spans="1:12" x14ac:dyDescent="0.2">
      <c r="A52" t="s">
        <v>1532</v>
      </c>
      <c r="B52" s="17" t="s">
        <v>951</v>
      </c>
      <c r="C52" t="s">
        <v>953</v>
      </c>
      <c r="D52" s="1">
        <v>42921</v>
      </c>
      <c r="E52" s="1">
        <v>42972</v>
      </c>
      <c r="F52">
        <f t="shared" si="0"/>
        <v>51</v>
      </c>
      <c r="L52" s="16"/>
    </row>
    <row r="53" spans="1:12" x14ac:dyDescent="0.2">
      <c r="A53" t="s">
        <v>1531</v>
      </c>
      <c r="B53" s="17" t="s">
        <v>951</v>
      </c>
      <c r="C53" t="s">
        <v>953</v>
      </c>
      <c r="D53" s="1">
        <v>42921</v>
      </c>
      <c r="E53" s="1">
        <v>42972</v>
      </c>
      <c r="F53">
        <f t="shared" si="0"/>
        <v>51</v>
      </c>
      <c r="L53" s="16"/>
    </row>
    <row r="54" spans="1:12" x14ac:dyDescent="0.2">
      <c r="A54" t="s">
        <v>1530</v>
      </c>
      <c r="B54" s="17" t="s">
        <v>951</v>
      </c>
      <c r="C54" t="s">
        <v>953</v>
      </c>
      <c r="D54" s="1">
        <v>42921</v>
      </c>
      <c r="E54" s="1">
        <v>42972</v>
      </c>
      <c r="F54">
        <f t="shared" si="0"/>
        <v>51</v>
      </c>
      <c r="L54" s="16"/>
    </row>
    <row r="55" spans="1:12" x14ac:dyDescent="0.2">
      <c r="A55" t="s">
        <v>1529</v>
      </c>
      <c r="B55" s="17" t="s">
        <v>951</v>
      </c>
      <c r="C55" t="s">
        <v>953</v>
      </c>
      <c r="D55" s="1">
        <v>42921</v>
      </c>
      <c r="E55" s="1">
        <v>42972</v>
      </c>
      <c r="F55">
        <f t="shared" si="0"/>
        <v>51</v>
      </c>
      <c r="L55" s="16"/>
    </row>
    <row r="56" spans="1:12" x14ac:dyDescent="0.2">
      <c r="A56" t="s">
        <v>1528</v>
      </c>
      <c r="B56" s="17" t="s">
        <v>951</v>
      </c>
      <c r="C56" t="s">
        <v>953</v>
      </c>
      <c r="D56" s="1">
        <v>42921</v>
      </c>
      <c r="E56" s="1">
        <v>42972</v>
      </c>
      <c r="F56">
        <f t="shared" si="0"/>
        <v>51</v>
      </c>
      <c r="L56" s="16"/>
    </row>
    <row r="57" spans="1:12" x14ac:dyDescent="0.2">
      <c r="A57" t="s">
        <v>1527</v>
      </c>
      <c r="B57" s="17" t="s">
        <v>951</v>
      </c>
      <c r="C57" t="s">
        <v>953</v>
      </c>
      <c r="D57" s="1">
        <v>42921</v>
      </c>
      <c r="E57" s="1">
        <v>42972</v>
      </c>
      <c r="F57">
        <f t="shared" si="0"/>
        <v>51</v>
      </c>
      <c r="L57" s="16"/>
    </row>
    <row r="58" spans="1:12" x14ac:dyDescent="0.2">
      <c r="A58" t="s">
        <v>1526</v>
      </c>
      <c r="B58" s="17" t="s">
        <v>951</v>
      </c>
      <c r="C58" t="s">
        <v>953</v>
      </c>
      <c r="D58" s="1">
        <v>42921</v>
      </c>
      <c r="E58" s="1">
        <v>42972</v>
      </c>
      <c r="F58">
        <f t="shared" si="0"/>
        <v>51</v>
      </c>
      <c r="L58" s="16"/>
    </row>
    <row r="59" spans="1:12" x14ac:dyDescent="0.2">
      <c r="A59" t="s">
        <v>1525</v>
      </c>
      <c r="B59" s="17" t="s">
        <v>951</v>
      </c>
      <c r="C59" t="s">
        <v>953</v>
      </c>
      <c r="D59" s="1">
        <v>42921</v>
      </c>
      <c r="E59" s="1">
        <v>42972</v>
      </c>
      <c r="F59">
        <f t="shared" si="0"/>
        <v>51</v>
      </c>
      <c r="L59" s="16"/>
    </row>
    <row r="60" spans="1:12" x14ac:dyDescent="0.2">
      <c r="A60" t="s">
        <v>1524</v>
      </c>
      <c r="B60" s="17" t="s">
        <v>951</v>
      </c>
      <c r="C60" t="s">
        <v>953</v>
      </c>
      <c r="D60" s="1">
        <v>42921</v>
      </c>
      <c r="E60" s="1">
        <v>42972</v>
      </c>
      <c r="F60">
        <f t="shared" si="0"/>
        <v>51</v>
      </c>
      <c r="L60" s="16"/>
    </row>
    <row r="61" spans="1:12" x14ac:dyDescent="0.2">
      <c r="A61" t="s">
        <v>1523</v>
      </c>
      <c r="B61" s="17" t="s">
        <v>951</v>
      </c>
      <c r="C61" t="s">
        <v>953</v>
      </c>
      <c r="D61" s="1">
        <v>42921</v>
      </c>
      <c r="E61" s="1">
        <v>42972</v>
      </c>
      <c r="F61">
        <f t="shared" si="0"/>
        <v>51</v>
      </c>
      <c r="L61" s="16"/>
    </row>
    <row r="62" spans="1:12" x14ac:dyDescent="0.2">
      <c r="A62" t="s">
        <v>1522</v>
      </c>
      <c r="B62" s="17" t="s">
        <v>951</v>
      </c>
      <c r="C62" t="s">
        <v>953</v>
      </c>
      <c r="D62" s="1">
        <v>42921</v>
      </c>
      <c r="E62" s="1">
        <v>42972</v>
      </c>
      <c r="F62">
        <f t="shared" si="0"/>
        <v>51</v>
      </c>
      <c r="L62" s="16"/>
    </row>
    <row r="63" spans="1:12" x14ac:dyDescent="0.2">
      <c r="A63" t="s">
        <v>1521</v>
      </c>
      <c r="B63" s="17" t="s">
        <v>951</v>
      </c>
      <c r="C63" t="s">
        <v>953</v>
      </c>
      <c r="D63" s="1">
        <v>42921</v>
      </c>
      <c r="E63" s="1">
        <v>42972</v>
      </c>
      <c r="F63">
        <f t="shared" si="0"/>
        <v>51</v>
      </c>
      <c r="L63" s="16"/>
    </row>
    <row r="64" spans="1:12" x14ac:dyDescent="0.2">
      <c r="A64" t="s">
        <v>1520</v>
      </c>
      <c r="B64" s="17" t="s">
        <v>951</v>
      </c>
      <c r="C64" t="s">
        <v>953</v>
      </c>
      <c r="D64" s="1">
        <v>42921</v>
      </c>
      <c r="E64" s="1">
        <v>42972</v>
      </c>
      <c r="F64">
        <f t="shared" si="0"/>
        <v>51</v>
      </c>
      <c r="L64" s="16"/>
    </row>
    <row r="65" spans="1:12" x14ac:dyDescent="0.2">
      <c r="A65" t="s">
        <v>1519</v>
      </c>
      <c r="B65" s="17" t="s">
        <v>951</v>
      </c>
      <c r="C65" t="s">
        <v>953</v>
      </c>
      <c r="D65" s="1">
        <v>42921</v>
      </c>
      <c r="E65" s="1">
        <v>42972</v>
      </c>
      <c r="F65">
        <f t="shared" si="0"/>
        <v>51</v>
      </c>
      <c r="L65" s="16"/>
    </row>
    <row r="66" spans="1:12" x14ac:dyDescent="0.2">
      <c r="A66" t="s">
        <v>1518</v>
      </c>
      <c r="B66" s="17" t="s">
        <v>951</v>
      </c>
      <c r="C66" t="s">
        <v>953</v>
      </c>
      <c r="D66" s="1">
        <v>42921</v>
      </c>
      <c r="E66" s="1">
        <v>42972</v>
      </c>
      <c r="F66">
        <f t="shared" ref="F66:F129" si="1">E66-D66</f>
        <v>51</v>
      </c>
      <c r="L66" s="16"/>
    </row>
    <row r="67" spans="1:12" x14ac:dyDescent="0.2">
      <c r="A67" t="s">
        <v>1517</v>
      </c>
      <c r="B67" s="15" t="s">
        <v>954</v>
      </c>
      <c r="C67" t="s">
        <v>953</v>
      </c>
      <c r="D67" s="1">
        <v>42921</v>
      </c>
      <c r="E67" s="1">
        <v>42972</v>
      </c>
      <c r="F67">
        <f t="shared" si="1"/>
        <v>51</v>
      </c>
      <c r="L67" s="16"/>
    </row>
    <row r="68" spans="1:12" x14ac:dyDescent="0.2">
      <c r="A68" t="s">
        <v>1516</v>
      </c>
      <c r="B68" s="17" t="s">
        <v>951</v>
      </c>
      <c r="C68" t="s">
        <v>953</v>
      </c>
      <c r="D68" s="1">
        <v>42921</v>
      </c>
      <c r="E68" s="1">
        <v>42972</v>
      </c>
      <c r="F68">
        <f t="shared" si="1"/>
        <v>51</v>
      </c>
      <c r="L68" s="16"/>
    </row>
    <row r="69" spans="1:12" x14ac:dyDescent="0.2">
      <c r="A69" t="s">
        <v>1515</v>
      </c>
      <c r="B69" s="17" t="s">
        <v>951</v>
      </c>
      <c r="C69" t="s">
        <v>953</v>
      </c>
      <c r="D69" s="1">
        <v>42921</v>
      </c>
      <c r="E69" s="1">
        <v>42972</v>
      </c>
      <c r="F69">
        <f t="shared" si="1"/>
        <v>51</v>
      </c>
      <c r="L69" s="16"/>
    </row>
    <row r="70" spans="1:12" x14ac:dyDescent="0.2">
      <c r="A70" t="s">
        <v>1514</v>
      </c>
      <c r="B70" s="17" t="s">
        <v>951</v>
      </c>
      <c r="C70" t="s">
        <v>953</v>
      </c>
      <c r="D70" s="1">
        <v>42921</v>
      </c>
      <c r="E70" s="1">
        <v>42972</v>
      </c>
      <c r="F70">
        <f t="shared" si="1"/>
        <v>51</v>
      </c>
      <c r="L70" s="16"/>
    </row>
    <row r="71" spans="1:12" x14ac:dyDescent="0.2">
      <c r="A71" t="s">
        <v>1513</v>
      </c>
      <c r="B71" s="17" t="s">
        <v>951</v>
      </c>
      <c r="C71" t="s">
        <v>953</v>
      </c>
      <c r="D71" s="1">
        <v>42921</v>
      </c>
      <c r="E71" s="1">
        <v>42972</v>
      </c>
      <c r="F71">
        <f t="shared" si="1"/>
        <v>51</v>
      </c>
      <c r="L71" s="16"/>
    </row>
    <row r="72" spans="1:12" x14ac:dyDescent="0.2">
      <c r="A72" t="s">
        <v>1512</v>
      </c>
      <c r="B72" s="17" t="s">
        <v>951</v>
      </c>
      <c r="C72" t="s">
        <v>953</v>
      </c>
      <c r="D72" s="1">
        <v>42921</v>
      </c>
      <c r="E72" s="1">
        <v>42972</v>
      </c>
      <c r="F72">
        <f t="shared" si="1"/>
        <v>51</v>
      </c>
      <c r="L72" s="16"/>
    </row>
    <row r="73" spans="1:12" x14ac:dyDescent="0.2">
      <c r="A73" t="s">
        <v>1511</v>
      </c>
      <c r="B73" s="17" t="s">
        <v>951</v>
      </c>
      <c r="C73" t="s">
        <v>953</v>
      </c>
      <c r="D73" s="1">
        <v>42921</v>
      </c>
      <c r="E73" s="1">
        <v>42972</v>
      </c>
      <c r="F73">
        <f t="shared" si="1"/>
        <v>51</v>
      </c>
      <c r="L73" s="16"/>
    </row>
    <row r="74" spans="1:12" x14ac:dyDescent="0.2">
      <c r="A74" t="s">
        <v>1510</v>
      </c>
      <c r="B74" s="17" t="s">
        <v>951</v>
      </c>
      <c r="C74" t="s">
        <v>953</v>
      </c>
      <c r="D74" s="1">
        <v>42921</v>
      </c>
      <c r="E74" s="1">
        <v>42972</v>
      </c>
      <c r="F74">
        <f t="shared" si="1"/>
        <v>51</v>
      </c>
      <c r="L74" s="16"/>
    </row>
    <row r="75" spans="1:12" x14ac:dyDescent="0.2">
      <c r="A75" t="s">
        <v>1509</v>
      </c>
      <c r="B75" s="17" t="s">
        <v>951</v>
      </c>
      <c r="C75" t="s">
        <v>953</v>
      </c>
      <c r="D75" s="1">
        <v>42921</v>
      </c>
      <c r="E75" s="1">
        <v>42972</v>
      </c>
      <c r="F75">
        <f t="shared" si="1"/>
        <v>51</v>
      </c>
      <c r="L75" s="16"/>
    </row>
    <row r="76" spans="1:12" x14ac:dyDescent="0.2">
      <c r="A76" t="s">
        <v>1508</v>
      </c>
      <c r="B76" s="17" t="s">
        <v>951</v>
      </c>
      <c r="C76" t="s">
        <v>953</v>
      </c>
      <c r="D76" s="1">
        <v>42921</v>
      </c>
      <c r="E76" s="1">
        <v>42972</v>
      </c>
      <c r="F76">
        <f t="shared" si="1"/>
        <v>51</v>
      </c>
      <c r="L76" s="16"/>
    </row>
    <row r="77" spans="1:12" x14ac:dyDescent="0.2">
      <c r="A77" t="s">
        <v>1507</v>
      </c>
      <c r="B77" s="17" t="s">
        <v>951</v>
      </c>
      <c r="C77" t="s">
        <v>953</v>
      </c>
      <c r="D77" s="1">
        <v>42921</v>
      </c>
      <c r="E77" s="1">
        <v>42972</v>
      </c>
      <c r="F77">
        <f t="shared" si="1"/>
        <v>51</v>
      </c>
      <c r="L77" s="16"/>
    </row>
    <row r="78" spans="1:12" x14ac:dyDescent="0.2">
      <c r="A78" t="s">
        <v>1506</v>
      </c>
      <c r="B78" s="17" t="s">
        <v>951</v>
      </c>
      <c r="C78" t="s">
        <v>953</v>
      </c>
      <c r="D78" s="1">
        <v>42921</v>
      </c>
      <c r="E78" s="1">
        <v>42972</v>
      </c>
      <c r="F78">
        <f t="shared" si="1"/>
        <v>51</v>
      </c>
      <c r="L78" s="16"/>
    </row>
    <row r="79" spans="1:12" x14ac:dyDescent="0.2">
      <c r="A79" t="s">
        <v>1505</v>
      </c>
      <c r="B79" s="17" t="s">
        <v>951</v>
      </c>
      <c r="C79" t="s">
        <v>953</v>
      </c>
      <c r="D79" s="1">
        <v>42921</v>
      </c>
      <c r="E79" s="1">
        <v>42972</v>
      </c>
      <c r="F79">
        <f t="shared" si="1"/>
        <v>51</v>
      </c>
      <c r="L79" s="16"/>
    </row>
    <row r="80" spans="1:12" x14ac:dyDescent="0.2">
      <c r="A80" t="s">
        <v>1504</v>
      </c>
      <c r="B80" s="17" t="s">
        <v>951</v>
      </c>
      <c r="C80" t="s">
        <v>953</v>
      </c>
      <c r="D80" s="1">
        <v>42921</v>
      </c>
      <c r="E80" s="1">
        <v>42972</v>
      </c>
      <c r="F80">
        <f t="shared" si="1"/>
        <v>51</v>
      </c>
      <c r="L80" s="16"/>
    </row>
    <row r="81" spans="1:12" x14ac:dyDescent="0.2">
      <c r="A81" t="s">
        <v>1503</v>
      </c>
      <c r="B81" s="17" t="s">
        <v>951</v>
      </c>
      <c r="C81" t="s">
        <v>953</v>
      </c>
      <c r="D81" s="1">
        <v>42921</v>
      </c>
      <c r="E81" s="1">
        <v>42972</v>
      </c>
      <c r="F81">
        <f t="shared" si="1"/>
        <v>51</v>
      </c>
      <c r="L81" s="16"/>
    </row>
    <row r="82" spans="1:12" x14ac:dyDescent="0.2">
      <c r="A82" t="s">
        <v>1502</v>
      </c>
      <c r="B82" s="17" t="s">
        <v>951</v>
      </c>
      <c r="C82" t="s">
        <v>953</v>
      </c>
      <c r="D82" s="1">
        <v>42921</v>
      </c>
      <c r="E82" s="1">
        <v>42972</v>
      </c>
      <c r="F82">
        <f t="shared" si="1"/>
        <v>51</v>
      </c>
      <c r="L82" s="16"/>
    </row>
    <row r="83" spans="1:12" x14ac:dyDescent="0.2">
      <c r="A83" t="s">
        <v>1501</v>
      </c>
      <c r="B83" s="17" t="s">
        <v>951</v>
      </c>
      <c r="C83" t="s">
        <v>953</v>
      </c>
      <c r="D83" s="1">
        <v>42921</v>
      </c>
      <c r="E83" s="1">
        <v>42972</v>
      </c>
      <c r="F83">
        <f t="shared" si="1"/>
        <v>51</v>
      </c>
      <c r="L83" s="16"/>
    </row>
    <row r="84" spans="1:12" x14ac:dyDescent="0.2">
      <c r="A84" t="s">
        <v>1500</v>
      </c>
      <c r="B84" s="17" t="s">
        <v>951</v>
      </c>
      <c r="C84" t="s">
        <v>953</v>
      </c>
      <c r="D84" s="1">
        <v>42921</v>
      </c>
      <c r="E84" s="1">
        <v>42972</v>
      </c>
      <c r="F84">
        <f t="shared" si="1"/>
        <v>51</v>
      </c>
      <c r="L84" s="16"/>
    </row>
    <row r="85" spans="1:12" x14ac:dyDescent="0.2">
      <c r="A85" s="2" t="s">
        <v>1499</v>
      </c>
      <c r="B85" s="2"/>
      <c r="C85" t="s">
        <v>953</v>
      </c>
      <c r="D85" s="1">
        <v>42921</v>
      </c>
      <c r="E85" s="1">
        <v>42972</v>
      </c>
      <c r="F85">
        <f t="shared" si="1"/>
        <v>51</v>
      </c>
      <c r="L85" s="16"/>
    </row>
    <row r="86" spans="1:12" x14ac:dyDescent="0.2">
      <c r="A86" t="s">
        <v>1498</v>
      </c>
      <c r="B86" s="17" t="s">
        <v>951</v>
      </c>
      <c r="C86" t="s">
        <v>953</v>
      </c>
      <c r="D86" s="1">
        <v>42921</v>
      </c>
      <c r="E86" s="1">
        <v>42972</v>
      </c>
      <c r="F86">
        <f t="shared" si="1"/>
        <v>51</v>
      </c>
      <c r="L86" s="16"/>
    </row>
    <row r="87" spans="1:12" x14ac:dyDescent="0.2">
      <c r="A87" t="s">
        <v>1497</v>
      </c>
      <c r="B87" s="17" t="s">
        <v>951</v>
      </c>
      <c r="C87" t="s">
        <v>953</v>
      </c>
      <c r="D87" s="1">
        <v>42921</v>
      </c>
      <c r="E87" s="1">
        <v>42972</v>
      </c>
      <c r="F87">
        <f t="shared" si="1"/>
        <v>51</v>
      </c>
      <c r="L87" s="16"/>
    </row>
    <row r="88" spans="1:12" x14ac:dyDescent="0.2">
      <c r="A88" t="s">
        <v>1496</v>
      </c>
      <c r="B88" s="17" t="s">
        <v>951</v>
      </c>
      <c r="C88" t="s">
        <v>953</v>
      </c>
      <c r="D88" s="1">
        <v>42921</v>
      </c>
      <c r="E88" s="1">
        <v>42972</v>
      </c>
      <c r="F88">
        <f t="shared" si="1"/>
        <v>51</v>
      </c>
      <c r="L88" s="16"/>
    </row>
    <row r="89" spans="1:12" x14ac:dyDescent="0.2">
      <c r="A89" t="s">
        <v>1495</v>
      </c>
      <c r="B89" s="17" t="s">
        <v>951</v>
      </c>
      <c r="C89" t="s">
        <v>953</v>
      </c>
      <c r="D89" s="1">
        <v>42921</v>
      </c>
      <c r="E89" s="1">
        <v>42972</v>
      </c>
      <c r="F89">
        <f t="shared" si="1"/>
        <v>51</v>
      </c>
      <c r="L89" s="16"/>
    </row>
    <row r="90" spans="1:12" x14ac:dyDescent="0.2">
      <c r="A90" t="s">
        <v>1494</v>
      </c>
      <c r="B90" s="17" t="s">
        <v>951</v>
      </c>
      <c r="C90" t="s">
        <v>953</v>
      </c>
      <c r="D90" s="1">
        <v>42921</v>
      </c>
      <c r="E90" s="1">
        <v>42972</v>
      </c>
      <c r="F90">
        <f t="shared" si="1"/>
        <v>51</v>
      </c>
      <c r="L90" s="16"/>
    </row>
    <row r="91" spans="1:12" x14ac:dyDescent="0.2">
      <c r="A91" s="2" t="s">
        <v>1493</v>
      </c>
      <c r="B91" s="2"/>
      <c r="C91" t="s">
        <v>953</v>
      </c>
      <c r="D91" s="1">
        <v>42921</v>
      </c>
      <c r="E91" s="1">
        <v>42972</v>
      </c>
      <c r="F91">
        <f t="shared" si="1"/>
        <v>51</v>
      </c>
      <c r="L91" s="16"/>
    </row>
    <row r="92" spans="1:12" x14ac:dyDescent="0.2">
      <c r="A92" t="s">
        <v>1492</v>
      </c>
      <c r="B92" s="17" t="s">
        <v>951</v>
      </c>
      <c r="C92" t="s">
        <v>953</v>
      </c>
      <c r="D92" s="1">
        <v>42921</v>
      </c>
      <c r="E92" s="1">
        <v>42972</v>
      </c>
      <c r="F92">
        <f t="shared" si="1"/>
        <v>51</v>
      </c>
      <c r="L92" s="16"/>
    </row>
    <row r="93" spans="1:12" x14ac:dyDescent="0.2">
      <c r="A93" t="s">
        <v>1491</v>
      </c>
      <c r="B93" s="17" t="s">
        <v>951</v>
      </c>
      <c r="C93" t="s">
        <v>953</v>
      </c>
      <c r="D93" s="1">
        <v>42921</v>
      </c>
      <c r="E93" s="1">
        <v>42972</v>
      </c>
      <c r="F93">
        <f t="shared" si="1"/>
        <v>51</v>
      </c>
      <c r="L93" s="16"/>
    </row>
    <row r="94" spans="1:12" x14ac:dyDescent="0.2">
      <c r="A94" t="s">
        <v>1490</v>
      </c>
      <c r="B94" s="17" t="s">
        <v>951</v>
      </c>
      <c r="C94" t="s">
        <v>953</v>
      </c>
      <c r="D94" s="1">
        <v>42921</v>
      </c>
      <c r="E94" s="1">
        <v>42972</v>
      </c>
      <c r="F94">
        <f t="shared" si="1"/>
        <v>51</v>
      </c>
      <c r="L94" s="16"/>
    </row>
    <row r="95" spans="1:12" x14ac:dyDescent="0.2">
      <c r="A95" t="s">
        <v>1489</v>
      </c>
      <c r="B95" s="17" t="s">
        <v>951</v>
      </c>
      <c r="C95" t="s">
        <v>953</v>
      </c>
      <c r="D95" s="1">
        <v>42921</v>
      </c>
      <c r="E95" s="1">
        <v>42972</v>
      </c>
      <c r="F95">
        <f t="shared" si="1"/>
        <v>51</v>
      </c>
      <c r="L95" s="16"/>
    </row>
    <row r="96" spans="1:12" x14ac:dyDescent="0.2">
      <c r="A96" t="s">
        <v>1488</v>
      </c>
      <c r="B96" s="17" t="s">
        <v>951</v>
      </c>
      <c r="C96" t="s">
        <v>953</v>
      </c>
      <c r="D96" s="1">
        <v>42921</v>
      </c>
      <c r="E96" s="1">
        <v>42972</v>
      </c>
      <c r="F96">
        <f t="shared" si="1"/>
        <v>51</v>
      </c>
      <c r="L96" s="16"/>
    </row>
    <row r="97" spans="1:12" x14ac:dyDescent="0.2">
      <c r="A97" t="s">
        <v>1487</v>
      </c>
      <c r="B97" s="17" t="s">
        <v>951</v>
      </c>
      <c r="C97" t="s">
        <v>953</v>
      </c>
      <c r="D97" s="1">
        <v>42921</v>
      </c>
      <c r="E97" s="1">
        <v>42972</v>
      </c>
      <c r="F97">
        <f t="shared" si="1"/>
        <v>51</v>
      </c>
      <c r="L97" s="16"/>
    </row>
    <row r="98" spans="1:12" x14ac:dyDescent="0.2">
      <c r="A98" t="s">
        <v>1486</v>
      </c>
      <c r="B98" s="17" t="s">
        <v>951</v>
      </c>
      <c r="C98" t="s">
        <v>953</v>
      </c>
      <c r="D98" s="1">
        <v>42921</v>
      </c>
      <c r="E98" s="1">
        <v>42972</v>
      </c>
      <c r="F98">
        <f t="shared" si="1"/>
        <v>51</v>
      </c>
      <c r="L98" s="16"/>
    </row>
    <row r="99" spans="1:12" x14ac:dyDescent="0.2">
      <c r="A99" t="s">
        <v>1485</v>
      </c>
      <c r="B99" s="17" t="s">
        <v>951</v>
      </c>
      <c r="C99" t="s">
        <v>953</v>
      </c>
      <c r="D99" s="1">
        <v>42921</v>
      </c>
      <c r="E99" s="1">
        <v>42972</v>
      </c>
      <c r="F99">
        <f t="shared" si="1"/>
        <v>51</v>
      </c>
      <c r="L99" s="16"/>
    </row>
    <row r="100" spans="1:12" x14ac:dyDescent="0.2">
      <c r="A100" t="s">
        <v>1484</v>
      </c>
      <c r="B100" s="17" t="s">
        <v>951</v>
      </c>
      <c r="C100" t="s">
        <v>953</v>
      </c>
      <c r="D100" s="1">
        <v>42921</v>
      </c>
      <c r="E100" s="1">
        <v>42972</v>
      </c>
      <c r="F100">
        <f t="shared" si="1"/>
        <v>51</v>
      </c>
      <c r="L100" s="16"/>
    </row>
    <row r="101" spans="1:12" x14ac:dyDescent="0.2">
      <c r="A101" s="2" t="s">
        <v>1483</v>
      </c>
      <c r="B101" s="2"/>
      <c r="C101" t="s">
        <v>953</v>
      </c>
      <c r="D101" s="1">
        <v>42921</v>
      </c>
      <c r="E101" s="1">
        <v>42972</v>
      </c>
      <c r="F101">
        <f t="shared" si="1"/>
        <v>51</v>
      </c>
      <c r="L101" s="16"/>
    </row>
    <row r="102" spans="1:12" x14ac:dyDescent="0.2">
      <c r="A102" t="s">
        <v>1482</v>
      </c>
      <c r="B102" s="17" t="s">
        <v>951</v>
      </c>
      <c r="C102" t="s">
        <v>953</v>
      </c>
      <c r="D102" s="1">
        <v>42921</v>
      </c>
      <c r="E102" s="1">
        <v>42972</v>
      </c>
      <c r="F102">
        <f t="shared" si="1"/>
        <v>51</v>
      </c>
      <c r="L102" s="16"/>
    </row>
    <row r="103" spans="1:12" x14ac:dyDescent="0.2">
      <c r="A103" t="s">
        <v>1481</v>
      </c>
      <c r="B103" s="15" t="s">
        <v>954</v>
      </c>
      <c r="C103" t="s">
        <v>953</v>
      </c>
      <c r="D103" s="1">
        <v>42921</v>
      </c>
      <c r="E103" s="1">
        <v>42972</v>
      </c>
      <c r="F103">
        <f t="shared" si="1"/>
        <v>51</v>
      </c>
      <c r="L103" s="16"/>
    </row>
    <row r="104" spans="1:12" x14ac:dyDescent="0.2">
      <c r="A104" t="s">
        <v>1480</v>
      </c>
      <c r="B104" s="15" t="s">
        <v>954</v>
      </c>
      <c r="C104" t="s">
        <v>953</v>
      </c>
      <c r="D104" s="1">
        <v>42921</v>
      </c>
      <c r="E104" s="1">
        <v>42972</v>
      </c>
      <c r="F104">
        <f t="shared" si="1"/>
        <v>51</v>
      </c>
      <c r="L104" s="16"/>
    </row>
    <row r="105" spans="1:12" x14ac:dyDescent="0.2">
      <c r="A105" t="s">
        <v>1479</v>
      </c>
      <c r="B105" s="17" t="s">
        <v>951</v>
      </c>
      <c r="C105" t="s">
        <v>953</v>
      </c>
      <c r="D105" s="1">
        <v>42921</v>
      </c>
      <c r="E105" s="1">
        <v>42972</v>
      </c>
      <c r="F105">
        <f t="shared" si="1"/>
        <v>51</v>
      </c>
      <c r="L105" s="16"/>
    </row>
    <row r="106" spans="1:12" x14ac:dyDescent="0.2">
      <c r="A106" t="s">
        <v>1478</v>
      </c>
      <c r="B106" s="15" t="s">
        <v>954</v>
      </c>
      <c r="C106" t="s">
        <v>953</v>
      </c>
      <c r="D106" s="1">
        <v>42921</v>
      </c>
      <c r="E106" s="1">
        <v>42972</v>
      </c>
      <c r="F106">
        <f t="shared" si="1"/>
        <v>51</v>
      </c>
      <c r="L106" s="16"/>
    </row>
    <row r="107" spans="1:12" x14ac:dyDescent="0.2">
      <c r="A107" t="s">
        <v>1477</v>
      </c>
      <c r="B107" s="17" t="s">
        <v>951</v>
      </c>
      <c r="C107" t="s">
        <v>953</v>
      </c>
      <c r="D107" s="1">
        <v>42921</v>
      </c>
      <c r="E107" s="1">
        <v>42972</v>
      </c>
      <c r="F107">
        <f t="shared" si="1"/>
        <v>51</v>
      </c>
      <c r="L107" s="16"/>
    </row>
    <row r="108" spans="1:12" x14ac:dyDescent="0.2">
      <c r="A108" t="s">
        <v>1476</v>
      </c>
      <c r="B108" s="15" t="s">
        <v>954</v>
      </c>
      <c r="C108" t="s">
        <v>953</v>
      </c>
      <c r="D108" s="1">
        <v>42921</v>
      </c>
      <c r="E108" s="1">
        <v>42972</v>
      </c>
      <c r="F108">
        <f t="shared" si="1"/>
        <v>51</v>
      </c>
      <c r="L108" s="16"/>
    </row>
    <row r="109" spans="1:12" x14ac:dyDescent="0.2">
      <c r="A109" t="s">
        <v>1475</v>
      </c>
      <c r="B109" s="17" t="s">
        <v>951</v>
      </c>
      <c r="C109" t="s">
        <v>953</v>
      </c>
      <c r="D109" s="1">
        <v>42921</v>
      </c>
      <c r="E109" s="1">
        <v>42972</v>
      </c>
      <c r="F109">
        <f t="shared" si="1"/>
        <v>51</v>
      </c>
      <c r="L109" s="16"/>
    </row>
    <row r="110" spans="1:12" x14ac:dyDescent="0.2">
      <c r="A110" t="s">
        <v>1474</v>
      </c>
      <c r="B110" s="15" t="s">
        <v>954</v>
      </c>
      <c r="C110" t="s">
        <v>953</v>
      </c>
      <c r="D110" s="1">
        <v>42921</v>
      </c>
      <c r="E110" s="1">
        <v>42972</v>
      </c>
      <c r="F110">
        <f t="shared" si="1"/>
        <v>51</v>
      </c>
      <c r="L110" s="16"/>
    </row>
    <row r="111" spans="1:12" x14ac:dyDescent="0.2">
      <c r="A111" t="s">
        <v>1473</v>
      </c>
      <c r="B111" s="17" t="s">
        <v>951</v>
      </c>
      <c r="C111" t="s">
        <v>953</v>
      </c>
      <c r="D111" s="1">
        <v>42921</v>
      </c>
      <c r="E111" s="1">
        <v>42972</v>
      </c>
      <c r="F111">
        <f t="shared" si="1"/>
        <v>51</v>
      </c>
      <c r="L111" s="16"/>
    </row>
    <row r="112" spans="1:12" x14ac:dyDescent="0.2">
      <c r="A112" t="s">
        <v>1472</v>
      </c>
      <c r="B112" s="17" t="s">
        <v>951</v>
      </c>
      <c r="C112" t="s">
        <v>953</v>
      </c>
      <c r="D112" s="1">
        <v>42921</v>
      </c>
      <c r="E112" s="1">
        <v>42972</v>
      </c>
      <c r="F112">
        <f t="shared" si="1"/>
        <v>51</v>
      </c>
      <c r="L112" s="16"/>
    </row>
    <row r="113" spans="1:12" x14ac:dyDescent="0.2">
      <c r="A113" t="s">
        <v>1471</v>
      </c>
      <c r="B113" s="17" t="s">
        <v>951</v>
      </c>
      <c r="C113" t="s">
        <v>953</v>
      </c>
      <c r="D113" s="1">
        <v>42921</v>
      </c>
      <c r="E113" s="1">
        <v>42972</v>
      </c>
      <c r="F113">
        <f t="shared" si="1"/>
        <v>51</v>
      </c>
      <c r="L113" s="16"/>
    </row>
    <row r="114" spans="1:12" x14ac:dyDescent="0.2">
      <c r="A114" t="s">
        <v>1470</v>
      </c>
      <c r="B114" s="17" t="s">
        <v>951</v>
      </c>
      <c r="C114" t="s">
        <v>953</v>
      </c>
      <c r="D114" s="1">
        <v>42921</v>
      </c>
      <c r="E114" s="1">
        <v>42972</v>
      </c>
      <c r="F114">
        <f t="shared" si="1"/>
        <v>51</v>
      </c>
      <c r="L114" s="16"/>
    </row>
    <row r="115" spans="1:12" x14ac:dyDescent="0.2">
      <c r="A115" t="s">
        <v>1469</v>
      </c>
      <c r="B115" s="17" t="s">
        <v>951</v>
      </c>
      <c r="C115" t="s">
        <v>953</v>
      </c>
      <c r="D115" s="1">
        <v>42921</v>
      </c>
      <c r="E115" s="1">
        <v>42972</v>
      </c>
      <c r="F115">
        <f t="shared" si="1"/>
        <v>51</v>
      </c>
      <c r="L115" s="16"/>
    </row>
    <row r="116" spans="1:12" x14ac:dyDescent="0.2">
      <c r="A116" t="s">
        <v>1468</v>
      </c>
      <c r="B116" s="15" t="s">
        <v>954</v>
      </c>
      <c r="C116" t="s">
        <v>953</v>
      </c>
      <c r="D116" s="1">
        <v>42921</v>
      </c>
      <c r="E116" s="1">
        <v>42972</v>
      </c>
      <c r="F116">
        <f t="shared" si="1"/>
        <v>51</v>
      </c>
      <c r="L116" s="16"/>
    </row>
    <row r="117" spans="1:12" x14ac:dyDescent="0.2">
      <c r="A117" t="s">
        <v>1467</v>
      </c>
      <c r="B117" s="15" t="s">
        <v>954</v>
      </c>
      <c r="C117" t="s">
        <v>953</v>
      </c>
      <c r="D117" s="1">
        <v>42921</v>
      </c>
      <c r="E117" s="1">
        <v>42972</v>
      </c>
      <c r="F117">
        <f t="shared" si="1"/>
        <v>51</v>
      </c>
      <c r="L117" s="16"/>
    </row>
    <row r="118" spans="1:12" x14ac:dyDescent="0.2">
      <c r="A118" t="s">
        <v>1466</v>
      </c>
      <c r="B118" s="15" t="s">
        <v>954</v>
      </c>
      <c r="C118" t="s">
        <v>953</v>
      </c>
      <c r="D118" s="1">
        <v>42921</v>
      </c>
      <c r="E118" s="1">
        <v>42972</v>
      </c>
      <c r="F118">
        <f t="shared" si="1"/>
        <v>51</v>
      </c>
      <c r="L118" s="16"/>
    </row>
    <row r="119" spans="1:12" x14ac:dyDescent="0.2">
      <c r="A119" t="s">
        <v>1465</v>
      </c>
      <c r="B119" s="15" t="s">
        <v>954</v>
      </c>
      <c r="C119" t="s">
        <v>953</v>
      </c>
      <c r="D119" s="1">
        <v>42921</v>
      </c>
      <c r="E119" s="1">
        <v>42972</v>
      </c>
      <c r="F119">
        <f t="shared" si="1"/>
        <v>51</v>
      </c>
      <c r="L119" s="16"/>
    </row>
    <row r="120" spans="1:12" x14ac:dyDescent="0.2">
      <c r="A120" t="s">
        <v>1464</v>
      </c>
      <c r="B120" s="15" t="s">
        <v>954</v>
      </c>
      <c r="C120" t="s">
        <v>953</v>
      </c>
      <c r="D120" s="1">
        <v>42921</v>
      </c>
      <c r="E120" s="1">
        <v>42972</v>
      </c>
      <c r="F120">
        <f t="shared" si="1"/>
        <v>51</v>
      </c>
      <c r="L120" s="16"/>
    </row>
    <row r="121" spans="1:12" x14ac:dyDescent="0.2">
      <c r="A121" t="s">
        <v>1463</v>
      </c>
      <c r="B121" s="15" t="s">
        <v>954</v>
      </c>
      <c r="C121" t="s">
        <v>953</v>
      </c>
      <c r="D121" s="1">
        <v>42921</v>
      </c>
      <c r="E121" s="1">
        <v>42972</v>
      </c>
      <c r="F121">
        <f t="shared" si="1"/>
        <v>51</v>
      </c>
      <c r="L121" s="16"/>
    </row>
    <row r="122" spans="1:12" x14ac:dyDescent="0.2">
      <c r="A122" t="s">
        <v>1462</v>
      </c>
      <c r="B122" s="15" t="s">
        <v>954</v>
      </c>
      <c r="C122" t="s">
        <v>953</v>
      </c>
      <c r="D122" s="1">
        <v>42921</v>
      </c>
      <c r="E122" s="1">
        <v>42972</v>
      </c>
      <c r="F122">
        <f t="shared" si="1"/>
        <v>51</v>
      </c>
      <c r="L122" s="16"/>
    </row>
    <row r="123" spans="1:12" x14ac:dyDescent="0.2">
      <c r="A123" t="s">
        <v>1461</v>
      </c>
      <c r="B123" s="15" t="s">
        <v>954</v>
      </c>
      <c r="C123" t="s">
        <v>953</v>
      </c>
      <c r="D123" s="1">
        <v>42921</v>
      </c>
      <c r="E123" s="1">
        <v>42972</v>
      </c>
      <c r="F123">
        <f t="shared" si="1"/>
        <v>51</v>
      </c>
      <c r="L123" s="16"/>
    </row>
    <row r="124" spans="1:12" x14ac:dyDescent="0.2">
      <c r="A124" t="s">
        <v>1460</v>
      </c>
      <c r="B124" s="15" t="s">
        <v>954</v>
      </c>
      <c r="C124" t="s">
        <v>953</v>
      </c>
      <c r="D124" s="1">
        <v>42921</v>
      </c>
      <c r="E124" s="1">
        <v>42972</v>
      </c>
      <c r="F124">
        <f t="shared" si="1"/>
        <v>51</v>
      </c>
      <c r="L124" s="16"/>
    </row>
    <row r="125" spans="1:12" x14ac:dyDescent="0.2">
      <c r="A125" t="s">
        <v>1459</v>
      </c>
      <c r="B125" s="15" t="s">
        <v>954</v>
      </c>
      <c r="C125" t="s">
        <v>953</v>
      </c>
      <c r="D125" s="1">
        <v>42921</v>
      </c>
      <c r="E125" s="1">
        <v>42972</v>
      </c>
      <c r="F125">
        <f t="shared" si="1"/>
        <v>51</v>
      </c>
      <c r="L125" s="16"/>
    </row>
    <row r="126" spans="1:12" x14ac:dyDescent="0.2">
      <c r="A126" t="s">
        <v>1458</v>
      </c>
      <c r="B126" s="15" t="s">
        <v>954</v>
      </c>
      <c r="C126" t="s">
        <v>953</v>
      </c>
      <c r="D126" s="1">
        <v>42921</v>
      </c>
      <c r="E126" s="1">
        <v>42972</v>
      </c>
      <c r="F126">
        <f t="shared" si="1"/>
        <v>51</v>
      </c>
      <c r="L126" s="16"/>
    </row>
    <row r="127" spans="1:12" x14ac:dyDescent="0.2">
      <c r="A127" t="s">
        <v>1457</v>
      </c>
      <c r="B127" s="15" t="s">
        <v>954</v>
      </c>
      <c r="C127" t="s">
        <v>953</v>
      </c>
      <c r="D127" s="1">
        <v>42921</v>
      </c>
      <c r="E127" s="1">
        <v>42972</v>
      </c>
      <c r="F127">
        <f t="shared" si="1"/>
        <v>51</v>
      </c>
      <c r="L127" s="16"/>
    </row>
    <row r="128" spans="1:12" x14ac:dyDescent="0.2">
      <c r="A128" t="s">
        <v>1456</v>
      </c>
      <c r="B128" s="15" t="s">
        <v>954</v>
      </c>
      <c r="C128" t="s">
        <v>953</v>
      </c>
      <c r="D128" s="1">
        <v>42921</v>
      </c>
      <c r="E128" s="1">
        <v>42972</v>
      </c>
      <c r="F128">
        <f t="shared" si="1"/>
        <v>51</v>
      </c>
      <c r="L128" s="16"/>
    </row>
    <row r="129" spans="1:12" x14ac:dyDescent="0.2">
      <c r="A129" t="s">
        <v>1455</v>
      </c>
      <c r="B129" s="15" t="s">
        <v>954</v>
      </c>
      <c r="C129" t="s">
        <v>953</v>
      </c>
      <c r="D129" s="1">
        <v>42921</v>
      </c>
      <c r="E129" s="1">
        <v>42972</v>
      </c>
      <c r="F129">
        <f t="shared" si="1"/>
        <v>51</v>
      </c>
      <c r="L129" s="16"/>
    </row>
    <row r="130" spans="1:12" x14ac:dyDescent="0.2">
      <c r="A130" t="s">
        <v>1454</v>
      </c>
      <c r="B130" s="15" t="s">
        <v>954</v>
      </c>
      <c r="C130" t="s">
        <v>953</v>
      </c>
      <c r="D130" s="1">
        <v>42921</v>
      </c>
      <c r="E130" s="1">
        <v>42972</v>
      </c>
      <c r="F130">
        <f t="shared" ref="F130:F193" si="2">E130-D130</f>
        <v>51</v>
      </c>
      <c r="L130" s="16"/>
    </row>
    <row r="131" spans="1:12" x14ac:dyDescent="0.2">
      <c r="A131" t="s">
        <v>1453</v>
      </c>
      <c r="B131" s="15" t="s">
        <v>954</v>
      </c>
      <c r="C131" t="s">
        <v>953</v>
      </c>
      <c r="D131" s="1">
        <v>42921</v>
      </c>
      <c r="E131" s="1">
        <v>42972</v>
      </c>
      <c r="F131">
        <f t="shared" si="2"/>
        <v>51</v>
      </c>
      <c r="L131" s="16"/>
    </row>
    <row r="132" spans="1:12" x14ac:dyDescent="0.2">
      <c r="A132" t="s">
        <v>1452</v>
      </c>
      <c r="B132" s="15" t="s">
        <v>954</v>
      </c>
      <c r="C132" t="s">
        <v>953</v>
      </c>
      <c r="D132" s="1">
        <v>42921</v>
      </c>
      <c r="E132" s="1">
        <v>42972</v>
      </c>
      <c r="F132">
        <f t="shared" si="2"/>
        <v>51</v>
      </c>
      <c r="L132" s="16"/>
    </row>
    <row r="133" spans="1:12" x14ac:dyDescent="0.2">
      <c r="A133" t="s">
        <v>1451</v>
      </c>
      <c r="B133" s="15" t="s">
        <v>954</v>
      </c>
      <c r="C133" t="s">
        <v>953</v>
      </c>
      <c r="D133" s="1">
        <v>42921</v>
      </c>
      <c r="E133" s="1">
        <v>42972</v>
      </c>
      <c r="F133">
        <f t="shared" si="2"/>
        <v>51</v>
      </c>
      <c r="L133" s="16"/>
    </row>
    <row r="134" spans="1:12" x14ac:dyDescent="0.2">
      <c r="A134" t="s">
        <v>1450</v>
      </c>
      <c r="B134" s="15" t="s">
        <v>954</v>
      </c>
      <c r="C134" t="s">
        <v>953</v>
      </c>
      <c r="D134" s="1">
        <v>42921</v>
      </c>
      <c r="E134" s="1">
        <v>42972</v>
      </c>
      <c r="F134">
        <f t="shared" si="2"/>
        <v>51</v>
      </c>
      <c r="L134" s="16"/>
    </row>
    <row r="135" spans="1:12" x14ac:dyDescent="0.2">
      <c r="A135" t="s">
        <v>1449</v>
      </c>
      <c r="B135" s="15" t="s">
        <v>954</v>
      </c>
      <c r="C135" t="s">
        <v>953</v>
      </c>
      <c r="D135" s="1">
        <v>42921</v>
      </c>
      <c r="E135" s="1">
        <v>42972</v>
      </c>
      <c r="F135">
        <f t="shared" si="2"/>
        <v>51</v>
      </c>
      <c r="L135" s="16"/>
    </row>
    <row r="136" spans="1:12" x14ac:dyDescent="0.2">
      <c r="A136" t="s">
        <v>1448</v>
      </c>
      <c r="B136" s="15" t="s">
        <v>954</v>
      </c>
      <c r="C136" t="s">
        <v>953</v>
      </c>
      <c r="D136" s="1">
        <v>42921</v>
      </c>
      <c r="E136" s="1">
        <v>42972</v>
      </c>
      <c r="F136">
        <f t="shared" si="2"/>
        <v>51</v>
      </c>
      <c r="L136" s="16"/>
    </row>
    <row r="137" spans="1:12" x14ac:dyDescent="0.2">
      <c r="A137" t="s">
        <v>1447</v>
      </c>
      <c r="B137" s="15" t="s">
        <v>954</v>
      </c>
      <c r="C137" t="s">
        <v>953</v>
      </c>
      <c r="D137" s="1">
        <v>42921</v>
      </c>
      <c r="E137" s="1">
        <v>42972</v>
      </c>
      <c r="F137">
        <f t="shared" si="2"/>
        <v>51</v>
      </c>
      <c r="L137" s="16"/>
    </row>
    <row r="138" spans="1:12" x14ac:dyDescent="0.2">
      <c r="A138" t="s">
        <v>1446</v>
      </c>
      <c r="B138" s="15" t="s">
        <v>954</v>
      </c>
      <c r="C138" t="s">
        <v>953</v>
      </c>
      <c r="D138" s="1">
        <v>42921</v>
      </c>
      <c r="E138" s="1">
        <v>42972</v>
      </c>
      <c r="F138">
        <f t="shared" si="2"/>
        <v>51</v>
      </c>
      <c r="L138" s="16"/>
    </row>
    <row r="139" spans="1:12" x14ac:dyDescent="0.2">
      <c r="A139" t="s">
        <v>1445</v>
      </c>
      <c r="B139" s="15" t="s">
        <v>954</v>
      </c>
      <c r="C139" t="s">
        <v>953</v>
      </c>
      <c r="D139" s="1">
        <v>42921</v>
      </c>
      <c r="E139" s="1">
        <v>42972</v>
      </c>
      <c r="F139">
        <f t="shared" si="2"/>
        <v>51</v>
      </c>
      <c r="L139" s="16"/>
    </row>
    <row r="140" spans="1:12" x14ac:dyDescent="0.2">
      <c r="A140" t="s">
        <v>1444</v>
      </c>
      <c r="B140" s="15" t="s">
        <v>954</v>
      </c>
      <c r="C140" t="s">
        <v>953</v>
      </c>
      <c r="D140" s="1">
        <v>42921</v>
      </c>
      <c r="E140" s="1">
        <v>42972</v>
      </c>
      <c r="F140">
        <f t="shared" si="2"/>
        <v>51</v>
      </c>
      <c r="L140" s="16"/>
    </row>
    <row r="141" spans="1:12" x14ac:dyDescent="0.2">
      <c r="A141" t="s">
        <v>1443</v>
      </c>
      <c r="B141" s="15" t="s">
        <v>954</v>
      </c>
      <c r="C141" t="s">
        <v>953</v>
      </c>
      <c r="D141" s="1">
        <v>42921</v>
      </c>
      <c r="E141" s="1">
        <v>42972</v>
      </c>
      <c r="F141">
        <f t="shared" si="2"/>
        <v>51</v>
      </c>
      <c r="L141" s="16"/>
    </row>
    <row r="142" spans="1:12" x14ac:dyDescent="0.2">
      <c r="A142" t="s">
        <v>1442</v>
      </c>
      <c r="B142" s="15" t="s">
        <v>954</v>
      </c>
      <c r="C142" t="s">
        <v>953</v>
      </c>
      <c r="D142" s="1">
        <v>42921</v>
      </c>
      <c r="E142" s="1">
        <v>42972</v>
      </c>
      <c r="F142">
        <f t="shared" si="2"/>
        <v>51</v>
      </c>
      <c r="L142" s="16"/>
    </row>
    <row r="143" spans="1:12" x14ac:dyDescent="0.2">
      <c r="A143" t="s">
        <v>1441</v>
      </c>
      <c r="B143" s="15" t="s">
        <v>954</v>
      </c>
      <c r="C143" t="s">
        <v>953</v>
      </c>
      <c r="D143" s="1">
        <v>42921</v>
      </c>
      <c r="E143" s="1">
        <v>42972</v>
      </c>
      <c r="F143">
        <f t="shared" si="2"/>
        <v>51</v>
      </c>
      <c r="L143" s="16"/>
    </row>
    <row r="144" spans="1:12" x14ac:dyDescent="0.2">
      <c r="A144" t="s">
        <v>1440</v>
      </c>
      <c r="B144" s="15" t="s">
        <v>954</v>
      </c>
      <c r="C144" t="s">
        <v>953</v>
      </c>
      <c r="D144" s="1">
        <v>42921</v>
      </c>
      <c r="E144" s="1">
        <v>42972</v>
      </c>
      <c r="F144">
        <f t="shared" si="2"/>
        <v>51</v>
      </c>
      <c r="L144" s="16"/>
    </row>
    <row r="145" spans="1:12" x14ac:dyDescent="0.2">
      <c r="A145" t="s">
        <v>1439</v>
      </c>
      <c r="B145" s="15" t="s">
        <v>954</v>
      </c>
      <c r="C145" t="s">
        <v>953</v>
      </c>
      <c r="D145" s="1">
        <v>42921</v>
      </c>
      <c r="E145" s="1">
        <v>42972</v>
      </c>
      <c r="F145">
        <f t="shared" si="2"/>
        <v>51</v>
      </c>
      <c r="L145" s="16"/>
    </row>
    <row r="146" spans="1:12" x14ac:dyDescent="0.2">
      <c r="A146" t="s">
        <v>1438</v>
      </c>
      <c r="B146" s="15" t="s">
        <v>954</v>
      </c>
      <c r="C146" t="s">
        <v>953</v>
      </c>
      <c r="D146" s="1">
        <v>42921</v>
      </c>
      <c r="E146" s="1">
        <v>42972</v>
      </c>
      <c r="F146">
        <f t="shared" si="2"/>
        <v>51</v>
      </c>
      <c r="L146" s="16"/>
    </row>
    <row r="147" spans="1:12" x14ac:dyDescent="0.2">
      <c r="A147" t="s">
        <v>1437</v>
      </c>
      <c r="B147" s="15" t="s">
        <v>954</v>
      </c>
      <c r="C147" t="s">
        <v>953</v>
      </c>
      <c r="D147" s="1">
        <v>42921</v>
      </c>
      <c r="E147" s="1">
        <v>42972</v>
      </c>
      <c r="F147">
        <f t="shared" si="2"/>
        <v>51</v>
      </c>
      <c r="L147" s="16"/>
    </row>
    <row r="148" spans="1:12" x14ac:dyDescent="0.2">
      <c r="A148" t="s">
        <v>1436</v>
      </c>
      <c r="B148" s="15" t="s">
        <v>954</v>
      </c>
      <c r="C148" t="s">
        <v>953</v>
      </c>
      <c r="D148" s="1">
        <v>42921</v>
      </c>
      <c r="E148" s="1">
        <v>42972</v>
      </c>
      <c r="F148">
        <f t="shared" si="2"/>
        <v>51</v>
      </c>
      <c r="L148" s="16"/>
    </row>
    <row r="149" spans="1:12" x14ac:dyDescent="0.2">
      <c r="A149" t="s">
        <v>1435</v>
      </c>
      <c r="B149" s="15" t="s">
        <v>954</v>
      </c>
      <c r="C149" t="s">
        <v>953</v>
      </c>
      <c r="D149" s="1">
        <v>42921</v>
      </c>
      <c r="E149" s="1">
        <v>42972</v>
      </c>
      <c r="F149">
        <f t="shared" si="2"/>
        <v>51</v>
      </c>
      <c r="L149" s="16"/>
    </row>
    <row r="150" spans="1:12" x14ac:dyDescent="0.2">
      <c r="A150" t="s">
        <v>1434</v>
      </c>
      <c r="B150" s="15" t="s">
        <v>954</v>
      </c>
      <c r="C150" t="s">
        <v>953</v>
      </c>
      <c r="D150" s="1">
        <v>42921</v>
      </c>
      <c r="E150" s="1">
        <v>42972</v>
      </c>
      <c r="F150">
        <f t="shared" si="2"/>
        <v>51</v>
      </c>
      <c r="L150" s="16"/>
    </row>
    <row r="151" spans="1:12" x14ac:dyDescent="0.2">
      <c r="A151" t="s">
        <v>1433</v>
      </c>
      <c r="B151" s="15" t="s">
        <v>954</v>
      </c>
      <c r="C151" t="s">
        <v>953</v>
      </c>
      <c r="D151" s="1">
        <v>42921</v>
      </c>
      <c r="E151" s="1">
        <v>42972</v>
      </c>
      <c r="F151">
        <f t="shared" si="2"/>
        <v>51</v>
      </c>
      <c r="L151" s="16"/>
    </row>
    <row r="152" spans="1:12" x14ac:dyDescent="0.2">
      <c r="A152" t="s">
        <v>1432</v>
      </c>
      <c r="B152" s="15" t="s">
        <v>954</v>
      </c>
      <c r="C152" t="s">
        <v>953</v>
      </c>
      <c r="D152" s="1">
        <v>42921</v>
      </c>
      <c r="E152" s="1">
        <v>42972</v>
      </c>
      <c r="F152">
        <f t="shared" si="2"/>
        <v>51</v>
      </c>
      <c r="L152" s="16"/>
    </row>
    <row r="153" spans="1:12" x14ac:dyDescent="0.2">
      <c r="A153" t="s">
        <v>1431</v>
      </c>
      <c r="B153" s="15" t="s">
        <v>954</v>
      </c>
      <c r="C153" t="s">
        <v>953</v>
      </c>
      <c r="D153" s="1">
        <v>42921</v>
      </c>
      <c r="E153" s="1">
        <v>42972</v>
      </c>
      <c r="F153">
        <f t="shared" si="2"/>
        <v>51</v>
      </c>
      <c r="L153" s="16"/>
    </row>
    <row r="154" spans="1:12" x14ac:dyDescent="0.2">
      <c r="A154" t="s">
        <v>1430</v>
      </c>
      <c r="B154" s="15" t="s">
        <v>954</v>
      </c>
      <c r="C154" t="s">
        <v>953</v>
      </c>
      <c r="D154" s="1">
        <v>42921</v>
      </c>
      <c r="E154" s="1">
        <v>42972</v>
      </c>
      <c r="F154">
        <f t="shared" si="2"/>
        <v>51</v>
      </c>
      <c r="L154" s="16"/>
    </row>
    <row r="155" spans="1:12" x14ac:dyDescent="0.2">
      <c r="A155" t="s">
        <v>1429</v>
      </c>
      <c r="B155" s="15" t="s">
        <v>954</v>
      </c>
      <c r="C155" t="s">
        <v>953</v>
      </c>
      <c r="D155" s="1">
        <v>42921</v>
      </c>
      <c r="E155" s="1">
        <v>42972</v>
      </c>
      <c r="F155">
        <f t="shared" si="2"/>
        <v>51</v>
      </c>
      <c r="L155" s="16"/>
    </row>
    <row r="156" spans="1:12" x14ac:dyDescent="0.2">
      <c r="A156" t="s">
        <v>1428</v>
      </c>
      <c r="B156" s="15" t="s">
        <v>954</v>
      </c>
      <c r="C156" t="s">
        <v>953</v>
      </c>
      <c r="D156" s="1">
        <v>42921</v>
      </c>
      <c r="E156" s="1">
        <v>42972</v>
      </c>
      <c r="F156">
        <f t="shared" si="2"/>
        <v>51</v>
      </c>
      <c r="L156" s="16"/>
    </row>
    <row r="157" spans="1:12" x14ac:dyDescent="0.2">
      <c r="A157" t="s">
        <v>1427</v>
      </c>
      <c r="B157" s="15" t="s">
        <v>954</v>
      </c>
      <c r="C157" t="s">
        <v>953</v>
      </c>
      <c r="D157" s="1">
        <v>42921</v>
      </c>
      <c r="E157" s="1">
        <v>42972</v>
      </c>
      <c r="F157">
        <f t="shared" si="2"/>
        <v>51</v>
      </c>
      <c r="L157" s="16"/>
    </row>
    <row r="158" spans="1:12" x14ac:dyDescent="0.2">
      <c r="A158" t="s">
        <v>1426</v>
      </c>
      <c r="B158" s="15" t="s">
        <v>954</v>
      </c>
      <c r="C158" t="s">
        <v>953</v>
      </c>
      <c r="D158" s="1">
        <v>42921</v>
      </c>
      <c r="E158" s="1">
        <v>42972</v>
      </c>
      <c r="F158">
        <f t="shared" si="2"/>
        <v>51</v>
      </c>
      <c r="L158" s="16"/>
    </row>
    <row r="159" spans="1:12" x14ac:dyDescent="0.2">
      <c r="A159" t="s">
        <v>1425</v>
      </c>
      <c r="B159" s="15" t="s">
        <v>954</v>
      </c>
      <c r="C159" t="s">
        <v>953</v>
      </c>
      <c r="D159" s="1">
        <v>42921</v>
      </c>
      <c r="E159" s="1">
        <v>42972</v>
      </c>
      <c r="F159">
        <f t="shared" si="2"/>
        <v>51</v>
      </c>
      <c r="L159" s="16"/>
    </row>
    <row r="160" spans="1:12" x14ac:dyDescent="0.2">
      <c r="A160" t="s">
        <v>1424</v>
      </c>
      <c r="B160" s="15" t="s">
        <v>954</v>
      </c>
      <c r="C160" t="s">
        <v>953</v>
      </c>
      <c r="D160" s="1">
        <v>42921</v>
      </c>
      <c r="E160" s="1">
        <v>42972</v>
      </c>
      <c r="F160">
        <f t="shared" si="2"/>
        <v>51</v>
      </c>
      <c r="L160" s="16"/>
    </row>
    <row r="161" spans="1:12" x14ac:dyDescent="0.2">
      <c r="A161" t="s">
        <v>1423</v>
      </c>
      <c r="B161" s="15" t="s">
        <v>954</v>
      </c>
      <c r="C161" t="s">
        <v>953</v>
      </c>
      <c r="D161" s="1">
        <v>42921</v>
      </c>
      <c r="E161" s="1">
        <v>42972</v>
      </c>
      <c r="F161">
        <f t="shared" si="2"/>
        <v>51</v>
      </c>
      <c r="L161" s="16"/>
    </row>
    <row r="162" spans="1:12" x14ac:dyDescent="0.2">
      <c r="A162" t="s">
        <v>1422</v>
      </c>
      <c r="B162" s="15" t="s">
        <v>954</v>
      </c>
      <c r="C162" t="s">
        <v>953</v>
      </c>
      <c r="D162" s="1">
        <v>42921</v>
      </c>
      <c r="E162" s="1">
        <v>42972</v>
      </c>
      <c r="F162">
        <f t="shared" si="2"/>
        <v>51</v>
      </c>
      <c r="L162" s="16"/>
    </row>
    <row r="163" spans="1:12" x14ac:dyDescent="0.2">
      <c r="A163" t="s">
        <v>1421</v>
      </c>
      <c r="B163" s="15" t="s">
        <v>954</v>
      </c>
      <c r="C163" t="s">
        <v>953</v>
      </c>
      <c r="D163" s="1">
        <v>42921</v>
      </c>
      <c r="E163" s="1">
        <v>42972</v>
      </c>
      <c r="F163">
        <f t="shared" si="2"/>
        <v>51</v>
      </c>
      <c r="L163" s="16"/>
    </row>
    <row r="164" spans="1:12" x14ac:dyDescent="0.2">
      <c r="A164" t="s">
        <v>1420</v>
      </c>
      <c r="B164" s="15" t="s">
        <v>954</v>
      </c>
      <c r="C164" t="s">
        <v>953</v>
      </c>
      <c r="D164" s="1">
        <v>42921</v>
      </c>
      <c r="E164" s="1">
        <v>42972</v>
      </c>
      <c r="F164">
        <f t="shared" si="2"/>
        <v>51</v>
      </c>
      <c r="L164" s="16"/>
    </row>
    <row r="165" spans="1:12" x14ac:dyDescent="0.2">
      <c r="A165" t="s">
        <v>1419</v>
      </c>
      <c r="B165" s="15" t="s">
        <v>954</v>
      </c>
      <c r="C165" t="s">
        <v>953</v>
      </c>
      <c r="D165" s="1">
        <v>42921</v>
      </c>
      <c r="E165" s="1">
        <v>42972</v>
      </c>
      <c r="F165">
        <f t="shared" si="2"/>
        <v>51</v>
      </c>
      <c r="L165" s="16"/>
    </row>
    <row r="166" spans="1:12" x14ac:dyDescent="0.2">
      <c r="A166" t="s">
        <v>1418</v>
      </c>
      <c r="B166" s="15" t="s">
        <v>954</v>
      </c>
      <c r="C166" t="s">
        <v>953</v>
      </c>
      <c r="D166" s="1">
        <v>42921</v>
      </c>
      <c r="E166" s="1">
        <v>42972</v>
      </c>
      <c r="F166">
        <f t="shared" si="2"/>
        <v>51</v>
      </c>
      <c r="L166" s="16"/>
    </row>
    <row r="167" spans="1:12" x14ac:dyDescent="0.2">
      <c r="A167" t="s">
        <v>1417</v>
      </c>
      <c r="B167" s="15" t="s">
        <v>954</v>
      </c>
      <c r="C167" t="s">
        <v>953</v>
      </c>
      <c r="D167" s="1">
        <v>42921</v>
      </c>
      <c r="E167" s="1">
        <v>42972</v>
      </c>
      <c r="F167">
        <f t="shared" si="2"/>
        <v>51</v>
      </c>
      <c r="L167" s="16"/>
    </row>
    <row r="168" spans="1:12" x14ac:dyDescent="0.2">
      <c r="A168" t="s">
        <v>1416</v>
      </c>
      <c r="B168" s="15" t="s">
        <v>954</v>
      </c>
      <c r="C168" t="s">
        <v>953</v>
      </c>
      <c r="D168" s="1">
        <v>42921</v>
      </c>
      <c r="E168" s="1">
        <v>42972</v>
      </c>
      <c r="F168">
        <f t="shared" si="2"/>
        <v>51</v>
      </c>
      <c r="L168" s="16"/>
    </row>
    <row r="169" spans="1:12" x14ac:dyDescent="0.2">
      <c r="A169" t="s">
        <v>1415</v>
      </c>
      <c r="B169" s="15" t="s">
        <v>954</v>
      </c>
      <c r="C169" t="s">
        <v>953</v>
      </c>
      <c r="D169" s="1">
        <v>42921</v>
      </c>
      <c r="E169" s="1">
        <v>42972</v>
      </c>
      <c r="F169">
        <f t="shared" si="2"/>
        <v>51</v>
      </c>
      <c r="L169" s="16"/>
    </row>
    <row r="170" spans="1:12" x14ac:dyDescent="0.2">
      <c r="A170" t="s">
        <v>1414</v>
      </c>
      <c r="B170" s="15" t="s">
        <v>954</v>
      </c>
      <c r="C170" t="s">
        <v>953</v>
      </c>
      <c r="D170" s="1">
        <v>42921</v>
      </c>
      <c r="E170" s="1">
        <v>42972</v>
      </c>
      <c r="F170">
        <f t="shared" si="2"/>
        <v>51</v>
      </c>
      <c r="L170" s="16"/>
    </row>
    <row r="171" spans="1:12" x14ac:dyDescent="0.2">
      <c r="A171" t="s">
        <v>1413</v>
      </c>
      <c r="B171" s="15" t="s">
        <v>954</v>
      </c>
      <c r="C171" t="s">
        <v>953</v>
      </c>
      <c r="D171" s="1">
        <v>42921</v>
      </c>
      <c r="E171" s="1">
        <v>42972</v>
      </c>
      <c r="F171">
        <f t="shared" si="2"/>
        <v>51</v>
      </c>
      <c r="L171" s="16"/>
    </row>
    <row r="172" spans="1:12" x14ac:dyDescent="0.2">
      <c r="A172" t="s">
        <v>1412</v>
      </c>
      <c r="B172" s="15" t="s">
        <v>954</v>
      </c>
      <c r="C172" t="s">
        <v>953</v>
      </c>
      <c r="D172" s="1">
        <v>42921</v>
      </c>
      <c r="E172" s="1">
        <v>42972</v>
      </c>
      <c r="F172">
        <f t="shared" si="2"/>
        <v>51</v>
      </c>
      <c r="L172" s="16"/>
    </row>
    <row r="173" spans="1:12" x14ac:dyDescent="0.2">
      <c r="A173" t="s">
        <v>1411</v>
      </c>
      <c r="B173" s="15" t="s">
        <v>954</v>
      </c>
      <c r="C173" t="s">
        <v>953</v>
      </c>
      <c r="D173" s="1">
        <v>42921</v>
      </c>
      <c r="E173" s="1">
        <v>42972</v>
      </c>
      <c r="F173">
        <f t="shared" si="2"/>
        <v>51</v>
      </c>
      <c r="L173" s="16"/>
    </row>
    <row r="174" spans="1:12" x14ac:dyDescent="0.2">
      <c r="A174" t="s">
        <v>1410</v>
      </c>
      <c r="B174" s="15" t="s">
        <v>954</v>
      </c>
      <c r="C174" t="s">
        <v>953</v>
      </c>
      <c r="D174" s="1">
        <v>42921</v>
      </c>
      <c r="E174" s="1">
        <v>42972</v>
      </c>
      <c r="F174">
        <f t="shared" si="2"/>
        <v>51</v>
      </c>
      <c r="L174" s="16"/>
    </row>
    <row r="175" spans="1:12" x14ac:dyDescent="0.2">
      <c r="A175" t="s">
        <v>1409</v>
      </c>
      <c r="B175" s="15" t="s">
        <v>954</v>
      </c>
      <c r="C175" t="s">
        <v>953</v>
      </c>
      <c r="D175" s="1">
        <v>42921</v>
      </c>
      <c r="E175" s="1">
        <v>42972</v>
      </c>
      <c r="F175">
        <f t="shared" si="2"/>
        <v>51</v>
      </c>
      <c r="L175" s="16"/>
    </row>
    <row r="176" spans="1:12" x14ac:dyDescent="0.2">
      <c r="A176" t="s">
        <v>1408</v>
      </c>
      <c r="B176" s="15" t="s">
        <v>954</v>
      </c>
      <c r="C176" t="s">
        <v>953</v>
      </c>
      <c r="D176" s="1">
        <v>42921</v>
      </c>
      <c r="E176" s="1">
        <v>42972</v>
      </c>
      <c r="F176">
        <f t="shared" si="2"/>
        <v>51</v>
      </c>
      <c r="L176" s="16"/>
    </row>
    <row r="177" spans="1:12" x14ac:dyDescent="0.2">
      <c r="A177" t="s">
        <v>1407</v>
      </c>
      <c r="B177" s="15" t="s">
        <v>954</v>
      </c>
      <c r="C177" t="s">
        <v>953</v>
      </c>
      <c r="D177" s="1">
        <v>42921</v>
      </c>
      <c r="E177" s="1">
        <v>42972</v>
      </c>
      <c r="F177">
        <f t="shared" si="2"/>
        <v>51</v>
      </c>
      <c r="L177" s="16"/>
    </row>
    <row r="178" spans="1:12" x14ac:dyDescent="0.2">
      <c r="A178" t="s">
        <v>1406</v>
      </c>
      <c r="B178" s="15" t="s">
        <v>954</v>
      </c>
      <c r="C178" t="s">
        <v>953</v>
      </c>
      <c r="D178" s="1">
        <v>42921</v>
      </c>
      <c r="E178" s="1">
        <v>42972</v>
      </c>
      <c r="F178">
        <f t="shared" si="2"/>
        <v>51</v>
      </c>
      <c r="L178" s="16"/>
    </row>
    <row r="179" spans="1:12" x14ac:dyDescent="0.2">
      <c r="A179" t="s">
        <v>1405</v>
      </c>
      <c r="B179" s="15" t="s">
        <v>954</v>
      </c>
      <c r="C179" t="s">
        <v>953</v>
      </c>
      <c r="D179" s="1">
        <v>42921</v>
      </c>
      <c r="E179" s="1">
        <v>42972</v>
      </c>
      <c r="F179">
        <f t="shared" si="2"/>
        <v>51</v>
      </c>
      <c r="L179" s="16"/>
    </row>
    <row r="180" spans="1:12" x14ac:dyDescent="0.2">
      <c r="A180" t="s">
        <v>1404</v>
      </c>
      <c r="B180" s="15" t="s">
        <v>954</v>
      </c>
      <c r="C180" t="s">
        <v>953</v>
      </c>
      <c r="D180" s="1">
        <v>42921</v>
      </c>
      <c r="E180" s="1">
        <v>42972</v>
      </c>
      <c r="F180">
        <f t="shared" si="2"/>
        <v>51</v>
      </c>
      <c r="L180" s="16"/>
    </row>
    <row r="181" spans="1:12" x14ac:dyDescent="0.2">
      <c r="A181" t="s">
        <v>1403</v>
      </c>
      <c r="B181" s="15" t="s">
        <v>954</v>
      </c>
      <c r="C181" t="s">
        <v>953</v>
      </c>
      <c r="D181" s="1">
        <v>42921</v>
      </c>
      <c r="E181" s="1">
        <v>42972</v>
      </c>
      <c r="F181">
        <f t="shared" si="2"/>
        <v>51</v>
      </c>
      <c r="L181" s="16"/>
    </row>
    <row r="182" spans="1:12" x14ac:dyDescent="0.2">
      <c r="A182" t="s">
        <v>1402</v>
      </c>
      <c r="B182" s="15" t="s">
        <v>954</v>
      </c>
      <c r="C182" t="s">
        <v>953</v>
      </c>
      <c r="D182" s="1">
        <v>42921</v>
      </c>
      <c r="E182" s="1">
        <v>42972</v>
      </c>
      <c r="F182">
        <f t="shared" si="2"/>
        <v>51</v>
      </c>
      <c r="L182" s="16"/>
    </row>
    <row r="183" spans="1:12" x14ac:dyDescent="0.2">
      <c r="A183" t="s">
        <v>1401</v>
      </c>
      <c r="B183" s="15" t="s">
        <v>954</v>
      </c>
      <c r="C183" t="s">
        <v>953</v>
      </c>
      <c r="D183" s="1">
        <v>42921</v>
      </c>
      <c r="E183" s="1">
        <v>42972</v>
      </c>
      <c r="F183">
        <f t="shared" si="2"/>
        <v>51</v>
      </c>
      <c r="L183" s="16"/>
    </row>
    <row r="184" spans="1:12" x14ac:dyDescent="0.2">
      <c r="A184" t="s">
        <v>1400</v>
      </c>
      <c r="B184" s="15" t="s">
        <v>954</v>
      </c>
      <c r="C184" t="s">
        <v>953</v>
      </c>
      <c r="D184" s="1">
        <v>42921</v>
      </c>
      <c r="E184" s="1">
        <v>42972</v>
      </c>
      <c r="F184">
        <f t="shared" si="2"/>
        <v>51</v>
      </c>
      <c r="L184" s="16"/>
    </row>
    <row r="185" spans="1:12" x14ac:dyDescent="0.2">
      <c r="A185" t="s">
        <v>1399</v>
      </c>
      <c r="B185" s="15" t="s">
        <v>954</v>
      </c>
      <c r="C185" t="s">
        <v>953</v>
      </c>
      <c r="D185" s="1">
        <v>42921</v>
      </c>
      <c r="E185" s="1">
        <v>42972</v>
      </c>
      <c r="F185">
        <f t="shared" si="2"/>
        <v>51</v>
      </c>
      <c r="L185" s="16"/>
    </row>
    <row r="186" spans="1:12" x14ac:dyDescent="0.2">
      <c r="A186" t="s">
        <v>1398</v>
      </c>
      <c r="B186" s="15" t="s">
        <v>954</v>
      </c>
      <c r="C186" t="s">
        <v>953</v>
      </c>
      <c r="D186" s="1">
        <v>42921</v>
      </c>
      <c r="E186" s="1">
        <v>42972</v>
      </c>
      <c r="F186">
        <f t="shared" si="2"/>
        <v>51</v>
      </c>
      <c r="L186" s="16"/>
    </row>
    <row r="187" spans="1:12" x14ac:dyDescent="0.2">
      <c r="A187" t="s">
        <v>1397</v>
      </c>
      <c r="B187" s="15" t="s">
        <v>954</v>
      </c>
      <c r="C187" t="s">
        <v>953</v>
      </c>
      <c r="D187" s="1">
        <v>42921</v>
      </c>
      <c r="E187" s="1">
        <v>42972</v>
      </c>
      <c r="F187">
        <f t="shared" si="2"/>
        <v>51</v>
      </c>
      <c r="L187" s="16"/>
    </row>
    <row r="188" spans="1:12" x14ac:dyDescent="0.2">
      <c r="A188" t="s">
        <v>1396</v>
      </c>
      <c r="B188" s="15" t="s">
        <v>954</v>
      </c>
      <c r="C188" t="s">
        <v>953</v>
      </c>
      <c r="D188" s="1">
        <v>42921</v>
      </c>
      <c r="E188" s="1">
        <v>42972</v>
      </c>
      <c r="F188">
        <f t="shared" si="2"/>
        <v>51</v>
      </c>
      <c r="L188" s="16"/>
    </row>
    <row r="189" spans="1:12" x14ac:dyDescent="0.2">
      <c r="A189" t="s">
        <v>1395</v>
      </c>
      <c r="B189" s="15" t="s">
        <v>954</v>
      </c>
      <c r="C189" t="s">
        <v>953</v>
      </c>
      <c r="D189" s="1">
        <v>42921</v>
      </c>
      <c r="E189" s="1">
        <v>42972</v>
      </c>
      <c r="F189">
        <f t="shared" si="2"/>
        <v>51</v>
      </c>
      <c r="L189" s="16"/>
    </row>
    <row r="190" spans="1:12" x14ac:dyDescent="0.2">
      <c r="A190" t="s">
        <v>1394</v>
      </c>
      <c r="B190" s="15" t="s">
        <v>954</v>
      </c>
      <c r="C190" t="s">
        <v>953</v>
      </c>
      <c r="D190" s="1">
        <v>42921</v>
      </c>
      <c r="E190" s="1">
        <v>42972</v>
      </c>
      <c r="F190">
        <f t="shared" si="2"/>
        <v>51</v>
      </c>
      <c r="L190" s="16"/>
    </row>
    <row r="191" spans="1:12" x14ac:dyDescent="0.2">
      <c r="A191" t="s">
        <v>1393</v>
      </c>
      <c r="B191" s="15" t="s">
        <v>954</v>
      </c>
      <c r="C191" t="s">
        <v>953</v>
      </c>
      <c r="D191" s="1">
        <v>42921</v>
      </c>
      <c r="E191" s="1">
        <v>42972</v>
      </c>
      <c r="F191">
        <f t="shared" si="2"/>
        <v>51</v>
      </c>
      <c r="L191" s="16"/>
    </row>
    <row r="192" spans="1:12" x14ac:dyDescent="0.2">
      <c r="A192" t="s">
        <v>1392</v>
      </c>
      <c r="B192" s="15" t="s">
        <v>954</v>
      </c>
      <c r="C192" t="s">
        <v>953</v>
      </c>
      <c r="D192" s="1">
        <v>42921</v>
      </c>
      <c r="E192" s="1">
        <v>42972</v>
      </c>
      <c r="F192">
        <f t="shared" si="2"/>
        <v>51</v>
      </c>
      <c r="L192" s="16"/>
    </row>
    <row r="193" spans="1:12" x14ac:dyDescent="0.2">
      <c r="A193" t="s">
        <v>1391</v>
      </c>
      <c r="B193" s="15" t="s">
        <v>954</v>
      </c>
      <c r="C193" t="s">
        <v>953</v>
      </c>
      <c r="D193" s="1">
        <v>42921</v>
      </c>
      <c r="E193" s="1">
        <v>42972</v>
      </c>
      <c r="F193">
        <f t="shared" si="2"/>
        <v>51</v>
      </c>
      <c r="L193" s="16"/>
    </row>
    <row r="194" spans="1:12" x14ac:dyDescent="0.2">
      <c r="A194" t="s">
        <v>1390</v>
      </c>
      <c r="B194" s="15" t="s">
        <v>954</v>
      </c>
      <c r="C194" t="s">
        <v>953</v>
      </c>
      <c r="D194" s="1">
        <v>42921</v>
      </c>
      <c r="E194" s="1">
        <v>42972</v>
      </c>
      <c r="F194">
        <f t="shared" ref="F194:F203" si="3">E194-D194</f>
        <v>51</v>
      </c>
      <c r="L194" s="16"/>
    </row>
    <row r="195" spans="1:12" x14ac:dyDescent="0.2">
      <c r="A195" t="s">
        <v>1389</v>
      </c>
      <c r="B195" s="15" t="s">
        <v>954</v>
      </c>
      <c r="C195" t="s">
        <v>953</v>
      </c>
      <c r="D195" s="1">
        <v>42921</v>
      </c>
      <c r="E195" s="1">
        <v>42972</v>
      </c>
      <c r="F195">
        <f t="shared" si="3"/>
        <v>51</v>
      </c>
      <c r="L195" s="16"/>
    </row>
    <row r="196" spans="1:12" x14ac:dyDescent="0.2">
      <c r="A196" t="s">
        <v>1388</v>
      </c>
      <c r="B196" s="15" t="s">
        <v>954</v>
      </c>
      <c r="C196" t="s">
        <v>953</v>
      </c>
      <c r="D196" s="1">
        <v>42921</v>
      </c>
      <c r="E196" s="1">
        <v>42972</v>
      </c>
      <c r="F196">
        <f t="shared" si="3"/>
        <v>51</v>
      </c>
      <c r="L196" s="16"/>
    </row>
    <row r="197" spans="1:12" x14ac:dyDescent="0.2">
      <c r="A197" t="s">
        <v>1387</v>
      </c>
      <c r="B197" s="15" t="s">
        <v>954</v>
      </c>
      <c r="C197" t="s">
        <v>953</v>
      </c>
      <c r="D197" s="1">
        <v>42921</v>
      </c>
      <c r="E197" s="1">
        <v>42972</v>
      </c>
      <c r="F197">
        <f t="shared" si="3"/>
        <v>51</v>
      </c>
      <c r="L197" s="16"/>
    </row>
    <row r="198" spans="1:12" x14ac:dyDescent="0.2">
      <c r="A198" t="s">
        <v>1386</v>
      </c>
      <c r="B198" s="15" t="s">
        <v>954</v>
      </c>
      <c r="C198" t="s">
        <v>953</v>
      </c>
      <c r="D198" s="1">
        <v>42921</v>
      </c>
      <c r="E198" s="1">
        <v>42972</v>
      </c>
      <c r="F198">
        <f t="shared" si="3"/>
        <v>51</v>
      </c>
      <c r="L198" s="16"/>
    </row>
    <row r="199" spans="1:12" x14ac:dyDescent="0.2">
      <c r="A199" t="s">
        <v>1385</v>
      </c>
      <c r="B199" s="15" t="s">
        <v>954</v>
      </c>
      <c r="C199" t="s">
        <v>953</v>
      </c>
      <c r="D199" s="1">
        <v>42921</v>
      </c>
      <c r="E199" s="1">
        <v>42972</v>
      </c>
      <c r="F199">
        <f t="shared" si="3"/>
        <v>51</v>
      </c>
      <c r="L199" s="16"/>
    </row>
    <row r="200" spans="1:12" x14ac:dyDescent="0.2">
      <c r="A200" t="s">
        <v>1384</v>
      </c>
      <c r="B200" s="15" t="s">
        <v>954</v>
      </c>
      <c r="C200" t="s">
        <v>953</v>
      </c>
      <c r="D200" s="1">
        <v>42921</v>
      </c>
      <c r="E200" s="1">
        <v>42972</v>
      </c>
      <c r="F200">
        <f t="shared" si="3"/>
        <v>51</v>
      </c>
      <c r="L200" s="16"/>
    </row>
    <row r="201" spans="1:12" x14ac:dyDescent="0.2">
      <c r="A201" t="s">
        <v>1383</v>
      </c>
      <c r="B201" s="15" t="s">
        <v>954</v>
      </c>
      <c r="C201" t="s">
        <v>953</v>
      </c>
      <c r="D201" s="1">
        <v>42921</v>
      </c>
      <c r="E201" s="1">
        <v>42972</v>
      </c>
      <c r="F201">
        <f t="shared" si="3"/>
        <v>51</v>
      </c>
      <c r="L201" s="16"/>
    </row>
    <row r="202" spans="1:12" x14ac:dyDescent="0.2">
      <c r="A202" t="s">
        <v>1382</v>
      </c>
      <c r="B202" s="15" t="s">
        <v>954</v>
      </c>
      <c r="C202" t="s">
        <v>953</v>
      </c>
      <c r="D202" s="1">
        <v>42921</v>
      </c>
      <c r="E202" s="1">
        <v>42972</v>
      </c>
      <c r="F202">
        <f t="shared" si="3"/>
        <v>51</v>
      </c>
      <c r="L202" s="16"/>
    </row>
    <row r="203" spans="1:12" x14ac:dyDescent="0.2">
      <c r="A203" t="s">
        <v>1381</v>
      </c>
      <c r="B203" s="15" t="s">
        <v>954</v>
      </c>
      <c r="C203" t="s">
        <v>953</v>
      </c>
      <c r="D203" s="1">
        <v>42921</v>
      </c>
      <c r="E203" s="1">
        <v>42972</v>
      </c>
      <c r="F203">
        <f t="shared" si="3"/>
        <v>51</v>
      </c>
      <c r="L203" s="16"/>
    </row>
    <row r="204" spans="1:12" x14ac:dyDescent="0.2">
      <c r="A204" t="s">
        <v>1380</v>
      </c>
      <c r="B204" s="2" t="s">
        <v>44</v>
      </c>
      <c r="C204" s="2" t="s">
        <v>44</v>
      </c>
      <c r="D204" s="2" t="s">
        <v>44</v>
      </c>
      <c r="E204" s="2" t="s">
        <v>44</v>
      </c>
      <c r="F204" s="2" t="s">
        <v>44</v>
      </c>
      <c r="G204" s="2"/>
      <c r="H204" s="2"/>
      <c r="L204" s="16"/>
    </row>
    <row r="205" spans="1:12" x14ac:dyDescent="0.2">
      <c r="A205" t="s">
        <v>1379</v>
      </c>
      <c r="B205" s="15" t="s">
        <v>954</v>
      </c>
      <c r="C205" t="s">
        <v>953</v>
      </c>
      <c r="D205" s="1">
        <v>42921</v>
      </c>
      <c r="E205" s="1">
        <v>42972</v>
      </c>
      <c r="F205">
        <f>E205-D205</f>
        <v>51</v>
      </c>
      <c r="L205" s="16"/>
    </row>
    <row r="206" spans="1:12" x14ac:dyDescent="0.2">
      <c r="A206" t="s">
        <v>1378</v>
      </c>
      <c r="B206" s="15" t="s">
        <v>954</v>
      </c>
      <c r="C206" t="s">
        <v>953</v>
      </c>
      <c r="D206" s="1">
        <v>42921</v>
      </c>
      <c r="E206" s="1">
        <v>42972</v>
      </c>
      <c r="F206">
        <f>E206-D206</f>
        <v>51</v>
      </c>
      <c r="L206" s="16"/>
    </row>
    <row r="207" spans="1:12" x14ac:dyDescent="0.2">
      <c r="A207" t="s">
        <v>1377</v>
      </c>
      <c r="B207" s="2" t="s">
        <v>44</v>
      </c>
      <c r="C207" s="2" t="s">
        <v>44</v>
      </c>
      <c r="D207" s="2" t="s">
        <v>44</v>
      </c>
      <c r="E207" s="2" t="s">
        <v>44</v>
      </c>
      <c r="F207" s="2" t="s">
        <v>44</v>
      </c>
      <c r="G207" s="2"/>
      <c r="H207" s="2"/>
      <c r="L207" s="16"/>
    </row>
    <row r="208" spans="1:12" x14ac:dyDescent="0.2">
      <c r="A208" t="s">
        <v>1376</v>
      </c>
      <c r="B208" s="15" t="s">
        <v>954</v>
      </c>
      <c r="C208" t="s">
        <v>953</v>
      </c>
      <c r="D208" s="1">
        <v>42921</v>
      </c>
      <c r="E208" s="1">
        <v>42972</v>
      </c>
      <c r="F208">
        <f t="shared" ref="F208:F236" si="4">E208-D208</f>
        <v>51</v>
      </c>
      <c r="L208" s="16"/>
    </row>
    <row r="209" spans="1:12" x14ac:dyDescent="0.2">
      <c r="A209" t="s">
        <v>1375</v>
      </c>
      <c r="B209" s="15" t="s">
        <v>954</v>
      </c>
      <c r="C209" t="s">
        <v>953</v>
      </c>
      <c r="D209" s="1">
        <v>42921</v>
      </c>
      <c r="E209" s="1">
        <v>42972</v>
      </c>
      <c r="F209">
        <f t="shared" si="4"/>
        <v>51</v>
      </c>
      <c r="L209" s="16"/>
    </row>
    <row r="210" spans="1:12" x14ac:dyDescent="0.2">
      <c r="A210" t="s">
        <v>1374</v>
      </c>
      <c r="B210" s="15" t="s">
        <v>954</v>
      </c>
      <c r="C210" t="s">
        <v>953</v>
      </c>
      <c r="D210" s="1">
        <v>42921</v>
      </c>
      <c r="E210" s="1">
        <v>42972</v>
      </c>
      <c r="F210">
        <f t="shared" si="4"/>
        <v>51</v>
      </c>
      <c r="L210" s="16"/>
    </row>
    <row r="211" spans="1:12" x14ac:dyDescent="0.2">
      <c r="A211" t="s">
        <v>1373</v>
      </c>
      <c r="B211" s="15" t="s">
        <v>954</v>
      </c>
      <c r="C211" t="s">
        <v>953</v>
      </c>
      <c r="D211" s="1">
        <v>42921</v>
      </c>
      <c r="E211" s="1">
        <v>42972</v>
      </c>
      <c r="F211">
        <f t="shared" si="4"/>
        <v>51</v>
      </c>
      <c r="L211" s="16"/>
    </row>
    <row r="212" spans="1:12" x14ac:dyDescent="0.2">
      <c r="A212" t="s">
        <v>1372</v>
      </c>
      <c r="B212" s="15" t="s">
        <v>954</v>
      </c>
      <c r="C212" t="s">
        <v>953</v>
      </c>
      <c r="D212" s="1">
        <v>42921</v>
      </c>
      <c r="E212" s="1">
        <v>42972</v>
      </c>
      <c r="F212">
        <f t="shared" si="4"/>
        <v>51</v>
      </c>
      <c r="L212" s="16"/>
    </row>
    <row r="213" spans="1:12" x14ac:dyDescent="0.2">
      <c r="A213" t="s">
        <v>1371</v>
      </c>
      <c r="B213" s="15" t="s">
        <v>954</v>
      </c>
      <c r="C213" t="s">
        <v>953</v>
      </c>
      <c r="D213" s="1">
        <v>42921</v>
      </c>
      <c r="E213" s="1">
        <v>42972</v>
      </c>
      <c r="F213">
        <f t="shared" si="4"/>
        <v>51</v>
      </c>
      <c r="L213" s="16"/>
    </row>
    <row r="214" spans="1:12" x14ac:dyDescent="0.2">
      <c r="A214" t="s">
        <v>1370</v>
      </c>
      <c r="B214" s="15" t="s">
        <v>954</v>
      </c>
      <c r="C214" t="s">
        <v>953</v>
      </c>
      <c r="D214" s="1">
        <v>42921</v>
      </c>
      <c r="E214" s="1">
        <v>42972</v>
      </c>
      <c r="F214">
        <f t="shared" si="4"/>
        <v>51</v>
      </c>
      <c r="L214" s="16"/>
    </row>
    <row r="215" spans="1:12" x14ac:dyDescent="0.2">
      <c r="A215" t="s">
        <v>1369</v>
      </c>
      <c r="B215" s="15" t="s">
        <v>954</v>
      </c>
      <c r="C215" t="s">
        <v>953</v>
      </c>
      <c r="D215" s="1">
        <v>42921</v>
      </c>
      <c r="E215" s="1">
        <v>42972</v>
      </c>
      <c r="F215">
        <f t="shared" si="4"/>
        <v>51</v>
      </c>
      <c r="L215" s="16"/>
    </row>
    <row r="216" spans="1:12" x14ac:dyDescent="0.2">
      <c r="A216" t="s">
        <v>1368</v>
      </c>
      <c r="B216" s="15" t="s">
        <v>954</v>
      </c>
      <c r="C216" t="s">
        <v>953</v>
      </c>
      <c r="D216" s="1">
        <v>42921</v>
      </c>
      <c r="E216" s="1">
        <v>42972</v>
      </c>
      <c r="F216">
        <f t="shared" si="4"/>
        <v>51</v>
      </c>
      <c r="L216" s="16"/>
    </row>
    <row r="217" spans="1:12" x14ac:dyDescent="0.2">
      <c r="A217" t="s">
        <v>1367</v>
      </c>
      <c r="B217" s="15" t="s">
        <v>954</v>
      </c>
      <c r="C217" t="s">
        <v>953</v>
      </c>
      <c r="D217" s="1">
        <v>42921</v>
      </c>
      <c r="E217" s="1">
        <v>42972</v>
      </c>
      <c r="F217">
        <f t="shared" si="4"/>
        <v>51</v>
      </c>
      <c r="L217" s="16"/>
    </row>
    <row r="218" spans="1:12" x14ac:dyDescent="0.2">
      <c r="A218" t="s">
        <v>1366</v>
      </c>
      <c r="B218" s="15" t="s">
        <v>954</v>
      </c>
      <c r="C218" t="s">
        <v>953</v>
      </c>
      <c r="D218" s="1">
        <v>42921</v>
      </c>
      <c r="E218" s="1">
        <v>42972</v>
      </c>
      <c r="F218">
        <f t="shared" si="4"/>
        <v>51</v>
      </c>
      <c r="L218" s="16"/>
    </row>
    <row r="219" spans="1:12" x14ac:dyDescent="0.2">
      <c r="A219" t="s">
        <v>1365</v>
      </c>
      <c r="B219" s="15" t="s">
        <v>954</v>
      </c>
      <c r="C219" t="s">
        <v>953</v>
      </c>
      <c r="D219" s="1">
        <v>42921</v>
      </c>
      <c r="E219" s="1">
        <v>42972</v>
      </c>
      <c r="F219">
        <f t="shared" si="4"/>
        <v>51</v>
      </c>
      <c r="L219" s="16"/>
    </row>
    <row r="220" spans="1:12" x14ac:dyDescent="0.2">
      <c r="A220" t="s">
        <v>1364</v>
      </c>
      <c r="B220" s="15" t="s">
        <v>954</v>
      </c>
      <c r="C220" t="s">
        <v>953</v>
      </c>
      <c r="D220" s="1">
        <v>42921</v>
      </c>
      <c r="E220" s="1">
        <v>42972</v>
      </c>
      <c r="F220">
        <f t="shared" si="4"/>
        <v>51</v>
      </c>
      <c r="L220" s="16"/>
    </row>
    <row r="221" spans="1:12" x14ac:dyDescent="0.2">
      <c r="A221" t="s">
        <v>1363</v>
      </c>
      <c r="B221" s="15" t="s">
        <v>954</v>
      </c>
      <c r="C221" t="s">
        <v>953</v>
      </c>
      <c r="D221" s="1">
        <v>42921</v>
      </c>
      <c r="E221" s="1">
        <v>42972</v>
      </c>
      <c r="F221">
        <f t="shared" si="4"/>
        <v>51</v>
      </c>
      <c r="L221" s="16"/>
    </row>
    <row r="222" spans="1:12" x14ac:dyDescent="0.2">
      <c r="A222" t="s">
        <v>1362</v>
      </c>
      <c r="B222" s="15" t="s">
        <v>954</v>
      </c>
      <c r="C222" t="s">
        <v>953</v>
      </c>
      <c r="D222" s="1">
        <v>42921</v>
      </c>
      <c r="E222" s="1">
        <v>42972</v>
      </c>
      <c r="F222">
        <f t="shared" si="4"/>
        <v>51</v>
      </c>
      <c r="L222" s="16"/>
    </row>
    <row r="223" spans="1:12" x14ac:dyDescent="0.2">
      <c r="A223" t="s">
        <v>1361</v>
      </c>
      <c r="B223" s="15" t="s">
        <v>954</v>
      </c>
      <c r="C223" t="s">
        <v>953</v>
      </c>
      <c r="D223" s="1">
        <v>42921</v>
      </c>
      <c r="E223" s="1">
        <v>42972</v>
      </c>
      <c r="F223">
        <f t="shared" si="4"/>
        <v>51</v>
      </c>
      <c r="L223" s="16"/>
    </row>
    <row r="224" spans="1:12" x14ac:dyDescent="0.2">
      <c r="A224" t="s">
        <v>1360</v>
      </c>
      <c r="B224" s="15" t="s">
        <v>954</v>
      </c>
      <c r="C224" t="s">
        <v>953</v>
      </c>
      <c r="D224" s="1">
        <v>42921</v>
      </c>
      <c r="E224" s="1">
        <v>42972</v>
      </c>
      <c r="F224">
        <f t="shared" si="4"/>
        <v>51</v>
      </c>
      <c r="L224" s="16"/>
    </row>
    <row r="225" spans="1:14" x14ac:dyDescent="0.2">
      <c r="A225" t="s">
        <v>1359</v>
      </c>
      <c r="B225" s="15" t="s">
        <v>954</v>
      </c>
      <c r="C225" t="s">
        <v>953</v>
      </c>
      <c r="D225" s="1">
        <v>42921</v>
      </c>
      <c r="E225" s="1">
        <v>42972</v>
      </c>
      <c r="F225">
        <f t="shared" si="4"/>
        <v>51</v>
      </c>
      <c r="L225" s="16"/>
    </row>
    <row r="226" spans="1:14" x14ac:dyDescent="0.2">
      <c r="A226" t="s">
        <v>1358</v>
      </c>
      <c r="B226" s="15" t="s">
        <v>954</v>
      </c>
      <c r="C226" t="s">
        <v>953</v>
      </c>
      <c r="D226" s="1">
        <v>42921</v>
      </c>
      <c r="E226" s="1">
        <v>42972</v>
      </c>
      <c r="F226">
        <f t="shared" si="4"/>
        <v>51</v>
      </c>
      <c r="L226" s="16"/>
    </row>
    <row r="227" spans="1:14" x14ac:dyDescent="0.2">
      <c r="A227" t="s">
        <v>1357</v>
      </c>
      <c r="B227" s="15" t="s">
        <v>954</v>
      </c>
      <c r="C227" t="s">
        <v>953</v>
      </c>
      <c r="D227" s="1">
        <v>42921</v>
      </c>
      <c r="E227" s="1">
        <v>42972</v>
      </c>
      <c r="F227">
        <f t="shared" si="4"/>
        <v>51</v>
      </c>
      <c r="L227" s="16"/>
    </row>
    <row r="228" spans="1:14" x14ac:dyDescent="0.2">
      <c r="A228" t="s">
        <v>1356</v>
      </c>
      <c r="B228" s="15" t="s">
        <v>954</v>
      </c>
      <c r="C228" t="s">
        <v>953</v>
      </c>
      <c r="D228" s="1">
        <v>42921</v>
      </c>
      <c r="E228" s="1">
        <v>42972</v>
      </c>
      <c r="F228">
        <f t="shared" si="4"/>
        <v>51</v>
      </c>
      <c r="L228" s="16"/>
    </row>
    <row r="229" spans="1:14" x14ac:dyDescent="0.2">
      <c r="A229" t="s">
        <v>1355</v>
      </c>
      <c r="B229" s="15" t="s">
        <v>954</v>
      </c>
      <c r="C229" t="s">
        <v>953</v>
      </c>
      <c r="D229" s="1">
        <v>42921</v>
      </c>
      <c r="E229" s="1">
        <v>42972</v>
      </c>
      <c r="F229">
        <f t="shared" si="4"/>
        <v>51</v>
      </c>
      <c r="L229" s="16"/>
    </row>
    <row r="230" spans="1:14" x14ac:dyDescent="0.2">
      <c r="A230" t="s">
        <v>1354</v>
      </c>
      <c r="B230" s="15" t="s">
        <v>954</v>
      </c>
      <c r="C230" t="s">
        <v>953</v>
      </c>
      <c r="D230" s="1">
        <v>42921</v>
      </c>
      <c r="E230" s="1">
        <v>42972</v>
      </c>
      <c r="F230">
        <f t="shared" si="4"/>
        <v>51</v>
      </c>
      <c r="L230" s="16"/>
    </row>
    <row r="231" spans="1:14" x14ac:dyDescent="0.2">
      <c r="A231" t="s">
        <v>1353</v>
      </c>
      <c r="B231" s="15" t="s">
        <v>954</v>
      </c>
      <c r="C231" t="s">
        <v>953</v>
      </c>
      <c r="D231" s="1">
        <v>42921</v>
      </c>
      <c r="E231" s="1">
        <v>42972</v>
      </c>
      <c r="F231">
        <f t="shared" si="4"/>
        <v>51</v>
      </c>
      <c r="L231" s="16"/>
    </row>
    <row r="232" spans="1:14" x14ac:dyDescent="0.2">
      <c r="A232" t="s">
        <v>1352</v>
      </c>
      <c r="B232" s="15" t="s">
        <v>954</v>
      </c>
      <c r="C232" t="s">
        <v>953</v>
      </c>
      <c r="D232" s="1">
        <v>42921</v>
      </c>
      <c r="E232" s="1">
        <v>42972</v>
      </c>
      <c r="F232">
        <f t="shared" si="4"/>
        <v>51</v>
      </c>
      <c r="L232" s="16"/>
    </row>
    <row r="233" spans="1:14" x14ac:dyDescent="0.2">
      <c r="A233" t="s">
        <v>1351</v>
      </c>
      <c r="B233" s="15" t="s">
        <v>954</v>
      </c>
      <c r="C233" t="s">
        <v>953</v>
      </c>
      <c r="D233" s="1">
        <v>42921</v>
      </c>
      <c r="E233" s="1">
        <v>42972</v>
      </c>
      <c r="F233">
        <f t="shared" si="4"/>
        <v>51</v>
      </c>
      <c r="L233" s="16"/>
    </row>
    <row r="234" spans="1:14" x14ac:dyDescent="0.2">
      <c r="A234" t="s">
        <v>1350</v>
      </c>
      <c r="B234" s="15" t="s">
        <v>954</v>
      </c>
      <c r="C234" t="s">
        <v>953</v>
      </c>
      <c r="D234" s="1">
        <v>42921</v>
      </c>
      <c r="E234" s="1">
        <v>42972</v>
      </c>
      <c r="F234">
        <f t="shared" si="4"/>
        <v>51</v>
      </c>
      <c r="L234" s="16"/>
    </row>
    <row r="235" spans="1:14" x14ac:dyDescent="0.2">
      <c r="A235" t="s">
        <v>1349</v>
      </c>
      <c r="B235" s="15" t="s">
        <v>954</v>
      </c>
      <c r="C235" t="s">
        <v>953</v>
      </c>
      <c r="D235" s="1">
        <v>42921</v>
      </c>
      <c r="E235" s="1">
        <v>42972</v>
      </c>
      <c r="F235">
        <f t="shared" si="4"/>
        <v>51</v>
      </c>
      <c r="L235" s="16"/>
    </row>
    <row r="236" spans="1:14" x14ac:dyDescent="0.2">
      <c r="A236" t="s">
        <v>1348</v>
      </c>
      <c r="B236" s="15" t="s">
        <v>954</v>
      </c>
      <c r="C236" t="s">
        <v>953</v>
      </c>
      <c r="D236" s="1">
        <v>42921</v>
      </c>
      <c r="E236" s="1">
        <v>42972</v>
      </c>
      <c r="F236">
        <f t="shared" si="4"/>
        <v>51</v>
      </c>
      <c r="J236" s="18"/>
      <c r="K236" s="18"/>
      <c r="L236" s="19"/>
      <c r="M236" s="18"/>
    </row>
    <row r="237" spans="1:14" x14ac:dyDescent="0.2">
      <c r="A237" t="s">
        <v>1346</v>
      </c>
      <c r="B237" s="17" t="s">
        <v>951</v>
      </c>
      <c r="C237" t="s">
        <v>950</v>
      </c>
      <c r="E237" t="s">
        <v>44</v>
      </c>
      <c r="F237" t="s">
        <v>44</v>
      </c>
      <c r="I237" t="s">
        <v>971</v>
      </c>
      <c r="J237" s="18" t="s">
        <v>1345</v>
      </c>
      <c r="K237" s="18" t="s">
        <v>981</v>
      </c>
      <c r="L237" s="19">
        <v>0.16700000000000001</v>
      </c>
    </row>
    <row r="238" spans="1:14" x14ac:dyDescent="0.2">
      <c r="A238" t="s">
        <v>1344</v>
      </c>
      <c r="B238" s="17" t="s">
        <v>951</v>
      </c>
      <c r="C238" t="s">
        <v>950</v>
      </c>
      <c r="E238" t="s">
        <v>44</v>
      </c>
      <c r="F238" t="s">
        <v>44</v>
      </c>
      <c r="I238" t="s">
        <v>971</v>
      </c>
      <c r="J238" s="18" t="s">
        <v>1343</v>
      </c>
      <c r="K238" s="18" t="s">
        <v>981</v>
      </c>
      <c r="L238" s="22">
        <v>0.1024</v>
      </c>
      <c r="M238">
        <v>6.3550000000000004</v>
      </c>
      <c r="N238">
        <f>9.735+9.724</f>
        <v>19.459</v>
      </c>
    </row>
    <row r="239" spans="1:14" x14ac:dyDescent="0.2">
      <c r="A239" t="s">
        <v>1342</v>
      </c>
      <c r="B239" s="17" t="s">
        <v>951</v>
      </c>
      <c r="C239" t="s">
        <v>950</v>
      </c>
      <c r="E239" t="s">
        <v>44</v>
      </c>
      <c r="F239" t="s">
        <v>44</v>
      </c>
      <c r="I239" t="s">
        <v>971</v>
      </c>
      <c r="J239" s="18" t="s">
        <v>1341</v>
      </c>
      <c r="K239" s="18" t="s">
        <v>981</v>
      </c>
      <c r="L239" s="22">
        <v>9.4200000000000006E-2</v>
      </c>
      <c r="M239">
        <v>5.7080000000000002</v>
      </c>
      <c r="N239">
        <f>9.39+9.313</f>
        <v>18.703000000000003</v>
      </c>
    </row>
    <row r="240" spans="1:14" x14ac:dyDescent="0.2">
      <c r="A240" t="s">
        <v>1340</v>
      </c>
      <c r="B240" s="17" t="s">
        <v>951</v>
      </c>
      <c r="C240" t="s">
        <v>950</v>
      </c>
      <c r="E240" t="s">
        <v>44</v>
      </c>
      <c r="F240" t="s">
        <v>44</v>
      </c>
      <c r="I240" t="s">
        <v>971</v>
      </c>
      <c r="J240" s="18" t="s">
        <v>1339</v>
      </c>
      <c r="K240" s="18" t="s">
        <v>981</v>
      </c>
      <c r="L240" s="22">
        <v>0.2495</v>
      </c>
    </row>
    <row r="241" spans="1:14" x14ac:dyDescent="0.2">
      <c r="A241" t="s">
        <v>1338</v>
      </c>
      <c r="B241" s="17" t="s">
        <v>951</v>
      </c>
      <c r="C241" t="s">
        <v>950</v>
      </c>
      <c r="E241" t="s">
        <v>44</v>
      </c>
      <c r="F241" t="s">
        <v>44</v>
      </c>
      <c r="I241" t="s">
        <v>971</v>
      </c>
      <c r="J241" s="18" t="s">
        <v>1337</v>
      </c>
      <c r="K241" s="18" t="s">
        <v>981</v>
      </c>
      <c r="L241" s="22">
        <v>0.14749999999999999</v>
      </c>
    </row>
    <row r="242" spans="1:14" x14ac:dyDescent="0.2">
      <c r="A242" t="s">
        <v>1336</v>
      </c>
      <c r="B242" s="17" t="s">
        <v>951</v>
      </c>
      <c r="C242" t="s">
        <v>950</v>
      </c>
      <c r="E242" t="s">
        <v>44</v>
      </c>
      <c r="F242" t="s">
        <v>44</v>
      </c>
      <c r="I242" t="s">
        <v>971</v>
      </c>
      <c r="J242" s="18" t="s">
        <v>1335</v>
      </c>
      <c r="K242" s="18" t="s">
        <v>981</v>
      </c>
      <c r="L242" s="22">
        <v>0.1134</v>
      </c>
      <c r="M242">
        <v>6.2160000000000002</v>
      </c>
      <c r="N242">
        <f>10.125+9.16</f>
        <v>19.285</v>
      </c>
    </row>
    <row r="243" spans="1:14" x14ac:dyDescent="0.2">
      <c r="A243" t="s">
        <v>1334</v>
      </c>
      <c r="B243" s="17" t="s">
        <v>951</v>
      </c>
      <c r="C243" t="s">
        <v>950</v>
      </c>
      <c r="E243" t="s">
        <v>44</v>
      </c>
      <c r="F243" t="s">
        <v>44</v>
      </c>
      <c r="I243" t="s">
        <v>971</v>
      </c>
      <c r="J243" s="18" t="s">
        <v>1333</v>
      </c>
      <c r="K243" s="18" t="s">
        <v>981</v>
      </c>
      <c r="L243" s="22">
        <v>0.15559999999999999</v>
      </c>
    </row>
    <row r="244" spans="1:14" x14ac:dyDescent="0.2">
      <c r="A244" t="s">
        <v>1332</v>
      </c>
      <c r="B244" s="17" t="s">
        <v>951</v>
      </c>
      <c r="C244" t="s">
        <v>950</v>
      </c>
      <c r="E244" t="s">
        <v>44</v>
      </c>
      <c r="F244" t="s">
        <v>44</v>
      </c>
      <c r="I244" t="s">
        <v>971</v>
      </c>
      <c r="J244" s="18" t="s">
        <v>1331</v>
      </c>
      <c r="K244" s="18" t="s">
        <v>981</v>
      </c>
      <c r="L244" s="22">
        <v>0.1079</v>
      </c>
    </row>
    <row r="245" spans="1:14" x14ac:dyDescent="0.2">
      <c r="A245" t="s">
        <v>1330</v>
      </c>
      <c r="B245" s="17" t="s">
        <v>951</v>
      </c>
      <c r="C245" t="s">
        <v>950</v>
      </c>
      <c r="E245" t="s">
        <v>44</v>
      </c>
      <c r="F245" t="s">
        <v>44</v>
      </c>
      <c r="I245" t="s">
        <v>971</v>
      </c>
      <c r="J245" s="18" t="s">
        <v>1329</v>
      </c>
      <c r="K245" s="18" t="s">
        <v>981</v>
      </c>
      <c r="L245" s="22">
        <v>8.7900000000000006E-2</v>
      </c>
    </row>
    <row r="246" spans="1:14" x14ac:dyDescent="0.2">
      <c r="A246" t="s">
        <v>1328</v>
      </c>
      <c r="B246" s="17" t="s">
        <v>951</v>
      </c>
      <c r="C246" t="s">
        <v>950</v>
      </c>
      <c r="E246" t="s">
        <v>44</v>
      </c>
      <c r="F246" t="s">
        <v>44</v>
      </c>
      <c r="I246" t="s">
        <v>971</v>
      </c>
      <c r="J246" s="18" t="s">
        <v>1327</v>
      </c>
      <c r="K246" s="18" t="s">
        <v>981</v>
      </c>
      <c r="L246" s="22">
        <v>8.3000000000000004E-2</v>
      </c>
      <c r="M246">
        <v>5.6609999999999996</v>
      </c>
      <c r="N246">
        <f>7.709+8.231</f>
        <v>15.94</v>
      </c>
    </row>
    <row r="247" spans="1:14" x14ac:dyDescent="0.2">
      <c r="A247" t="s">
        <v>1326</v>
      </c>
      <c r="B247" s="17" t="s">
        <v>951</v>
      </c>
      <c r="C247" t="s">
        <v>950</v>
      </c>
      <c r="E247" t="s">
        <v>44</v>
      </c>
      <c r="F247" t="s">
        <v>44</v>
      </c>
      <c r="I247" t="s">
        <v>971</v>
      </c>
      <c r="J247" s="18" t="s">
        <v>1325</v>
      </c>
      <c r="K247" s="18" t="s">
        <v>981</v>
      </c>
      <c r="L247" s="22">
        <v>0.15870000000000001</v>
      </c>
    </row>
    <row r="248" spans="1:14" x14ac:dyDescent="0.2">
      <c r="A248" t="s">
        <v>1324</v>
      </c>
      <c r="B248" s="17" t="s">
        <v>951</v>
      </c>
      <c r="C248" t="s">
        <v>950</v>
      </c>
      <c r="E248" t="s">
        <v>44</v>
      </c>
      <c r="F248" t="s">
        <v>44</v>
      </c>
      <c r="I248" t="s">
        <v>971</v>
      </c>
      <c r="J248" s="18" t="s">
        <v>1323</v>
      </c>
      <c r="K248" s="18" t="s">
        <v>981</v>
      </c>
      <c r="L248" s="22">
        <v>0.1143</v>
      </c>
    </row>
    <row r="249" spans="1:14" x14ac:dyDescent="0.2">
      <c r="A249" t="s">
        <v>1322</v>
      </c>
      <c r="B249" s="17" t="s">
        <v>951</v>
      </c>
      <c r="C249" t="s">
        <v>950</v>
      </c>
      <c r="E249" t="s">
        <v>44</v>
      </c>
      <c r="F249" t="s">
        <v>44</v>
      </c>
      <c r="I249" t="s">
        <v>971</v>
      </c>
      <c r="J249" s="18" t="s">
        <v>1321</v>
      </c>
      <c r="K249" s="18" t="s">
        <v>981</v>
      </c>
      <c r="L249" s="22">
        <v>9.9299999999999999E-2</v>
      </c>
      <c r="M249">
        <v>6.2880000000000003</v>
      </c>
      <c r="N249">
        <f>13.523+8.665</f>
        <v>22.187999999999999</v>
      </c>
    </row>
    <row r="250" spans="1:14" x14ac:dyDescent="0.2">
      <c r="A250" t="s">
        <v>1320</v>
      </c>
      <c r="B250" s="17" t="s">
        <v>951</v>
      </c>
      <c r="C250" t="s">
        <v>950</v>
      </c>
      <c r="E250" t="s">
        <v>44</v>
      </c>
      <c r="F250" t="s">
        <v>44</v>
      </c>
      <c r="I250" t="s">
        <v>971</v>
      </c>
      <c r="J250" s="18" t="s">
        <v>1319</v>
      </c>
      <c r="K250" s="18" t="s">
        <v>981</v>
      </c>
      <c r="L250" s="22">
        <v>8.3199999999999996E-2</v>
      </c>
    </row>
    <row r="251" spans="1:14" x14ac:dyDescent="0.2">
      <c r="A251" t="s">
        <v>1318</v>
      </c>
      <c r="B251" s="17" t="s">
        <v>951</v>
      </c>
      <c r="C251" t="s">
        <v>950</v>
      </c>
      <c r="E251" t="s">
        <v>44</v>
      </c>
      <c r="F251" t="s">
        <v>44</v>
      </c>
      <c r="I251" t="s">
        <v>971</v>
      </c>
      <c r="J251" s="18" t="s">
        <v>1317</v>
      </c>
      <c r="K251" s="18" t="s">
        <v>981</v>
      </c>
      <c r="L251" s="22">
        <v>0.1128</v>
      </c>
    </row>
    <row r="252" spans="1:14" x14ac:dyDescent="0.2">
      <c r="A252" t="s">
        <v>1316</v>
      </c>
      <c r="B252" s="17" t="s">
        <v>951</v>
      </c>
      <c r="C252" t="s">
        <v>950</v>
      </c>
      <c r="E252" t="s">
        <v>44</v>
      </c>
      <c r="F252" t="s">
        <v>44</v>
      </c>
      <c r="I252" t="s">
        <v>971</v>
      </c>
      <c r="J252" s="18" t="s">
        <v>1315</v>
      </c>
      <c r="K252" s="18" t="s">
        <v>981</v>
      </c>
      <c r="L252" s="22">
        <v>0.12939999999999999</v>
      </c>
    </row>
    <row r="253" spans="1:14" x14ac:dyDescent="0.2">
      <c r="A253" t="s">
        <v>1314</v>
      </c>
      <c r="B253" s="17" t="s">
        <v>951</v>
      </c>
      <c r="C253" t="s">
        <v>950</v>
      </c>
      <c r="E253" t="s">
        <v>44</v>
      </c>
      <c r="F253" t="s">
        <v>44</v>
      </c>
      <c r="I253" t="s">
        <v>971</v>
      </c>
      <c r="J253" s="18" t="s">
        <v>1313</v>
      </c>
      <c r="K253" s="18" t="s">
        <v>981</v>
      </c>
      <c r="L253" s="22">
        <v>0.1719</v>
      </c>
    </row>
    <row r="254" spans="1:14" x14ac:dyDescent="0.2">
      <c r="A254" t="s">
        <v>1312</v>
      </c>
      <c r="B254" s="17" t="s">
        <v>951</v>
      </c>
      <c r="C254" t="s">
        <v>950</v>
      </c>
      <c r="E254" t="s">
        <v>44</v>
      </c>
      <c r="F254" t="s">
        <v>44</v>
      </c>
      <c r="I254" t="s">
        <v>971</v>
      </c>
      <c r="J254" s="18" t="s">
        <v>1311</v>
      </c>
      <c r="K254" s="18" t="s">
        <v>981</v>
      </c>
      <c r="L254" s="22">
        <v>0.16300000000000001</v>
      </c>
    </row>
    <row r="255" spans="1:14" x14ac:dyDescent="0.2">
      <c r="A255" t="s">
        <v>1310</v>
      </c>
      <c r="B255" s="17" t="s">
        <v>951</v>
      </c>
      <c r="C255" t="s">
        <v>950</v>
      </c>
      <c r="E255" t="s">
        <v>44</v>
      </c>
      <c r="F255" t="s">
        <v>44</v>
      </c>
      <c r="I255" t="s">
        <v>971</v>
      </c>
      <c r="J255" s="18" t="s">
        <v>1309</v>
      </c>
      <c r="K255" s="18" t="s">
        <v>981</v>
      </c>
      <c r="L255" s="22">
        <v>9.4799999999999995E-2</v>
      </c>
      <c r="M255">
        <v>6.58</v>
      </c>
      <c r="N255">
        <f>9.993+10.353</f>
        <v>20.346</v>
      </c>
    </row>
    <row r="256" spans="1:14" x14ac:dyDescent="0.2">
      <c r="A256" t="s">
        <v>1308</v>
      </c>
      <c r="B256" s="17" t="s">
        <v>951</v>
      </c>
      <c r="C256" t="s">
        <v>950</v>
      </c>
      <c r="E256" t="s">
        <v>44</v>
      </c>
      <c r="F256" t="s">
        <v>44</v>
      </c>
      <c r="I256" t="s">
        <v>971</v>
      </c>
      <c r="J256" s="18" t="s">
        <v>1307</v>
      </c>
      <c r="K256" s="18" t="s">
        <v>981</v>
      </c>
      <c r="L256" s="22">
        <v>0.1142</v>
      </c>
      <c r="M256">
        <v>6.6550000000000002</v>
      </c>
      <c r="N256">
        <f>10.988+10.455</f>
        <v>21.442999999999998</v>
      </c>
    </row>
    <row r="257" spans="1:14" x14ac:dyDescent="0.2">
      <c r="A257" t="s">
        <v>1306</v>
      </c>
      <c r="B257" s="17" t="s">
        <v>951</v>
      </c>
      <c r="C257" t="s">
        <v>950</v>
      </c>
      <c r="E257" t="s">
        <v>44</v>
      </c>
      <c r="F257" t="s">
        <v>44</v>
      </c>
      <c r="I257" t="s">
        <v>971</v>
      </c>
      <c r="J257" s="18" t="s">
        <v>1305</v>
      </c>
      <c r="K257" s="18" t="s">
        <v>981</v>
      </c>
      <c r="L257" s="22">
        <v>6.4899999999999999E-2</v>
      </c>
      <c r="M257">
        <v>5.2119999999999997</v>
      </c>
      <c r="N257">
        <f>7.384+8.368</f>
        <v>15.752000000000001</v>
      </c>
    </row>
    <row r="258" spans="1:14" x14ac:dyDescent="0.2">
      <c r="A258" t="s">
        <v>1303</v>
      </c>
      <c r="B258" s="17" t="s">
        <v>951</v>
      </c>
      <c r="C258" t="s">
        <v>950</v>
      </c>
      <c r="E258" t="s">
        <v>44</v>
      </c>
      <c r="F258" t="s">
        <v>44</v>
      </c>
      <c r="I258" t="s">
        <v>971</v>
      </c>
      <c r="J258" s="18" t="s">
        <v>1302</v>
      </c>
      <c r="K258" s="18" t="s">
        <v>981</v>
      </c>
      <c r="L258" s="22">
        <v>0.17910000000000001</v>
      </c>
    </row>
    <row r="259" spans="1:14" x14ac:dyDescent="0.2">
      <c r="A259" t="s">
        <v>1301</v>
      </c>
      <c r="B259" s="17" t="s">
        <v>951</v>
      </c>
      <c r="C259" t="s">
        <v>950</v>
      </c>
      <c r="E259" t="s">
        <v>44</v>
      </c>
      <c r="F259" t="s">
        <v>44</v>
      </c>
      <c r="I259" t="s">
        <v>971</v>
      </c>
      <c r="J259" s="18" t="s">
        <v>1300</v>
      </c>
      <c r="K259" s="18" t="s">
        <v>981</v>
      </c>
      <c r="L259" s="22">
        <v>7.6799999999999993E-2</v>
      </c>
      <c r="M259">
        <v>5.992</v>
      </c>
      <c r="N259">
        <f>8.491+7.378</f>
        <v>15.869</v>
      </c>
    </row>
    <row r="260" spans="1:14" x14ac:dyDescent="0.2">
      <c r="A260" t="s">
        <v>1299</v>
      </c>
      <c r="B260" s="17" t="s">
        <v>951</v>
      </c>
      <c r="C260" t="s">
        <v>950</v>
      </c>
      <c r="E260" t="s">
        <v>44</v>
      </c>
      <c r="F260" t="s">
        <v>44</v>
      </c>
      <c r="I260" t="s">
        <v>971</v>
      </c>
      <c r="J260" s="18" t="s">
        <v>1298</v>
      </c>
      <c r="K260" s="18" t="s">
        <v>981</v>
      </c>
      <c r="L260" s="22">
        <v>6.5199999999999994E-2</v>
      </c>
    </row>
    <row r="261" spans="1:14" x14ac:dyDescent="0.2">
      <c r="A261" t="s">
        <v>1296</v>
      </c>
      <c r="B261" s="17" t="s">
        <v>951</v>
      </c>
      <c r="C261" t="s">
        <v>950</v>
      </c>
      <c r="E261" t="s">
        <v>44</v>
      </c>
      <c r="F261" t="s">
        <v>44</v>
      </c>
      <c r="I261" t="s">
        <v>971</v>
      </c>
      <c r="J261" s="18" t="s">
        <v>1295</v>
      </c>
      <c r="K261" s="18" t="s">
        <v>981</v>
      </c>
      <c r="L261" s="22">
        <v>0.1091</v>
      </c>
    </row>
    <row r="262" spans="1:14" x14ac:dyDescent="0.2">
      <c r="A262" t="s">
        <v>1294</v>
      </c>
      <c r="B262" s="17" t="s">
        <v>951</v>
      </c>
      <c r="C262" t="s">
        <v>950</v>
      </c>
      <c r="E262" t="s">
        <v>44</v>
      </c>
      <c r="F262" t="s">
        <v>44</v>
      </c>
      <c r="I262" t="s">
        <v>971</v>
      </c>
      <c r="J262" s="18" t="s">
        <v>1293</v>
      </c>
      <c r="K262" s="18" t="s">
        <v>981</v>
      </c>
      <c r="L262" s="22">
        <v>0.1149</v>
      </c>
      <c r="M262">
        <v>6.2110000000000003</v>
      </c>
      <c r="N262">
        <f>10.623+14.743</f>
        <v>25.366</v>
      </c>
    </row>
    <row r="263" spans="1:14" x14ac:dyDescent="0.2">
      <c r="A263" t="s">
        <v>1292</v>
      </c>
      <c r="B263" s="17" t="s">
        <v>951</v>
      </c>
      <c r="C263" t="s">
        <v>950</v>
      </c>
      <c r="E263" t="s">
        <v>44</v>
      </c>
      <c r="F263" t="s">
        <v>44</v>
      </c>
      <c r="I263" t="s">
        <v>971</v>
      </c>
      <c r="J263" s="18" t="s">
        <v>1291</v>
      </c>
      <c r="K263" s="18" t="s">
        <v>981</v>
      </c>
      <c r="L263" s="22">
        <v>7.7499999999999999E-2</v>
      </c>
      <c r="M263">
        <v>5.7039999999999997</v>
      </c>
      <c r="N263">
        <f>7.285+9.559</f>
        <v>16.844000000000001</v>
      </c>
    </row>
    <row r="264" spans="1:14" x14ac:dyDescent="0.2">
      <c r="A264" t="s">
        <v>1289</v>
      </c>
      <c r="B264" s="17" t="s">
        <v>951</v>
      </c>
      <c r="C264" t="s">
        <v>950</v>
      </c>
      <c r="E264" t="s">
        <v>44</v>
      </c>
      <c r="F264" t="s">
        <v>44</v>
      </c>
      <c r="I264" t="s">
        <v>971</v>
      </c>
      <c r="J264" s="18" t="s">
        <v>1287</v>
      </c>
      <c r="K264" s="18" t="s">
        <v>981</v>
      </c>
      <c r="L264" s="22">
        <v>9.9299999999999999E-2</v>
      </c>
    </row>
    <row r="265" spans="1:14" x14ac:dyDescent="0.2">
      <c r="A265" t="s">
        <v>1288</v>
      </c>
      <c r="B265" s="17" t="s">
        <v>951</v>
      </c>
      <c r="C265" t="s">
        <v>950</v>
      </c>
      <c r="E265" t="s">
        <v>44</v>
      </c>
      <c r="F265" t="s">
        <v>44</v>
      </c>
      <c r="I265" t="s">
        <v>971</v>
      </c>
      <c r="J265" s="18" t="s">
        <v>1287</v>
      </c>
      <c r="K265" s="18" t="s">
        <v>981</v>
      </c>
      <c r="L265" s="22">
        <v>8.5999999999999993E-2</v>
      </c>
    </row>
    <row r="266" spans="1:14" x14ac:dyDescent="0.2">
      <c r="A266" t="s">
        <v>1286</v>
      </c>
      <c r="B266" s="17" t="s">
        <v>951</v>
      </c>
      <c r="C266" t="s">
        <v>950</v>
      </c>
      <c r="E266" t="s">
        <v>44</v>
      </c>
      <c r="F266" t="s">
        <v>44</v>
      </c>
      <c r="I266" t="s">
        <v>971</v>
      </c>
      <c r="J266" s="18" t="s">
        <v>1285</v>
      </c>
      <c r="K266" s="18" t="s">
        <v>981</v>
      </c>
      <c r="L266" s="22">
        <v>0.1022</v>
      </c>
      <c r="M266">
        <v>6.633</v>
      </c>
      <c r="N266">
        <f>9.997+9.527</f>
        <v>19.524000000000001</v>
      </c>
    </row>
    <row r="267" spans="1:14" x14ac:dyDescent="0.2">
      <c r="A267" t="s">
        <v>1284</v>
      </c>
      <c r="B267" s="17" t="s">
        <v>951</v>
      </c>
      <c r="C267" t="s">
        <v>950</v>
      </c>
      <c r="E267" t="s">
        <v>44</v>
      </c>
      <c r="F267" t="s">
        <v>44</v>
      </c>
      <c r="I267" t="s">
        <v>971</v>
      </c>
      <c r="J267" s="18" t="s">
        <v>1283</v>
      </c>
      <c r="K267" s="18" t="s">
        <v>981</v>
      </c>
      <c r="L267" s="22">
        <v>9.74E-2</v>
      </c>
    </row>
    <row r="268" spans="1:14" x14ac:dyDescent="0.2">
      <c r="A268" t="s">
        <v>1282</v>
      </c>
      <c r="B268" s="17" t="s">
        <v>951</v>
      </c>
      <c r="C268" t="s">
        <v>950</v>
      </c>
      <c r="E268" t="s">
        <v>44</v>
      </c>
      <c r="F268" t="s">
        <v>44</v>
      </c>
      <c r="I268" t="s">
        <v>971</v>
      </c>
      <c r="J268" s="18" t="s">
        <v>1281</v>
      </c>
      <c r="K268" s="18" t="s">
        <v>981</v>
      </c>
      <c r="L268" s="22">
        <v>7.7299999999999994E-2</v>
      </c>
      <c r="M268">
        <v>5.0229999999999997</v>
      </c>
      <c r="N268">
        <f>8.182+7.196</f>
        <v>15.378</v>
      </c>
    </row>
    <row r="269" spans="1:14" x14ac:dyDescent="0.2">
      <c r="A269" t="s">
        <v>1280</v>
      </c>
      <c r="B269" s="17" t="s">
        <v>951</v>
      </c>
      <c r="C269" t="s">
        <v>950</v>
      </c>
      <c r="E269" t="s">
        <v>44</v>
      </c>
      <c r="F269" t="s">
        <v>44</v>
      </c>
      <c r="I269" t="s">
        <v>971</v>
      </c>
      <c r="J269" s="18" t="s">
        <v>1279</v>
      </c>
      <c r="K269" s="18" t="s">
        <v>981</v>
      </c>
      <c r="L269" s="22">
        <v>0.1012</v>
      </c>
      <c r="M269">
        <v>6.5609999999999999</v>
      </c>
      <c r="N269">
        <f>10.846+9.32</f>
        <v>20.166</v>
      </c>
    </row>
    <row r="270" spans="1:14" x14ac:dyDescent="0.2">
      <c r="A270" t="s">
        <v>1278</v>
      </c>
      <c r="B270" s="17" t="s">
        <v>951</v>
      </c>
      <c r="C270" t="s">
        <v>950</v>
      </c>
      <c r="E270" t="s">
        <v>44</v>
      </c>
      <c r="F270" t="s">
        <v>44</v>
      </c>
      <c r="I270" t="s">
        <v>971</v>
      </c>
      <c r="J270" s="18" t="s">
        <v>1277</v>
      </c>
      <c r="K270" s="18" t="s">
        <v>981</v>
      </c>
      <c r="L270" s="22">
        <v>8.2600000000000007E-2</v>
      </c>
    </row>
    <row r="271" spans="1:14" x14ac:dyDescent="0.2">
      <c r="A271" t="s">
        <v>1276</v>
      </c>
      <c r="B271" s="17" t="s">
        <v>951</v>
      </c>
      <c r="C271" t="s">
        <v>950</v>
      </c>
      <c r="E271" t="s">
        <v>44</v>
      </c>
      <c r="F271" t="s">
        <v>44</v>
      </c>
      <c r="I271" t="s">
        <v>971</v>
      </c>
      <c r="J271" s="18" t="s">
        <v>1275</v>
      </c>
      <c r="K271" s="18" t="s">
        <v>981</v>
      </c>
      <c r="L271" s="22">
        <v>9.64E-2</v>
      </c>
      <c r="M271">
        <v>6.43</v>
      </c>
      <c r="N271">
        <f>10.106+7.512</f>
        <v>17.617999999999999</v>
      </c>
    </row>
    <row r="272" spans="1:14" x14ac:dyDescent="0.2">
      <c r="A272" t="s">
        <v>1274</v>
      </c>
      <c r="B272" s="17" t="s">
        <v>951</v>
      </c>
      <c r="C272" t="s">
        <v>950</v>
      </c>
      <c r="E272" t="s">
        <v>44</v>
      </c>
      <c r="F272" t="s">
        <v>44</v>
      </c>
      <c r="I272" t="s">
        <v>971</v>
      </c>
      <c r="J272" s="18" t="s">
        <v>1273</v>
      </c>
      <c r="K272" s="18" t="s">
        <v>981</v>
      </c>
      <c r="L272" s="22">
        <v>0.1042</v>
      </c>
      <c r="M272">
        <v>5.6509999999999998</v>
      </c>
      <c r="N272">
        <f>10.437+10.478</f>
        <v>20.914999999999999</v>
      </c>
    </row>
    <row r="273" spans="1:14" x14ac:dyDescent="0.2">
      <c r="A273" t="s">
        <v>1272</v>
      </c>
      <c r="B273" s="17" t="s">
        <v>951</v>
      </c>
      <c r="C273" t="s">
        <v>950</v>
      </c>
      <c r="E273" t="s">
        <v>44</v>
      </c>
      <c r="F273" t="s">
        <v>44</v>
      </c>
      <c r="I273" t="s">
        <v>971</v>
      </c>
      <c r="J273" s="18" t="s">
        <v>1271</v>
      </c>
      <c r="K273" s="18" t="s">
        <v>981</v>
      </c>
      <c r="L273" s="22">
        <v>0.11020000000000001</v>
      </c>
      <c r="M273">
        <v>6.28</v>
      </c>
      <c r="N273">
        <f>10.225+10.054</f>
        <v>20.279</v>
      </c>
    </row>
    <row r="274" spans="1:14" x14ac:dyDescent="0.2">
      <c r="A274" t="s">
        <v>1270</v>
      </c>
      <c r="B274" s="17" t="s">
        <v>951</v>
      </c>
      <c r="C274" t="s">
        <v>950</v>
      </c>
      <c r="E274" t="s">
        <v>44</v>
      </c>
      <c r="F274" t="s">
        <v>44</v>
      </c>
      <c r="I274" t="s">
        <v>971</v>
      </c>
      <c r="J274" s="18" t="s">
        <v>1269</v>
      </c>
      <c r="K274" s="18" t="s">
        <v>981</v>
      </c>
      <c r="L274" s="22">
        <v>0.1033</v>
      </c>
      <c r="M274">
        <v>6.09</v>
      </c>
      <c r="N274">
        <f>10.331+9.647</f>
        <v>19.978000000000002</v>
      </c>
    </row>
    <row r="275" spans="1:14" x14ac:dyDescent="0.2">
      <c r="A275" t="s">
        <v>1268</v>
      </c>
      <c r="B275" s="17" t="s">
        <v>951</v>
      </c>
      <c r="C275" t="s">
        <v>950</v>
      </c>
      <c r="E275" t="s">
        <v>44</v>
      </c>
      <c r="F275" t="s">
        <v>44</v>
      </c>
      <c r="I275" t="s">
        <v>971</v>
      </c>
      <c r="J275" s="18" t="s">
        <v>1267</v>
      </c>
      <c r="K275" s="18" t="s">
        <v>981</v>
      </c>
      <c r="L275" s="22">
        <v>7.5999999999999998E-2</v>
      </c>
      <c r="M275">
        <v>5.1710000000000003</v>
      </c>
      <c r="N275">
        <f>6.854+8.295</f>
        <v>15.149000000000001</v>
      </c>
    </row>
    <row r="276" spans="1:14" x14ac:dyDescent="0.2">
      <c r="A276" t="s">
        <v>1266</v>
      </c>
      <c r="B276" s="17" t="s">
        <v>951</v>
      </c>
      <c r="C276" t="s">
        <v>950</v>
      </c>
      <c r="E276" t="s">
        <v>44</v>
      </c>
      <c r="F276" t="s">
        <v>44</v>
      </c>
      <c r="I276" t="s">
        <v>971</v>
      </c>
      <c r="J276" s="18" t="s">
        <v>1265</v>
      </c>
      <c r="K276" s="18" t="s">
        <v>981</v>
      </c>
      <c r="L276" s="22">
        <v>0.1096</v>
      </c>
      <c r="M276">
        <v>6.673</v>
      </c>
      <c r="N276">
        <f>8.256+9.917</f>
        <v>18.173000000000002</v>
      </c>
    </row>
    <row r="277" spans="1:14" x14ac:dyDescent="0.2">
      <c r="A277" t="s">
        <v>1264</v>
      </c>
      <c r="B277" s="17" t="s">
        <v>951</v>
      </c>
      <c r="C277" t="s">
        <v>950</v>
      </c>
      <c r="E277" t="s">
        <v>44</v>
      </c>
      <c r="F277" t="s">
        <v>44</v>
      </c>
      <c r="I277" t="s">
        <v>971</v>
      </c>
      <c r="J277" s="18" t="s">
        <v>1263</v>
      </c>
      <c r="K277" s="18" t="s">
        <v>981</v>
      </c>
      <c r="L277" s="22">
        <v>0.1046</v>
      </c>
    </row>
    <row r="278" spans="1:14" x14ac:dyDescent="0.2">
      <c r="A278" t="s">
        <v>1262</v>
      </c>
      <c r="B278" s="17" t="s">
        <v>951</v>
      </c>
      <c r="C278" t="s">
        <v>950</v>
      </c>
      <c r="E278" t="s">
        <v>44</v>
      </c>
      <c r="F278" t="s">
        <v>44</v>
      </c>
      <c r="I278" t="s">
        <v>971</v>
      </c>
      <c r="J278" s="18" t="s">
        <v>1261</v>
      </c>
      <c r="K278" s="18" t="s">
        <v>981</v>
      </c>
      <c r="L278" s="22">
        <v>9.2100000000000001E-2</v>
      </c>
      <c r="M278">
        <v>5.82</v>
      </c>
      <c r="N278">
        <f>9.618+8.968</f>
        <v>18.585999999999999</v>
      </c>
    </row>
    <row r="279" spans="1:14" x14ac:dyDescent="0.2">
      <c r="A279" t="s">
        <v>1259</v>
      </c>
      <c r="B279" s="17" t="s">
        <v>951</v>
      </c>
      <c r="C279" t="s">
        <v>950</v>
      </c>
      <c r="E279" t="s">
        <v>44</v>
      </c>
      <c r="F279" t="s">
        <v>44</v>
      </c>
      <c r="I279" t="s">
        <v>971</v>
      </c>
      <c r="J279" s="18" t="s">
        <v>1258</v>
      </c>
      <c r="K279" s="18" t="s">
        <v>981</v>
      </c>
      <c r="L279" s="22">
        <v>9.1899999999999996E-2</v>
      </c>
    </row>
    <row r="280" spans="1:14" x14ac:dyDescent="0.2">
      <c r="A280" t="s">
        <v>1257</v>
      </c>
      <c r="B280" s="17" t="s">
        <v>951</v>
      </c>
      <c r="C280" t="s">
        <v>950</v>
      </c>
      <c r="E280" t="s">
        <v>44</v>
      </c>
      <c r="F280" t="s">
        <v>44</v>
      </c>
      <c r="I280" t="s">
        <v>971</v>
      </c>
      <c r="J280" s="18" t="s">
        <v>1256</v>
      </c>
      <c r="K280" s="18" t="s">
        <v>981</v>
      </c>
      <c r="L280" s="22">
        <v>0.1042</v>
      </c>
      <c r="M280">
        <v>6.1689999999999996</v>
      </c>
      <c r="N280">
        <f>9.264+9.5</f>
        <v>18.763999999999999</v>
      </c>
    </row>
    <row r="281" spans="1:14" x14ac:dyDescent="0.2">
      <c r="A281" t="s">
        <v>1255</v>
      </c>
      <c r="B281" s="17" t="s">
        <v>951</v>
      </c>
      <c r="C281" t="s">
        <v>950</v>
      </c>
      <c r="E281" t="s">
        <v>44</v>
      </c>
      <c r="F281" t="s">
        <v>44</v>
      </c>
      <c r="I281" t="s">
        <v>971</v>
      </c>
      <c r="J281" s="18" t="s">
        <v>1254</v>
      </c>
      <c r="K281" s="18" t="s">
        <v>981</v>
      </c>
      <c r="L281" s="22">
        <v>6.9000000000000006E-2</v>
      </c>
      <c r="M281">
        <v>5.4349999999999996</v>
      </c>
      <c r="N281">
        <f>7.86+9.528</f>
        <v>17.388000000000002</v>
      </c>
    </row>
    <row r="282" spans="1:14" x14ac:dyDescent="0.2">
      <c r="A282" t="s">
        <v>1253</v>
      </c>
      <c r="B282" s="17" t="s">
        <v>951</v>
      </c>
      <c r="C282" t="s">
        <v>950</v>
      </c>
      <c r="E282" t="s">
        <v>44</v>
      </c>
      <c r="F282" t="s">
        <v>44</v>
      </c>
      <c r="I282" t="s">
        <v>971</v>
      </c>
      <c r="J282" s="18" t="s">
        <v>1252</v>
      </c>
      <c r="K282" s="18" t="s">
        <v>981</v>
      </c>
      <c r="L282" s="22">
        <v>0.1188</v>
      </c>
    </row>
    <row r="283" spans="1:14" x14ac:dyDescent="0.2">
      <c r="A283" t="s">
        <v>1251</v>
      </c>
      <c r="B283" s="17" t="s">
        <v>951</v>
      </c>
      <c r="C283" t="s">
        <v>950</v>
      </c>
      <c r="E283" t="s">
        <v>44</v>
      </c>
      <c r="F283" t="s">
        <v>44</v>
      </c>
      <c r="I283" t="s">
        <v>971</v>
      </c>
      <c r="J283" s="18" t="s">
        <v>1250</v>
      </c>
      <c r="K283" s="18" t="s">
        <v>981</v>
      </c>
      <c r="L283" s="22">
        <v>0.1118</v>
      </c>
      <c r="M283">
        <v>5.5039999999999996</v>
      </c>
      <c r="N283" s="25">
        <f>9.916+4.138+5.403</f>
        <v>19.457000000000001</v>
      </c>
    </row>
    <row r="284" spans="1:14" x14ac:dyDescent="0.2">
      <c r="A284" t="s">
        <v>1249</v>
      </c>
      <c r="B284" s="17" t="s">
        <v>951</v>
      </c>
      <c r="C284" t="s">
        <v>950</v>
      </c>
      <c r="E284" t="s">
        <v>44</v>
      </c>
      <c r="F284" t="s">
        <v>44</v>
      </c>
      <c r="I284" t="s">
        <v>971</v>
      </c>
      <c r="J284" s="18" t="s">
        <v>1248</v>
      </c>
      <c r="K284" s="18" t="s">
        <v>981</v>
      </c>
      <c r="L284" s="22">
        <v>8.5300000000000001E-2</v>
      </c>
      <c r="M284">
        <v>6.0439999999999996</v>
      </c>
      <c r="N284">
        <f>10.837+9.756</f>
        <v>20.593</v>
      </c>
    </row>
    <row r="285" spans="1:14" x14ac:dyDescent="0.2">
      <c r="A285" t="s">
        <v>1246</v>
      </c>
      <c r="B285" s="17" t="s">
        <v>951</v>
      </c>
      <c r="C285" t="s">
        <v>950</v>
      </c>
      <c r="E285" t="s">
        <v>44</v>
      </c>
      <c r="F285" t="s">
        <v>44</v>
      </c>
      <c r="I285" t="s">
        <v>971</v>
      </c>
      <c r="J285" s="18" t="s">
        <v>1245</v>
      </c>
      <c r="K285" s="18" t="s">
        <v>981</v>
      </c>
      <c r="L285" s="22">
        <v>0.1033</v>
      </c>
      <c r="M285">
        <v>6.3739999999999997</v>
      </c>
      <c r="N285">
        <f>9.068+9.768</f>
        <v>18.835999999999999</v>
      </c>
    </row>
    <row r="286" spans="1:14" x14ac:dyDescent="0.2">
      <c r="A286" t="s">
        <v>1244</v>
      </c>
      <c r="B286" s="17" t="s">
        <v>951</v>
      </c>
      <c r="C286" t="s">
        <v>950</v>
      </c>
      <c r="E286" t="s">
        <v>44</v>
      </c>
      <c r="F286" t="s">
        <v>44</v>
      </c>
      <c r="I286" t="s">
        <v>971</v>
      </c>
      <c r="J286" s="18" t="s">
        <v>1243</v>
      </c>
      <c r="K286" s="18" t="s">
        <v>981</v>
      </c>
      <c r="L286" s="22">
        <v>9.8500000000000004E-2</v>
      </c>
    </row>
    <row r="287" spans="1:14" x14ac:dyDescent="0.2">
      <c r="A287" t="s">
        <v>1242</v>
      </c>
      <c r="B287" s="17" t="s">
        <v>951</v>
      </c>
      <c r="C287" t="s">
        <v>950</v>
      </c>
      <c r="E287" t="s">
        <v>44</v>
      </c>
      <c r="F287" t="s">
        <v>44</v>
      </c>
      <c r="I287" t="s">
        <v>971</v>
      </c>
      <c r="J287" s="18" t="s">
        <v>1241</v>
      </c>
      <c r="K287" s="18" t="s">
        <v>981</v>
      </c>
      <c r="L287" s="22">
        <v>0.12520000000000001</v>
      </c>
      <c r="M287">
        <v>6.26</v>
      </c>
      <c r="N287">
        <f>10.8+13.098</f>
        <v>23.898000000000003</v>
      </c>
    </row>
    <row r="288" spans="1:14" x14ac:dyDescent="0.2">
      <c r="A288" t="s">
        <v>1240</v>
      </c>
      <c r="B288" s="17" t="s">
        <v>951</v>
      </c>
      <c r="C288" t="s">
        <v>950</v>
      </c>
      <c r="E288" t="s">
        <v>44</v>
      </c>
      <c r="F288" t="s">
        <v>44</v>
      </c>
      <c r="I288" t="s">
        <v>971</v>
      </c>
      <c r="J288" s="18" t="s">
        <v>1239</v>
      </c>
      <c r="K288" s="18" t="s">
        <v>981</v>
      </c>
      <c r="L288" s="22">
        <v>9.3799999999999994E-2</v>
      </c>
      <c r="M288">
        <v>6.5330000000000004</v>
      </c>
      <c r="N288">
        <f>11.573+9.477</f>
        <v>21.05</v>
      </c>
    </row>
    <row r="289" spans="1:14" x14ac:dyDescent="0.2">
      <c r="A289" t="s">
        <v>1238</v>
      </c>
      <c r="B289" s="17" t="s">
        <v>951</v>
      </c>
      <c r="C289" t="s">
        <v>950</v>
      </c>
      <c r="E289" t="s">
        <v>44</v>
      </c>
      <c r="F289" t="s">
        <v>44</v>
      </c>
      <c r="I289" t="s">
        <v>971</v>
      </c>
      <c r="J289" s="18" t="s">
        <v>1237</v>
      </c>
      <c r="K289" s="18" t="s">
        <v>981</v>
      </c>
      <c r="L289" s="22">
        <v>9.6100000000000005E-2</v>
      </c>
    </row>
    <row r="290" spans="1:14" x14ac:dyDescent="0.2">
      <c r="A290" t="s">
        <v>1236</v>
      </c>
      <c r="B290" s="17" t="s">
        <v>951</v>
      </c>
      <c r="C290" t="s">
        <v>950</v>
      </c>
      <c r="E290" t="s">
        <v>44</v>
      </c>
      <c r="F290" t="s">
        <v>44</v>
      </c>
      <c r="I290" t="s">
        <v>971</v>
      </c>
      <c r="J290" s="18" t="s">
        <v>1235</v>
      </c>
      <c r="K290" s="18" t="s">
        <v>981</v>
      </c>
      <c r="L290" s="22">
        <v>0.1134</v>
      </c>
    </row>
    <row r="291" spans="1:14" x14ac:dyDescent="0.2">
      <c r="A291" t="s">
        <v>1234</v>
      </c>
      <c r="B291" s="17" t="s">
        <v>951</v>
      </c>
      <c r="C291" t="s">
        <v>950</v>
      </c>
      <c r="E291" t="s">
        <v>44</v>
      </c>
      <c r="F291" t="s">
        <v>44</v>
      </c>
      <c r="I291" t="s">
        <v>971</v>
      </c>
      <c r="J291" s="18" t="s">
        <v>1233</v>
      </c>
      <c r="K291" s="18" t="s">
        <v>981</v>
      </c>
      <c r="L291" s="22">
        <v>0.11799999999999999</v>
      </c>
      <c r="M291">
        <v>5.66</v>
      </c>
      <c r="N291">
        <f>10.879+4.548+6.466</f>
        <v>21.893000000000001</v>
      </c>
    </row>
    <row r="292" spans="1:14" x14ac:dyDescent="0.2">
      <c r="A292" t="s">
        <v>1232</v>
      </c>
      <c r="B292" s="17" t="s">
        <v>951</v>
      </c>
      <c r="C292" t="s">
        <v>950</v>
      </c>
      <c r="E292" t="s">
        <v>44</v>
      </c>
      <c r="F292" t="s">
        <v>44</v>
      </c>
      <c r="I292" t="s">
        <v>971</v>
      </c>
      <c r="J292" s="18" t="s">
        <v>1231</v>
      </c>
      <c r="K292" s="18" t="s">
        <v>981</v>
      </c>
      <c r="L292" s="22">
        <v>0.11890000000000001</v>
      </c>
    </row>
    <row r="293" spans="1:14" x14ac:dyDescent="0.2">
      <c r="A293" t="s">
        <v>1230</v>
      </c>
      <c r="B293" s="17" t="s">
        <v>951</v>
      </c>
      <c r="C293" t="s">
        <v>950</v>
      </c>
      <c r="E293" t="s">
        <v>44</v>
      </c>
      <c r="F293" t="s">
        <v>44</v>
      </c>
      <c r="I293" t="s">
        <v>971</v>
      </c>
      <c r="J293" s="18" t="s">
        <v>1229</v>
      </c>
      <c r="K293" s="18" t="s">
        <v>981</v>
      </c>
      <c r="L293" s="22">
        <v>6.6400000000000001E-2</v>
      </c>
    </row>
    <row r="294" spans="1:14" x14ac:dyDescent="0.2">
      <c r="A294" t="s">
        <v>1227</v>
      </c>
      <c r="B294" s="17" t="s">
        <v>951</v>
      </c>
      <c r="C294" t="s">
        <v>950</v>
      </c>
      <c r="E294" t="s">
        <v>44</v>
      </c>
      <c r="F294" t="s">
        <v>44</v>
      </c>
      <c r="I294" t="s">
        <v>971</v>
      </c>
      <c r="J294" s="18"/>
      <c r="K294" s="18"/>
      <c r="L294" s="19"/>
      <c r="M294">
        <v>5.617</v>
      </c>
      <c r="N294">
        <f>12.832+10.751</f>
        <v>23.582999999999998</v>
      </c>
    </row>
    <row r="295" spans="1:14" x14ac:dyDescent="0.2">
      <c r="A295" t="s">
        <v>1226</v>
      </c>
      <c r="B295" s="17" t="s">
        <v>951</v>
      </c>
      <c r="C295" t="s">
        <v>950</v>
      </c>
      <c r="E295" t="s">
        <v>44</v>
      </c>
      <c r="F295" t="s">
        <v>44</v>
      </c>
      <c r="I295" t="s">
        <v>971</v>
      </c>
      <c r="J295" s="18" t="s">
        <v>1225</v>
      </c>
      <c r="K295" s="18" t="s">
        <v>981</v>
      </c>
      <c r="L295" s="22">
        <v>8.0600000000000005E-2</v>
      </c>
      <c r="M295">
        <v>5.2009999999999996</v>
      </c>
      <c r="N295">
        <f>8.529+9.403</f>
        <v>17.932000000000002</v>
      </c>
    </row>
    <row r="296" spans="1:14" x14ac:dyDescent="0.2">
      <c r="A296" t="s">
        <v>1223</v>
      </c>
      <c r="B296" s="17" t="s">
        <v>951</v>
      </c>
      <c r="C296" t="s">
        <v>950</v>
      </c>
      <c r="E296" t="s">
        <v>44</v>
      </c>
      <c r="F296" t="s">
        <v>44</v>
      </c>
      <c r="I296" t="s">
        <v>971</v>
      </c>
      <c r="J296" s="18" t="s">
        <v>1222</v>
      </c>
      <c r="K296" s="18" t="s">
        <v>981</v>
      </c>
      <c r="L296" s="22">
        <v>0.10390000000000001</v>
      </c>
    </row>
    <row r="297" spans="1:14" x14ac:dyDescent="0.2">
      <c r="A297" t="s">
        <v>1221</v>
      </c>
      <c r="B297" s="17" t="s">
        <v>951</v>
      </c>
      <c r="C297" t="s">
        <v>950</v>
      </c>
      <c r="E297" t="s">
        <v>44</v>
      </c>
      <c r="F297" t="s">
        <v>44</v>
      </c>
      <c r="I297" t="s">
        <v>971</v>
      </c>
      <c r="J297" s="18" t="s">
        <v>1220</v>
      </c>
      <c r="K297" s="18" t="s">
        <v>981</v>
      </c>
      <c r="L297" s="22">
        <v>9.74E-2</v>
      </c>
    </row>
    <row r="298" spans="1:14" x14ac:dyDescent="0.2">
      <c r="A298" t="s">
        <v>1219</v>
      </c>
      <c r="B298" s="17" t="s">
        <v>951</v>
      </c>
      <c r="C298" t="s">
        <v>950</v>
      </c>
      <c r="E298" t="s">
        <v>44</v>
      </c>
      <c r="F298" t="s">
        <v>44</v>
      </c>
      <c r="I298" t="s">
        <v>971</v>
      </c>
      <c r="J298" s="18" t="s">
        <v>1218</v>
      </c>
      <c r="K298" s="18" t="s">
        <v>981</v>
      </c>
      <c r="L298" s="22">
        <v>0.1051</v>
      </c>
      <c r="M298">
        <v>6.7569999999999997</v>
      </c>
      <c r="N298">
        <f>10.944+9.321</f>
        <v>20.265000000000001</v>
      </c>
    </row>
    <row r="299" spans="1:14" x14ac:dyDescent="0.2">
      <c r="A299" t="s">
        <v>1217</v>
      </c>
      <c r="B299" s="17" t="s">
        <v>951</v>
      </c>
      <c r="C299" t="s">
        <v>950</v>
      </c>
      <c r="E299" t="s">
        <v>44</v>
      </c>
      <c r="F299" t="s">
        <v>44</v>
      </c>
      <c r="I299" t="s">
        <v>971</v>
      </c>
      <c r="J299" s="18" t="s">
        <v>1216</v>
      </c>
      <c r="K299" s="18" t="s">
        <v>981</v>
      </c>
      <c r="L299" s="22">
        <v>8.5599999999999996E-2</v>
      </c>
      <c r="M299">
        <v>5.4290000000000003</v>
      </c>
      <c r="N299">
        <f>10.294+9.907</f>
        <v>20.201000000000001</v>
      </c>
    </row>
    <row r="300" spans="1:14" x14ac:dyDescent="0.2">
      <c r="A300" t="s">
        <v>1215</v>
      </c>
      <c r="B300" s="17" t="s">
        <v>951</v>
      </c>
      <c r="C300" t="s">
        <v>950</v>
      </c>
      <c r="E300" t="s">
        <v>44</v>
      </c>
      <c r="F300" t="s">
        <v>44</v>
      </c>
      <c r="I300" t="s">
        <v>971</v>
      </c>
      <c r="J300" s="18" t="s">
        <v>1214</v>
      </c>
      <c r="K300" s="18" t="s">
        <v>981</v>
      </c>
      <c r="L300" s="22">
        <v>7.7200000000000005E-2</v>
      </c>
      <c r="M300">
        <v>5.5910000000000002</v>
      </c>
      <c r="N300">
        <f>9.169+7.855</f>
        <v>17.024000000000001</v>
      </c>
    </row>
    <row r="301" spans="1:14" x14ac:dyDescent="0.2">
      <c r="A301" t="s">
        <v>1213</v>
      </c>
      <c r="B301" s="17" t="s">
        <v>951</v>
      </c>
      <c r="C301" t="s">
        <v>950</v>
      </c>
      <c r="E301" t="s">
        <v>44</v>
      </c>
      <c r="F301" t="s">
        <v>44</v>
      </c>
      <c r="I301" t="s">
        <v>971</v>
      </c>
      <c r="J301" s="18" t="s">
        <v>1212</v>
      </c>
      <c r="K301" s="18" t="s">
        <v>981</v>
      </c>
      <c r="L301" s="22">
        <v>0.27829999999999999</v>
      </c>
    </row>
    <row r="302" spans="1:14" x14ac:dyDescent="0.2">
      <c r="A302" t="s">
        <v>1211</v>
      </c>
      <c r="B302" s="17" t="s">
        <v>951</v>
      </c>
      <c r="C302" t="s">
        <v>950</v>
      </c>
      <c r="E302" t="s">
        <v>44</v>
      </c>
      <c r="F302" t="s">
        <v>44</v>
      </c>
      <c r="I302" t="s">
        <v>971</v>
      </c>
      <c r="J302" s="18" t="s">
        <v>1210</v>
      </c>
      <c r="K302" s="18" t="s">
        <v>981</v>
      </c>
      <c r="L302" s="22">
        <v>5.8299999999999998E-2</v>
      </c>
      <c r="M302">
        <v>4.6980000000000004</v>
      </c>
      <c r="N302">
        <f>5.288+4.698</f>
        <v>9.9860000000000007</v>
      </c>
    </row>
    <row r="303" spans="1:14" x14ac:dyDescent="0.2">
      <c r="A303" t="s">
        <v>1209</v>
      </c>
      <c r="B303" s="17" t="s">
        <v>951</v>
      </c>
      <c r="C303" t="s">
        <v>950</v>
      </c>
      <c r="E303" t="s">
        <v>44</v>
      </c>
      <c r="F303" t="s">
        <v>44</v>
      </c>
      <c r="I303" t="s">
        <v>971</v>
      </c>
      <c r="J303" s="18" t="s">
        <v>1208</v>
      </c>
      <c r="K303" s="18" t="s">
        <v>981</v>
      </c>
      <c r="L303" s="22">
        <v>8.9399999999999993E-2</v>
      </c>
    </row>
    <row r="304" spans="1:14" x14ac:dyDescent="0.2">
      <c r="A304" t="s">
        <v>1207</v>
      </c>
      <c r="B304" s="17" t="s">
        <v>951</v>
      </c>
      <c r="C304" t="s">
        <v>950</v>
      </c>
      <c r="E304" t="s">
        <v>44</v>
      </c>
      <c r="F304" t="s">
        <v>44</v>
      </c>
      <c r="I304" t="s">
        <v>971</v>
      </c>
      <c r="J304" s="18" t="s">
        <v>1206</v>
      </c>
      <c r="K304" s="18" t="s">
        <v>981</v>
      </c>
      <c r="L304" s="22">
        <v>9.4100000000000003E-2</v>
      </c>
    </row>
    <row r="305" spans="1:14" x14ac:dyDescent="0.2">
      <c r="A305" t="s">
        <v>1205</v>
      </c>
      <c r="B305" s="17" t="s">
        <v>951</v>
      </c>
      <c r="C305" t="s">
        <v>950</v>
      </c>
      <c r="E305" t="s">
        <v>44</v>
      </c>
      <c r="F305" t="s">
        <v>44</v>
      </c>
      <c r="I305" t="s">
        <v>971</v>
      </c>
      <c r="J305" s="18" t="s">
        <v>1204</v>
      </c>
      <c r="K305" s="18" t="s">
        <v>981</v>
      </c>
      <c r="L305" s="22">
        <v>7.6999999999999999E-2</v>
      </c>
      <c r="M305">
        <v>5.1859999999999999</v>
      </c>
    </row>
    <row r="306" spans="1:14" x14ac:dyDescent="0.2">
      <c r="A306" t="s">
        <v>1203</v>
      </c>
      <c r="B306" s="17" t="s">
        <v>951</v>
      </c>
      <c r="C306" t="s">
        <v>950</v>
      </c>
      <c r="E306" t="s">
        <v>44</v>
      </c>
      <c r="F306" t="s">
        <v>44</v>
      </c>
      <c r="I306" t="s">
        <v>971</v>
      </c>
      <c r="J306" s="18" t="s">
        <v>1202</v>
      </c>
      <c r="K306" s="18" t="s">
        <v>981</v>
      </c>
      <c r="L306" s="22">
        <v>0.1115</v>
      </c>
    </row>
    <row r="307" spans="1:14" x14ac:dyDescent="0.2">
      <c r="A307" t="s">
        <v>1201</v>
      </c>
      <c r="B307" s="17" t="s">
        <v>951</v>
      </c>
      <c r="C307" t="s">
        <v>950</v>
      </c>
      <c r="E307" t="s">
        <v>44</v>
      </c>
      <c r="F307" t="s">
        <v>44</v>
      </c>
      <c r="I307" t="s">
        <v>971</v>
      </c>
      <c r="J307" s="18" t="s">
        <v>1200</v>
      </c>
      <c r="K307" s="18" t="s">
        <v>981</v>
      </c>
      <c r="L307" s="22">
        <v>7.9500000000000001E-2</v>
      </c>
    </row>
    <row r="308" spans="1:14" x14ac:dyDescent="0.2">
      <c r="A308" t="s">
        <v>1199</v>
      </c>
      <c r="B308" s="17" t="s">
        <v>951</v>
      </c>
      <c r="C308" t="s">
        <v>950</v>
      </c>
      <c r="E308" t="s">
        <v>44</v>
      </c>
      <c r="F308" t="s">
        <v>44</v>
      </c>
      <c r="I308" t="s">
        <v>971</v>
      </c>
      <c r="J308" s="18" t="s">
        <v>1198</v>
      </c>
      <c r="K308" s="18" t="s">
        <v>981</v>
      </c>
      <c r="L308" s="22">
        <v>0.10970000000000001</v>
      </c>
    </row>
    <row r="309" spans="1:14" x14ac:dyDescent="0.2">
      <c r="A309" t="s">
        <v>1197</v>
      </c>
      <c r="B309" s="17" t="s">
        <v>951</v>
      </c>
      <c r="C309" t="s">
        <v>950</v>
      </c>
      <c r="E309" t="s">
        <v>44</v>
      </c>
      <c r="F309" t="s">
        <v>44</v>
      </c>
      <c r="I309" t="s">
        <v>971</v>
      </c>
      <c r="J309" s="18" t="s">
        <v>1196</v>
      </c>
      <c r="K309" s="18" t="s">
        <v>981</v>
      </c>
      <c r="L309" s="22">
        <v>0.1419</v>
      </c>
      <c r="M309">
        <v>6.1849999999999996</v>
      </c>
      <c r="N309">
        <f>8.236+8.817</f>
        <v>17.053000000000001</v>
      </c>
    </row>
    <row r="310" spans="1:14" x14ac:dyDescent="0.2">
      <c r="A310" t="s">
        <v>1195</v>
      </c>
      <c r="B310" s="17" t="s">
        <v>951</v>
      </c>
      <c r="C310" t="s">
        <v>950</v>
      </c>
      <c r="E310" t="s">
        <v>44</v>
      </c>
      <c r="F310" t="s">
        <v>44</v>
      </c>
      <c r="I310" t="s">
        <v>971</v>
      </c>
      <c r="J310" s="18" t="s">
        <v>1194</v>
      </c>
      <c r="K310" s="18" t="s">
        <v>981</v>
      </c>
      <c r="L310" s="22">
        <v>9.1600000000000001E-2</v>
      </c>
      <c r="M310">
        <v>5.9160000000000004</v>
      </c>
      <c r="N310">
        <f>8.213+4.278+3.845</f>
        <v>16.335999999999999</v>
      </c>
    </row>
    <row r="311" spans="1:14" x14ac:dyDescent="0.2">
      <c r="A311" t="s">
        <v>1193</v>
      </c>
      <c r="B311" s="17" t="s">
        <v>951</v>
      </c>
      <c r="C311" t="s">
        <v>950</v>
      </c>
      <c r="E311" t="s">
        <v>44</v>
      </c>
      <c r="F311" t="s">
        <v>44</v>
      </c>
      <c r="I311" t="s">
        <v>971</v>
      </c>
      <c r="J311" s="18" t="s">
        <v>1192</v>
      </c>
      <c r="K311" s="18" t="s">
        <v>981</v>
      </c>
      <c r="L311" s="22">
        <v>0.25580000000000003</v>
      </c>
    </row>
    <row r="312" spans="1:14" x14ac:dyDescent="0.2">
      <c r="A312" t="s">
        <v>1191</v>
      </c>
      <c r="B312" s="17" t="s">
        <v>951</v>
      </c>
      <c r="C312" t="s">
        <v>950</v>
      </c>
      <c r="E312" t="s">
        <v>44</v>
      </c>
      <c r="F312" t="s">
        <v>44</v>
      </c>
      <c r="I312" t="s">
        <v>971</v>
      </c>
      <c r="J312" s="18" t="s">
        <v>1190</v>
      </c>
      <c r="K312" s="18" t="s">
        <v>981</v>
      </c>
      <c r="L312" s="22">
        <v>0.16270000000000001</v>
      </c>
    </row>
    <row r="313" spans="1:14" x14ac:dyDescent="0.2">
      <c r="A313" t="s">
        <v>1189</v>
      </c>
      <c r="B313" s="17" t="s">
        <v>951</v>
      </c>
      <c r="C313" t="s">
        <v>950</v>
      </c>
      <c r="E313" t="s">
        <v>44</v>
      </c>
      <c r="F313" t="s">
        <v>44</v>
      </c>
      <c r="I313" t="s">
        <v>971</v>
      </c>
      <c r="J313" s="18" t="s">
        <v>1188</v>
      </c>
      <c r="K313" s="18" t="s">
        <v>981</v>
      </c>
      <c r="L313" s="22">
        <v>0.1045</v>
      </c>
    </row>
    <row r="314" spans="1:14" x14ac:dyDescent="0.2">
      <c r="A314" t="s">
        <v>1187</v>
      </c>
      <c r="B314" s="17" t="s">
        <v>951</v>
      </c>
      <c r="C314" t="s">
        <v>950</v>
      </c>
      <c r="E314" t="s">
        <v>44</v>
      </c>
      <c r="F314" t="s">
        <v>44</v>
      </c>
      <c r="I314" t="s">
        <v>971</v>
      </c>
      <c r="J314" s="18" t="s">
        <v>1186</v>
      </c>
      <c r="K314" s="18" t="s">
        <v>981</v>
      </c>
      <c r="L314" s="22">
        <v>7.2900000000000006E-2</v>
      </c>
      <c r="M314">
        <v>5.4320000000000004</v>
      </c>
      <c r="N314">
        <f>8.335+8.108</f>
        <v>16.443000000000001</v>
      </c>
    </row>
    <row r="315" spans="1:14" x14ac:dyDescent="0.2">
      <c r="A315" t="s">
        <v>1185</v>
      </c>
      <c r="B315" s="17" t="s">
        <v>951</v>
      </c>
      <c r="C315" t="s">
        <v>950</v>
      </c>
      <c r="E315" t="s">
        <v>44</v>
      </c>
      <c r="F315" t="s">
        <v>44</v>
      </c>
      <c r="I315" t="s">
        <v>971</v>
      </c>
      <c r="J315" s="18" t="s">
        <v>1184</v>
      </c>
      <c r="K315" s="18" t="s">
        <v>981</v>
      </c>
      <c r="L315" s="22">
        <v>0.16489999999999999</v>
      </c>
    </row>
    <row r="316" spans="1:14" x14ac:dyDescent="0.2">
      <c r="A316" t="s">
        <v>1183</v>
      </c>
      <c r="B316" s="17" t="s">
        <v>951</v>
      </c>
      <c r="C316" t="s">
        <v>950</v>
      </c>
      <c r="E316" t="s">
        <v>44</v>
      </c>
      <c r="F316" t="s">
        <v>44</v>
      </c>
      <c r="I316" t="s">
        <v>971</v>
      </c>
      <c r="J316" s="18" t="s">
        <v>1182</v>
      </c>
      <c r="K316" s="18" t="s">
        <v>981</v>
      </c>
      <c r="L316" s="22">
        <v>9.98E-2</v>
      </c>
      <c r="M316">
        <v>6.2830000000000004</v>
      </c>
      <c r="N316">
        <f>6.52+4.841+9.827</f>
        <v>21.188000000000002</v>
      </c>
    </row>
    <row r="317" spans="1:14" x14ac:dyDescent="0.2">
      <c r="A317" t="s">
        <v>1180</v>
      </c>
      <c r="B317" s="17" t="s">
        <v>951</v>
      </c>
      <c r="C317" t="s">
        <v>950</v>
      </c>
      <c r="E317" t="s">
        <v>44</v>
      </c>
      <c r="F317" t="s">
        <v>44</v>
      </c>
      <c r="I317" t="s">
        <v>971</v>
      </c>
      <c r="J317" s="18" t="s">
        <v>1179</v>
      </c>
      <c r="K317" s="18" t="s">
        <v>981</v>
      </c>
      <c r="L317" s="22">
        <v>9.0300000000000005E-2</v>
      </c>
      <c r="M317">
        <v>6.056</v>
      </c>
      <c r="N317">
        <f>9.207+9.421</f>
        <v>18.628</v>
      </c>
    </row>
    <row r="318" spans="1:14" x14ac:dyDescent="0.2">
      <c r="A318" t="s">
        <v>1178</v>
      </c>
      <c r="B318" s="17" t="s">
        <v>951</v>
      </c>
      <c r="C318" t="s">
        <v>950</v>
      </c>
      <c r="E318" t="s">
        <v>44</v>
      </c>
      <c r="F318" t="s">
        <v>44</v>
      </c>
      <c r="I318" t="s">
        <v>971</v>
      </c>
      <c r="J318" s="18" t="s">
        <v>1177</v>
      </c>
      <c r="K318" s="18" t="s">
        <v>981</v>
      </c>
      <c r="L318" s="22">
        <v>9.6600000000000005E-2</v>
      </c>
      <c r="M318">
        <v>5.9459999999999997</v>
      </c>
      <c r="N318">
        <f>10.697+10.842</f>
        <v>21.539000000000001</v>
      </c>
    </row>
    <row r="319" spans="1:14" x14ac:dyDescent="0.2">
      <c r="A319" t="s">
        <v>1176</v>
      </c>
      <c r="B319" s="17" t="s">
        <v>951</v>
      </c>
      <c r="C319" t="s">
        <v>950</v>
      </c>
      <c r="E319" t="s">
        <v>44</v>
      </c>
      <c r="F319" t="s">
        <v>44</v>
      </c>
      <c r="I319" t="s">
        <v>971</v>
      </c>
      <c r="J319" s="18" t="s">
        <v>1175</v>
      </c>
      <c r="K319" s="18" t="s">
        <v>981</v>
      </c>
      <c r="L319" s="22">
        <v>0.12620000000000001</v>
      </c>
      <c r="M319">
        <v>6.09</v>
      </c>
      <c r="N319">
        <f>11.151+10.302</f>
        <v>21.452999999999999</v>
      </c>
    </row>
    <row r="320" spans="1:14" x14ac:dyDescent="0.2">
      <c r="A320" t="s">
        <v>1174</v>
      </c>
      <c r="B320" s="17" t="s">
        <v>951</v>
      </c>
      <c r="C320" t="s">
        <v>950</v>
      </c>
      <c r="E320" t="s">
        <v>44</v>
      </c>
      <c r="F320" t="s">
        <v>44</v>
      </c>
      <c r="I320" t="s">
        <v>971</v>
      </c>
      <c r="J320" s="18" t="s">
        <v>1173</v>
      </c>
      <c r="K320" s="18" t="s">
        <v>981</v>
      </c>
      <c r="L320" s="22">
        <v>0.1108</v>
      </c>
      <c r="M320">
        <v>5.98</v>
      </c>
      <c r="N320">
        <f>14.264+9.71</f>
        <v>23.974</v>
      </c>
    </row>
    <row r="321" spans="1:14" x14ac:dyDescent="0.2">
      <c r="A321" t="s">
        <v>1172</v>
      </c>
      <c r="B321" s="17" t="s">
        <v>951</v>
      </c>
      <c r="C321" t="s">
        <v>950</v>
      </c>
      <c r="E321" t="s">
        <v>44</v>
      </c>
      <c r="F321" t="s">
        <v>44</v>
      </c>
      <c r="I321" t="s">
        <v>971</v>
      </c>
      <c r="J321" s="18" t="s">
        <v>1171</v>
      </c>
      <c r="K321" s="18" t="s">
        <v>981</v>
      </c>
      <c r="L321" s="22">
        <v>9.1399999999999995E-2</v>
      </c>
      <c r="M321">
        <v>5.859</v>
      </c>
      <c r="N321">
        <f>9.329+9.694</f>
        <v>19.023000000000003</v>
      </c>
    </row>
    <row r="322" spans="1:14" x14ac:dyDescent="0.2">
      <c r="A322" t="s">
        <v>1170</v>
      </c>
      <c r="B322" s="17" t="s">
        <v>951</v>
      </c>
      <c r="C322" t="s">
        <v>950</v>
      </c>
      <c r="E322" t="s">
        <v>44</v>
      </c>
      <c r="F322" t="s">
        <v>44</v>
      </c>
      <c r="I322" t="s">
        <v>971</v>
      </c>
      <c r="J322" s="18" t="s">
        <v>1169</v>
      </c>
      <c r="K322" s="18" t="s">
        <v>981</v>
      </c>
      <c r="L322" s="22">
        <v>7.1900000000000006E-2</v>
      </c>
      <c r="M322">
        <v>5.649</v>
      </c>
      <c r="N322">
        <f>9.266+8.463</f>
        <v>17.728999999999999</v>
      </c>
    </row>
    <row r="323" spans="1:14" x14ac:dyDescent="0.2">
      <c r="A323" t="s">
        <v>1167</v>
      </c>
      <c r="B323" s="17" t="s">
        <v>951</v>
      </c>
      <c r="C323" t="s">
        <v>950</v>
      </c>
      <c r="E323" t="s">
        <v>44</v>
      </c>
      <c r="F323" t="s">
        <v>44</v>
      </c>
      <c r="I323" t="s">
        <v>971</v>
      </c>
      <c r="J323" s="18" t="s">
        <v>1166</v>
      </c>
      <c r="K323" s="18" t="s">
        <v>981</v>
      </c>
      <c r="L323" s="22">
        <v>0.20449999999999999</v>
      </c>
    </row>
    <row r="324" spans="1:14" x14ac:dyDescent="0.2">
      <c r="A324" t="s">
        <v>1165</v>
      </c>
      <c r="B324" s="17" t="s">
        <v>951</v>
      </c>
      <c r="C324" t="s">
        <v>950</v>
      </c>
      <c r="E324" t="s">
        <v>44</v>
      </c>
      <c r="F324" t="s">
        <v>44</v>
      </c>
      <c r="I324" t="s">
        <v>971</v>
      </c>
      <c r="J324" s="18" t="s">
        <v>1164</v>
      </c>
      <c r="K324" s="18" t="s">
        <v>981</v>
      </c>
      <c r="L324" s="22">
        <v>9.8900000000000002E-2</v>
      </c>
      <c r="M324">
        <v>6.1470000000000002</v>
      </c>
      <c r="N324">
        <f>10.767+2.628+2.701+4.453</f>
        <v>20.548999999999999</v>
      </c>
    </row>
    <row r="325" spans="1:14" x14ac:dyDescent="0.2">
      <c r="A325" t="s">
        <v>1163</v>
      </c>
      <c r="B325" s="17" t="s">
        <v>951</v>
      </c>
      <c r="C325" t="s">
        <v>950</v>
      </c>
      <c r="E325" t="s">
        <v>44</v>
      </c>
      <c r="F325" t="s">
        <v>44</v>
      </c>
      <c r="I325" t="s">
        <v>971</v>
      </c>
      <c r="J325" s="18" t="s">
        <v>1162</v>
      </c>
      <c r="K325" s="18" t="s">
        <v>981</v>
      </c>
      <c r="L325" s="22">
        <v>8.09E-2</v>
      </c>
    </row>
    <row r="326" spans="1:14" x14ac:dyDescent="0.2">
      <c r="A326" t="s">
        <v>1160</v>
      </c>
      <c r="B326" s="17" t="s">
        <v>951</v>
      </c>
      <c r="C326" t="s">
        <v>950</v>
      </c>
      <c r="E326" t="s">
        <v>44</v>
      </c>
      <c r="F326" t="s">
        <v>44</v>
      </c>
      <c r="I326" t="s">
        <v>971</v>
      </c>
      <c r="J326" s="18" t="s">
        <v>1159</v>
      </c>
      <c r="K326" s="21" t="s">
        <v>1040</v>
      </c>
      <c r="L326" s="22">
        <v>0.1656</v>
      </c>
      <c r="M326">
        <v>6.8070000000000004</v>
      </c>
      <c r="N326">
        <f>12.554+11.364</f>
        <v>23.917999999999999</v>
      </c>
    </row>
    <row r="327" spans="1:14" x14ac:dyDescent="0.2">
      <c r="A327" t="s">
        <v>1158</v>
      </c>
      <c r="B327" s="17" t="s">
        <v>951</v>
      </c>
      <c r="C327" t="s">
        <v>950</v>
      </c>
      <c r="E327" t="s">
        <v>44</v>
      </c>
      <c r="F327" t="s">
        <v>44</v>
      </c>
      <c r="I327" t="s">
        <v>971</v>
      </c>
      <c r="J327" s="18" t="s">
        <v>1157</v>
      </c>
      <c r="K327" s="18" t="s">
        <v>981</v>
      </c>
      <c r="L327" s="22">
        <v>9.8599999999999993E-2</v>
      </c>
      <c r="M327">
        <v>5.6239999999999997</v>
      </c>
      <c r="N327">
        <f>10.286+4.298+4.033</f>
        <v>18.617000000000001</v>
      </c>
    </row>
    <row r="328" spans="1:14" x14ac:dyDescent="0.2">
      <c r="A328" t="s">
        <v>1155</v>
      </c>
      <c r="B328" s="17" t="s">
        <v>951</v>
      </c>
      <c r="C328" t="s">
        <v>950</v>
      </c>
      <c r="E328" t="s">
        <v>44</v>
      </c>
      <c r="F328" t="s">
        <v>44</v>
      </c>
      <c r="I328" t="s">
        <v>971</v>
      </c>
      <c r="J328" s="18" t="s">
        <v>1154</v>
      </c>
      <c r="K328" s="18" t="s">
        <v>981</v>
      </c>
      <c r="L328" s="22">
        <v>8.5900000000000004E-2</v>
      </c>
      <c r="M328">
        <v>6.1929999999999996</v>
      </c>
      <c r="N328">
        <f>10.492+9.457</f>
        <v>19.949000000000002</v>
      </c>
    </row>
    <row r="329" spans="1:14" x14ac:dyDescent="0.2">
      <c r="A329" t="s">
        <v>1153</v>
      </c>
      <c r="B329" s="17" t="s">
        <v>951</v>
      </c>
      <c r="C329" t="s">
        <v>950</v>
      </c>
      <c r="E329" t="s">
        <v>44</v>
      </c>
      <c r="F329" t="s">
        <v>44</v>
      </c>
      <c r="I329" t="s">
        <v>971</v>
      </c>
      <c r="J329" s="18" t="s">
        <v>1152</v>
      </c>
      <c r="K329" s="18" t="s">
        <v>981</v>
      </c>
      <c r="L329" s="22">
        <v>0.1056</v>
      </c>
      <c r="M329">
        <v>5.407</v>
      </c>
      <c r="N329">
        <f>8.788+11.247</f>
        <v>20.035</v>
      </c>
    </row>
    <row r="330" spans="1:14" x14ac:dyDescent="0.2">
      <c r="A330" t="s">
        <v>1151</v>
      </c>
      <c r="B330" s="17" t="s">
        <v>951</v>
      </c>
      <c r="C330" t="s">
        <v>950</v>
      </c>
      <c r="E330" t="s">
        <v>44</v>
      </c>
      <c r="F330" t="s">
        <v>44</v>
      </c>
      <c r="I330" t="s">
        <v>971</v>
      </c>
      <c r="J330" s="18" t="s">
        <v>1150</v>
      </c>
      <c r="K330" s="18" t="s">
        <v>981</v>
      </c>
      <c r="L330" s="22">
        <v>9.7199999999999995E-2</v>
      </c>
      <c r="M330">
        <v>6.2510000000000003</v>
      </c>
      <c r="N330">
        <f>10.532+9.284</f>
        <v>19.816000000000003</v>
      </c>
    </row>
    <row r="331" spans="1:14" x14ac:dyDescent="0.2">
      <c r="A331" t="s">
        <v>1149</v>
      </c>
      <c r="B331" s="17" t="s">
        <v>951</v>
      </c>
      <c r="C331" t="s">
        <v>950</v>
      </c>
      <c r="E331" t="s">
        <v>44</v>
      </c>
      <c r="F331" t="s">
        <v>44</v>
      </c>
      <c r="I331" t="s">
        <v>971</v>
      </c>
      <c r="J331" s="18" t="s">
        <v>1148</v>
      </c>
      <c r="K331" s="18" t="s">
        <v>981</v>
      </c>
      <c r="L331" s="22">
        <v>8.6599999999999996E-2</v>
      </c>
    </row>
    <row r="332" spans="1:14" x14ac:dyDescent="0.2">
      <c r="A332" t="s">
        <v>1146</v>
      </c>
      <c r="B332" s="17" t="s">
        <v>951</v>
      </c>
      <c r="C332" t="s">
        <v>950</v>
      </c>
      <c r="E332" t="s">
        <v>44</v>
      </c>
      <c r="F332" t="s">
        <v>44</v>
      </c>
      <c r="I332" t="s">
        <v>971</v>
      </c>
      <c r="J332" s="18" t="s">
        <v>1145</v>
      </c>
      <c r="K332" s="18" t="s">
        <v>981</v>
      </c>
      <c r="L332" s="22">
        <v>8.9200000000000002E-2</v>
      </c>
    </row>
    <row r="333" spans="1:14" x14ac:dyDescent="0.2">
      <c r="A333" t="s">
        <v>1144</v>
      </c>
      <c r="B333" s="17" t="s">
        <v>951</v>
      </c>
      <c r="C333" t="s">
        <v>950</v>
      </c>
      <c r="E333" t="s">
        <v>44</v>
      </c>
      <c r="F333" t="s">
        <v>44</v>
      </c>
      <c r="I333" t="s">
        <v>971</v>
      </c>
      <c r="J333" s="18" t="s">
        <v>1143</v>
      </c>
      <c r="K333" s="18" t="s">
        <v>981</v>
      </c>
      <c r="L333" s="22">
        <v>8.9800000000000005E-2</v>
      </c>
      <c r="M333">
        <v>5.7060000000000004</v>
      </c>
      <c r="N333">
        <f>9.001+8.924</f>
        <v>17.924999999999997</v>
      </c>
    </row>
    <row r="334" spans="1:14" x14ac:dyDescent="0.2">
      <c r="A334" t="s">
        <v>1142</v>
      </c>
      <c r="B334" s="17" t="s">
        <v>951</v>
      </c>
      <c r="C334" t="s">
        <v>950</v>
      </c>
      <c r="E334" t="s">
        <v>44</v>
      </c>
      <c r="F334" t="s">
        <v>44</v>
      </c>
      <c r="I334" t="s">
        <v>971</v>
      </c>
      <c r="J334" s="18" t="s">
        <v>1141</v>
      </c>
      <c r="K334" s="18" t="s">
        <v>981</v>
      </c>
      <c r="L334" s="22">
        <v>9.9699999999999997E-2</v>
      </c>
      <c r="M334">
        <v>6.343</v>
      </c>
      <c r="N334">
        <f>10.838+9.624</f>
        <v>20.462</v>
      </c>
    </row>
    <row r="335" spans="1:14" x14ac:dyDescent="0.2">
      <c r="A335" t="s">
        <v>1140</v>
      </c>
      <c r="B335" s="17" t="s">
        <v>951</v>
      </c>
      <c r="C335" t="s">
        <v>950</v>
      </c>
      <c r="E335" t="s">
        <v>44</v>
      </c>
      <c r="F335" t="s">
        <v>44</v>
      </c>
      <c r="I335" t="s">
        <v>971</v>
      </c>
      <c r="J335" s="18" t="s">
        <v>1139</v>
      </c>
      <c r="K335" s="18" t="s">
        <v>981</v>
      </c>
      <c r="L335" s="22">
        <v>9.6199999999999994E-2</v>
      </c>
      <c r="M335">
        <v>6.6070000000000002</v>
      </c>
      <c r="N335">
        <f>10.168+10.354</f>
        <v>20.521999999999998</v>
      </c>
    </row>
    <row r="336" spans="1:14" x14ac:dyDescent="0.2">
      <c r="A336" t="s">
        <v>1138</v>
      </c>
      <c r="B336" s="17" t="s">
        <v>951</v>
      </c>
      <c r="C336" t="s">
        <v>950</v>
      </c>
      <c r="E336" t="s">
        <v>44</v>
      </c>
      <c r="F336" t="s">
        <v>44</v>
      </c>
      <c r="I336" t="s">
        <v>971</v>
      </c>
      <c r="J336" s="18" t="s">
        <v>1137</v>
      </c>
      <c r="K336" s="18" t="s">
        <v>981</v>
      </c>
      <c r="L336" s="22">
        <v>7.5499999999999998E-2</v>
      </c>
      <c r="M336">
        <v>5.4089999999999998</v>
      </c>
      <c r="N336">
        <f>8.427+8.491</f>
        <v>16.917999999999999</v>
      </c>
    </row>
    <row r="337" spans="1:14" x14ac:dyDescent="0.2">
      <c r="A337" t="s">
        <v>1135</v>
      </c>
      <c r="B337" s="17" t="s">
        <v>951</v>
      </c>
      <c r="C337" t="s">
        <v>950</v>
      </c>
      <c r="E337" t="s">
        <v>44</v>
      </c>
      <c r="F337" t="s">
        <v>44</v>
      </c>
      <c r="I337" t="s">
        <v>971</v>
      </c>
      <c r="J337" s="18" t="s">
        <v>1134</v>
      </c>
      <c r="K337" s="18" t="s">
        <v>981</v>
      </c>
      <c r="L337" s="22">
        <v>0.15409999999999999</v>
      </c>
      <c r="M337">
        <v>6.6929999999999996</v>
      </c>
      <c r="N337">
        <f>11.14+8.755</f>
        <v>19.895000000000003</v>
      </c>
    </row>
    <row r="338" spans="1:14" x14ac:dyDescent="0.2">
      <c r="A338" t="s">
        <v>1133</v>
      </c>
      <c r="B338" s="17" t="s">
        <v>951</v>
      </c>
      <c r="C338" t="s">
        <v>950</v>
      </c>
      <c r="E338" t="s">
        <v>44</v>
      </c>
      <c r="F338" t="s">
        <v>44</v>
      </c>
      <c r="I338" t="s">
        <v>971</v>
      </c>
      <c r="J338" s="18" t="s">
        <v>1132</v>
      </c>
      <c r="K338" s="18" t="s">
        <v>981</v>
      </c>
      <c r="L338" s="22">
        <v>7.6300000000000007E-2</v>
      </c>
      <c r="M338">
        <v>4.8630000000000004</v>
      </c>
      <c r="N338">
        <f>8.517+9.373</f>
        <v>17.89</v>
      </c>
    </row>
    <row r="339" spans="1:14" x14ac:dyDescent="0.2">
      <c r="A339" t="s">
        <v>1131</v>
      </c>
      <c r="B339" s="17" t="s">
        <v>951</v>
      </c>
      <c r="C339" t="s">
        <v>950</v>
      </c>
      <c r="E339" t="s">
        <v>44</v>
      </c>
      <c r="F339" t="s">
        <v>44</v>
      </c>
      <c r="I339" t="s">
        <v>971</v>
      </c>
      <c r="J339" s="18" t="s">
        <v>1130</v>
      </c>
      <c r="K339" s="18" t="s">
        <v>981</v>
      </c>
      <c r="L339" s="22">
        <v>0.1013</v>
      </c>
      <c r="M339">
        <v>5.931</v>
      </c>
      <c r="N339">
        <f>9.977+10.885</f>
        <v>20.862000000000002</v>
      </c>
    </row>
    <row r="340" spans="1:14" x14ac:dyDescent="0.2">
      <c r="A340" t="s">
        <v>1129</v>
      </c>
      <c r="B340" s="17" t="s">
        <v>951</v>
      </c>
      <c r="C340" t="s">
        <v>950</v>
      </c>
      <c r="E340" t="s">
        <v>44</v>
      </c>
      <c r="F340" t="s">
        <v>44</v>
      </c>
      <c r="I340" t="s">
        <v>971</v>
      </c>
      <c r="J340" s="18" t="s">
        <v>1128</v>
      </c>
      <c r="K340" s="18" t="s">
        <v>981</v>
      </c>
      <c r="L340" s="22">
        <v>0.1153</v>
      </c>
      <c r="M340">
        <v>6.3789999999999996</v>
      </c>
      <c r="N340">
        <f>9.109+9.893</f>
        <v>19.002000000000002</v>
      </c>
    </row>
    <row r="341" spans="1:14" x14ac:dyDescent="0.2">
      <c r="A341" t="s">
        <v>1127</v>
      </c>
      <c r="B341" s="17" t="s">
        <v>951</v>
      </c>
      <c r="C341" t="s">
        <v>950</v>
      </c>
      <c r="E341" t="s">
        <v>44</v>
      </c>
      <c r="F341" t="s">
        <v>44</v>
      </c>
      <c r="I341" t="s">
        <v>971</v>
      </c>
      <c r="J341" s="18" t="s">
        <v>1126</v>
      </c>
      <c r="K341" s="18" t="s">
        <v>981</v>
      </c>
      <c r="L341" s="22">
        <v>9.5699999999999993E-2</v>
      </c>
    </row>
    <row r="342" spans="1:14" x14ac:dyDescent="0.2">
      <c r="A342" t="s">
        <v>1125</v>
      </c>
      <c r="B342" s="17" t="s">
        <v>951</v>
      </c>
      <c r="C342" t="s">
        <v>950</v>
      </c>
      <c r="E342" t="s">
        <v>44</v>
      </c>
      <c r="F342" t="s">
        <v>44</v>
      </c>
      <c r="I342" t="s">
        <v>971</v>
      </c>
      <c r="J342" s="18" t="s">
        <v>1124</v>
      </c>
      <c r="K342" s="18" t="s">
        <v>981</v>
      </c>
      <c r="L342" s="22">
        <v>0.1162</v>
      </c>
      <c r="M342">
        <v>6.2060000000000004</v>
      </c>
      <c r="N342">
        <f>10.029+6.206</f>
        <v>16.234999999999999</v>
      </c>
    </row>
    <row r="343" spans="1:14" x14ac:dyDescent="0.2">
      <c r="A343" t="s">
        <v>1123</v>
      </c>
      <c r="B343" s="17" t="s">
        <v>951</v>
      </c>
      <c r="C343" t="s">
        <v>950</v>
      </c>
      <c r="E343" t="s">
        <v>44</v>
      </c>
      <c r="F343" t="s">
        <v>44</v>
      </c>
      <c r="I343" t="s">
        <v>971</v>
      </c>
      <c r="J343" s="18" t="s">
        <v>1122</v>
      </c>
      <c r="K343" s="18" t="s">
        <v>981</v>
      </c>
      <c r="L343" s="22">
        <v>0.10829999999999999</v>
      </c>
      <c r="M343" s="41">
        <v>5.9480000000000004</v>
      </c>
      <c r="N343">
        <f>10.625+7.827</f>
        <v>18.451999999999998</v>
      </c>
    </row>
    <row r="344" spans="1:14" x14ac:dyDescent="0.2">
      <c r="A344" t="s">
        <v>1121</v>
      </c>
      <c r="B344" s="17" t="s">
        <v>951</v>
      </c>
      <c r="C344" t="s">
        <v>950</v>
      </c>
      <c r="E344" t="s">
        <v>44</v>
      </c>
      <c r="F344" t="s">
        <v>44</v>
      </c>
      <c r="I344" t="s">
        <v>971</v>
      </c>
      <c r="J344" s="18" t="s">
        <v>1120</v>
      </c>
      <c r="K344" s="18" t="s">
        <v>981</v>
      </c>
      <c r="L344" s="22">
        <v>7.3499999999999996E-2</v>
      </c>
      <c r="M344">
        <v>5.8449999999999998</v>
      </c>
      <c r="N344">
        <f>6.801+8.903</f>
        <v>15.704000000000001</v>
      </c>
    </row>
    <row r="345" spans="1:14" x14ac:dyDescent="0.2">
      <c r="A345" t="s">
        <v>1119</v>
      </c>
      <c r="B345" s="17" t="s">
        <v>951</v>
      </c>
      <c r="C345" t="s">
        <v>950</v>
      </c>
      <c r="E345" t="s">
        <v>44</v>
      </c>
      <c r="F345" t="s">
        <v>44</v>
      </c>
      <c r="I345" t="s">
        <v>971</v>
      </c>
      <c r="J345" s="18" t="s">
        <v>1118</v>
      </c>
      <c r="K345" s="18" t="s">
        <v>981</v>
      </c>
      <c r="L345" s="22">
        <v>9.1600000000000001E-2</v>
      </c>
      <c r="M345">
        <v>6.2889999999999997</v>
      </c>
      <c r="N345">
        <f>10.262+4.13+2.897</f>
        <v>17.288999999999998</v>
      </c>
    </row>
    <row r="346" spans="1:14" x14ac:dyDescent="0.2">
      <c r="A346" t="s">
        <v>1117</v>
      </c>
      <c r="B346" s="17" t="s">
        <v>951</v>
      </c>
      <c r="C346" t="s">
        <v>950</v>
      </c>
      <c r="E346" t="s">
        <v>44</v>
      </c>
      <c r="F346" t="s">
        <v>44</v>
      </c>
      <c r="I346" t="s">
        <v>971</v>
      </c>
      <c r="J346" s="18" t="s">
        <v>1116</v>
      </c>
      <c r="K346" s="18" t="s">
        <v>981</v>
      </c>
      <c r="L346" s="22">
        <v>6.3500000000000001E-2</v>
      </c>
      <c r="M346">
        <v>4.8280000000000003</v>
      </c>
      <c r="N346">
        <f>8.215+6.325</f>
        <v>14.54</v>
      </c>
    </row>
    <row r="347" spans="1:14" x14ac:dyDescent="0.2">
      <c r="A347" t="s">
        <v>1114</v>
      </c>
      <c r="B347" s="17" t="s">
        <v>951</v>
      </c>
      <c r="C347" t="s">
        <v>950</v>
      </c>
      <c r="E347" t="s">
        <v>44</v>
      </c>
      <c r="F347" t="s">
        <v>44</v>
      </c>
      <c r="I347" t="s">
        <v>971</v>
      </c>
      <c r="J347" s="18" t="s">
        <v>1113</v>
      </c>
      <c r="K347" s="18" t="s">
        <v>981</v>
      </c>
      <c r="L347" s="22">
        <v>7.3499999999999996E-2</v>
      </c>
      <c r="M347">
        <v>4.7809999999999997</v>
      </c>
      <c r="N347">
        <f>7.731+7.875</f>
        <v>15.606</v>
      </c>
    </row>
    <row r="348" spans="1:14" x14ac:dyDescent="0.2">
      <c r="A348" t="s">
        <v>1112</v>
      </c>
      <c r="B348" s="17" t="s">
        <v>951</v>
      </c>
      <c r="C348" t="s">
        <v>950</v>
      </c>
      <c r="E348" t="s">
        <v>44</v>
      </c>
      <c r="F348" t="s">
        <v>44</v>
      </c>
      <c r="I348" t="s">
        <v>971</v>
      </c>
      <c r="J348" s="18" t="s">
        <v>1111</v>
      </c>
      <c r="K348" s="21" t="s">
        <v>1040</v>
      </c>
      <c r="L348" s="22">
        <v>8.0299999999999996E-2</v>
      </c>
    </row>
    <row r="349" spans="1:14" x14ac:dyDescent="0.2">
      <c r="A349" t="s">
        <v>1110</v>
      </c>
      <c r="B349" s="17" t="s">
        <v>951</v>
      </c>
      <c r="C349" t="s">
        <v>950</v>
      </c>
      <c r="E349" t="s">
        <v>44</v>
      </c>
      <c r="F349" t="s">
        <v>44</v>
      </c>
      <c r="I349" t="s">
        <v>971</v>
      </c>
      <c r="J349" s="18" t="s">
        <v>1109</v>
      </c>
      <c r="K349" s="18" t="s">
        <v>981</v>
      </c>
      <c r="L349" s="22">
        <v>0.14280000000000001</v>
      </c>
    </row>
    <row r="350" spans="1:14" x14ac:dyDescent="0.2">
      <c r="A350" t="s">
        <v>1108</v>
      </c>
      <c r="B350" s="17" t="s">
        <v>951</v>
      </c>
      <c r="C350" t="s">
        <v>950</v>
      </c>
      <c r="E350" t="s">
        <v>44</v>
      </c>
      <c r="F350" t="s">
        <v>44</v>
      </c>
      <c r="I350" t="s">
        <v>971</v>
      </c>
      <c r="J350" s="18" t="s">
        <v>1107</v>
      </c>
      <c r="K350" s="18" t="s">
        <v>981</v>
      </c>
      <c r="L350" s="22">
        <v>8.9800000000000005E-2</v>
      </c>
    </row>
    <row r="351" spans="1:14" x14ac:dyDescent="0.2">
      <c r="A351" t="s">
        <v>1105</v>
      </c>
      <c r="B351" s="17" t="s">
        <v>951</v>
      </c>
      <c r="C351" t="s">
        <v>950</v>
      </c>
      <c r="E351" t="s">
        <v>44</v>
      </c>
      <c r="F351" t="s">
        <v>44</v>
      </c>
      <c r="I351" t="s">
        <v>971</v>
      </c>
      <c r="J351" s="18" t="s">
        <v>1104</v>
      </c>
      <c r="K351" s="18" t="s">
        <v>981</v>
      </c>
      <c r="L351" s="22">
        <v>0.15770000000000001</v>
      </c>
    </row>
    <row r="352" spans="1:14" x14ac:dyDescent="0.2">
      <c r="A352" t="s">
        <v>1103</v>
      </c>
      <c r="B352" s="17" t="s">
        <v>951</v>
      </c>
      <c r="C352" t="s">
        <v>950</v>
      </c>
      <c r="E352" t="s">
        <v>44</v>
      </c>
      <c r="F352" t="s">
        <v>44</v>
      </c>
      <c r="I352" t="s">
        <v>971</v>
      </c>
      <c r="J352" s="18" t="s">
        <v>1102</v>
      </c>
      <c r="K352" s="18" t="s">
        <v>981</v>
      </c>
      <c r="L352" s="22">
        <v>0.1232</v>
      </c>
    </row>
    <row r="353" spans="1:16" x14ac:dyDescent="0.2">
      <c r="A353" t="s">
        <v>1101</v>
      </c>
      <c r="B353" s="17" t="s">
        <v>951</v>
      </c>
      <c r="C353" t="s">
        <v>950</v>
      </c>
      <c r="E353" t="s">
        <v>44</v>
      </c>
      <c r="F353" t="s">
        <v>44</v>
      </c>
      <c r="I353" t="s">
        <v>971</v>
      </c>
      <c r="J353" s="18" t="s">
        <v>1100</v>
      </c>
      <c r="K353" s="18" t="s">
        <v>981</v>
      </c>
      <c r="L353" s="22">
        <v>0.26169999999999999</v>
      </c>
    </row>
    <row r="354" spans="1:16" x14ac:dyDescent="0.2">
      <c r="A354" t="s">
        <v>1099</v>
      </c>
      <c r="B354" s="17" t="s">
        <v>951</v>
      </c>
      <c r="C354" t="s">
        <v>950</v>
      </c>
      <c r="E354" t="s">
        <v>44</v>
      </c>
      <c r="F354" t="s">
        <v>44</v>
      </c>
      <c r="I354" t="s">
        <v>971</v>
      </c>
      <c r="J354" s="18" t="s">
        <v>1098</v>
      </c>
      <c r="K354" s="18" t="s">
        <v>981</v>
      </c>
      <c r="L354" s="22">
        <v>0.1293</v>
      </c>
    </row>
    <row r="355" spans="1:16" x14ac:dyDescent="0.2">
      <c r="A355" t="s">
        <v>1097</v>
      </c>
      <c r="B355" s="17" t="s">
        <v>951</v>
      </c>
      <c r="C355" t="s">
        <v>950</v>
      </c>
      <c r="E355" t="s">
        <v>44</v>
      </c>
      <c r="F355" t="s">
        <v>44</v>
      </c>
      <c r="I355" t="s">
        <v>971</v>
      </c>
      <c r="J355" s="18" t="s">
        <v>1096</v>
      </c>
      <c r="K355" s="18" t="s">
        <v>981</v>
      </c>
      <c r="L355" s="22">
        <v>0.127</v>
      </c>
    </row>
    <row r="356" spans="1:16" x14ac:dyDescent="0.2">
      <c r="A356" t="s">
        <v>1095</v>
      </c>
      <c r="B356" s="17" t="s">
        <v>951</v>
      </c>
      <c r="C356" t="s">
        <v>950</v>
      </c>
      <c r="E356" t="s">
        <v>44</v>
      </c>
      <c r="F356" t="s">
        <v>44</v>
      </c>
      <c r="I356" t="s">
        <v>971</v>
      </c>
      <c r="J356" s="18" t="s">
        <v>1094</v>
      </c>
      <c r="K356" s="18" t="s">
        <v>981</v>
      </c>
      <c r="L356" s="22">
        <v>0.13980000000000001</v>
      </c>
    </row>
    <row r="357" spans="1:16" x14ac:dyDescent="0.2">
      <c r="A357" t="s">
        <v>1093</v>
      </c>
      <c r="B357" s="17" t="s">
        <v>951</v>
      </c>
      <c r="C357" t="s">
        <v>950</v>
      </c>
      <c r="E357" t="s">
        <v>44</v>
      </c>
      <c r="F357" t="s">
        <v>44</v>
      </c>
      <c r="I357" t="s">
        <v>971</v>
      </c>
      <c r="J357" s="18" t="s">
        <v>1092</v>
      </c>
      <c r="K357" s="18" t="s">
        <v>981</v>
      </c>
      <c r="L357" s="22">
        <v>0.2074</v>
      </c>
    </row>
    <row r="358" spans="1:16" x14ac:dyDescent="0.2">
      <c r="A358" t="s">
        <v>1091</v>
      </c>
      <c r="B358" s="17" t="s">
        <v>951</v>
      </c>
      <c r="C358" t="s">
        <v>950</v>
      </c>
      <c r="E358" t="s">
        <v>44</v>
      </c>
      <c r="F358" t="s">
        <v>44</v>
      </c>
      <c r="I358" t="s">
        <v>971</v>
      </c>
      <c r="J358" s="18" t="s">
        <v>1090</v>
      </c>
      <c r="K358" s="18" t="s">
        <v>981</v>
      </c>
      <c r="L358" s="22">
        <v>8.2900000000000001E-2</v>
      </c>
    </row>
    <row r="359" spans="1:16" x14ac:dyDescent="0.2">
      <c r="A359" t="s">
        <v>1089</v>
      </c>
      <c r="B359" s="17" t="s">
        <v>951</v>
      </c>
      <c r="C359" t="s">
        <v>950</v>
      </c>
      <c r="E359" t="s">
        <v>44</v>
      </c>
      <c r="F359" t="s">
        <v>44</v>
      </c>
      <c r="I359" t="s">
        <v>971</v>
      </c>
      <c r="J359" s="18" t="s">
        <v>1088</v>
      </c>
      <c r="K359" s="18" t="s">
        <v>981</v>
      </c>
      <c r="L359" s="22">
        <v>8.6499999999999994E-2</v>
      </c>
    </row>
    <row r="360" spans="1:16" x14ac:dyDescent="0.2">
      <c r="A360" t="s">
        <v>1087</v>
      </c>
      <c r="B360" s="17" t="s">
        <v>951</v>
      </c>
      <c r="C360" t="s">
        <v>950</v>
      </c>
      <c r="E360" t="s">
        <v>44</v>
      </c>
      <c r="F360" t="s">
        <v>44</v>
      </c>
      <c r="I360" t="s">
        <v>971</v>
      </c>
      <c r="J360" s="18" t="s">
        <v>1086</v>
      </c>
      <c r="K360" s="21" t="s">
        <v>1040</v>
      </c>
      <c r="L360" s="22">
        <v>7.8100000000000003E-2</v>
      </c>
    </row>
    <row r="361" spans="1:16" x14ac:dyDescent="0.2">
      <c r="A361" t="s">
        <v>1085</v>
      </c>
      <c r="B361" s="17" t="s">
        <v>951</v>
      </c>
      <c r="C361" t="s">
        <v>950</v>
      </c>
      <c r="E361" t="s">
        <v>44</v>
      </c>
      <c r="F361" t="s">
        <v>44</v>
      </c>
      <c r="I361" t="s">
        <v>971</v>
      </c>
      <c r="J361" s="18" t="s">
        <v>1084</v>
      </c>
      <c r="K361" s="18" t="s">
        <v>981</v>
      </c>
      <c r="L361" s="22">
        <v>7.3499999999999996E-2</v>
      </c>
    </row>
    <row r="362" spans="1:16" x14ac:dyDescent="0.2">
      <c r="A362" t="s">
        <v>1083</v>
      </c>
      <c r="B362" s="17" t="s">
        <v>951</v>
      </c>
      <c r="C362" t="s">
        <v>950</v>
      </c>
      <c r="E362" t="s">
        <v>44</v>
      </c>
      <c r="F362" t="s">
        <v>44</v>
      </c>
      <c r="I362" t="s">
        <v>971</v>
      </c>
      <c r="J362" s="18" t="s">
        <v>1082</v>
      </c>
      <c r="K362" s="18" t="s">
        <v>981</v>
      </c>
      <c r="L362" s="22">
        <v>7.6700000000000004E-2</v>
      </c>
    </row>
    <row r="363" spans="1:16" x14ac:dyDescent="0.2">
      <c r="A363" t="s">
        <v>1081</v>
      </c>
      <c r="B363" s="17" t="s">
        <v>951</v>
      </c>
      <c r="C363" t="s">
        <v>950</v>
      </c>
      <c r="E363" t="s">
        <v>44</v>
      </c>
      <c r="F363" t="s">
        <v>44</v>
      </c>
      <c r="I363" t="s">
        <v>971</v>
      </c>
      <c r="J363" s="18" t="s">
        <v>1080</v>
      </c>
      <c r="K363" s="18" t="s">
        <v>981</v>
      </c>
      <c r="L363" s="22">
        <v>0.26290000000000002</v>
      </c>
    </row>
    <row r="364" spans="1:16" x14ac:dyDescent="0.2">
      <c r="A364" t="s">
        <v>1079</v>
      </c>
      <c r="B364" s="17" t="s">
        <v>951</v>
      </c>
      <c r="C364" t="s">
        <v>950</v>
      </c>
      <c r="E364" t="s">
        <v>44</v>
      </c>
      <c r="F364" t="s">
        <v>44</v>
      </c>
      <c r="I364" t="s">
        <v>971</v>
      </c>
      <c r="J364" s="18" t="s">
        <v>1078</v>
      </c>
      <c r="K364" s="18" t="s">
        <v>981</v>
      </c>
      <c r="L364" s="22">
        <v>0.24329999999999999</v>
      </c>
    </row>
    <row r="365" spans="1:16" s="27" customFormat="1" x14ac:dyDescent="0.2">
      <c r="A365" s="27" t="s">
        <v>1077</v>
      </c>
      <c r="B365" s="27" t="s">
        <v>951</v>
      </c>
      <c r="C365" s="27" t="s">
        <v>950</v>
      </c>
      <c r="E365" s="27" t="s">
        <v>44</v>
      </c>
      <c r="F365" s="27" t="s">
        <v>44</v>
      </c>
      <c r="I365" s="27" t="s">
        <v>971</v>
      </c>
      <c r="J365" s="26" t="s">
        <v>1076</v>
      </c>
      <c r="K365" s="26" t="s">
        <v>981</v>
      </c>
      <c r="L365" s="30" t="s">
        <v>1075</v>
      </c>
      <c r="M365" s="27" t="s">
        <v>1074</v>
      </c>
    </row>
    <row r="366" spans="1:16" x14ac:dyDescent="0.2">
      <c r="A366" t="s">
        <v>1073</v>
      </c>
      <c r="B366" s="17" t="s">
        <v>951</v>
      </c>
      <c r="C366" t="s">
        <v>950</v>
      </c>
      <c r="E366" t="s">
        <v>44</v>
      </c>
      <c r="F366" t="s">
        <v>44</v>
      </c>
      <c r="I366" t="s">
        <v>971</v>
      </c>
      <c r="J366" s="18"/>
      <c r="K366" s="18"/>
      <c r="L366" s="19"/>
      <c r="M366" s="23" t="s">
        <v>1073</v>
      </c>
      <c r="N366" s="18" t="s">
        <v>1941</v>
      </c>
      <c r="O366" s="18" t="s">
        <v>981</v>
      </c>
      <c r="P366" s="18" t="s">
        <v>982</v>
      </c>
    </row>
    <row r="367" spans="1:16" x14ac:dyDescent="0.2">
      <c r="A367" t="s">
        <v>1072</v>
      </c>
      <c r="B367" s="17" t="s">
        <v>951</v>
      </c>
      <c r="C367" t="s">
        <v>950</v>
      </c>
      <c r="E367" t="s">
        <v>44</v>
      </c>
      <c r="F367" t="s">
        <v>44</v>
      </c>
      <c r="I367" t="s">
        <v>971</v>
      </c>
      <c r="J367" s="18" t="s">
        <v>1071</v>
      </c>
      <c r="K367" s="18" t="s">
        <v>981</v>
      </c>
      <c r="L367" s="19" t="s">
        <v>1070</v>
      </c>
      <c r="M367" s="23"/>
      <c r="N367" s="18"/>
      <c r="O367" s="18"/>
      <c r="P367" s="18"/>
    </row>
    <row r="368" spans="1:16" x14ac:dyDescent="0.2">
      <c r="A368" t="s">
        <v>1069</v>
      </c>
      <c r="B368" s="17" t="s">
        <v>951</v>
      </c>
      <c r="C368" t="s">
        <v>950</v>
      </c>
      <c r="E368" t="s">
        <v>44</v>
      </c>
      <c r="F368" t="s">
        <v>44</v>
      </c>
      <c r="I368" t="s">
        <v>971</v>
      </c>
      <c r="J368" s="18" t="s">
        <v>1068</v>
      </c>
      <c r="K368" s="18" t="s">
        <v>981</v>
      </c>
      <c r="L368" s="19" t="s">
        <v>1067</v>
      </c>
      <c r="M368" s="23"/>
      <c r="N368" s="18"/>
      <c r="O368" s="18"/>
      <c r="P368" s="18"/>
    </row>
    <row r="369" spans="1:16" x14ac:dyDescent="0.2">
      <c r="A369" t="s">
        <v>1066</v>
      </c>
      <c r="B369" s="17" t="s">
        <v>951</v>
      </c>
      <c r="C369" t="s">
        <v>950</v>
      </c>
      <c r="E369" t="s">
        <v>44</v>
      </c>
      <c r="F369" t="s">
        <v>44</v>
      </c>
      <c r="I369" t="s">
        <v>971</v>
      </c>
      <c r="J369" s="18"/>
      <c r="K369" s="18"/>
      <c r="L369" s="19"/>
      <c r="M369" s="23" t="s">
        <v>1066</v>
      </c>
      <c r="N369" s="18" t="s">
        <v>1942</v>
      </c>
      <c r="O369" s="18" t="s">
        <v>981</v>
      </c>
      <c r="P369" s="18" t="s">
        <v>982</v>
      </c>
    </row>
    <row r="370" spans="1:16" x14ac:dyDescent="0.2">
      <c r="A370" t="s">
        <v>1065</v>
      </c>
      <c r="B370" s="17" t="s">
        <v>951</v>
      </c>
      <c r="C370" t="s">
        <v>950</v>
      </c>
      <c r="E370" t="s">
        <v>44</v>
      </c>
      <c r="F370" t="s">
        <v>44</v>
      </c>
      <c r="I370" t="s">
        <v>971</v>
      </c>
      <c r="J370" s="18" t="s">
        <v>1064</v>
      </c>
      <c r="K370" s="18" t="s">
        <v>981</v>
      </c>
      <c r="L370" s="19" t="s">
        <v>1063</v>
      </c>
      <c r="M370" s="23"/>
      <c r="N370" s="18"/>
      <c r="O370" s="18"/>
      <c r="P370" s="18"/>
    </row>
    <row r="371" spans="1:16" x14ac:dyDescent="0.2">
      <c r="A371" t="s">
        <v>1062</v>
      </c>
      <c r="B371" s="17" t="s">
        <v>951</v>
      </c>
      <c r="C371" t="s">
        <v>950</v>
      </c>
      <c r="E371" t="s">
        <v>44</v>
      </c>
      <c r="F371" t="s">
        <v>44</v>
      </c>
      <c r="I371" t="s">
        <v>971</v>
      </c>
      <c r="J371" s="18"/>
      <c r="K371" s="18"/>
      <c r="L371" s="19"/>
      <c r="M371" s="23" t="s">
        <v>1062</v>
      </c>
      <c r="N371" s="18" t="s">
        <v>1943</v>
      </c>
      <c r="O371" s="18" t="s">
        <v>981</v>
      </c>
      <c r="P371" s="18" t="s">
        <v>982</v>
      </c>
    </row>
    <row r="372" spans="1:16" x14ac:dyDescent="0.2">
      <c r="A372" t="s">
        <v>1061</v>
      </c>
      <c r="B372" s="17" t="s">
        <v>951</v>
      </c>
      <c r="C372" t="s">
        <v>950</v>
      </c>
      <c r="E372" t="s">
        <v>44</v>
      </c>
      <c r="F372" t="s">
        <v>44</v>
      </c>
      <c r="I372" t="s">
        <v>971</v>
      </c>
      <c r="J372" s="18"/>
      <c r="K372" s="18"/>
      <c r="L372" s="19"/>
      <c r="M372" s="23" t="s">
        <v>1061</v>
      </c>
      <c r="N372" s="18" t="s">
        <v>1944</v>
      </c>
      <c r="O372" s="18" t="s">
        <v>981</v>
      </c>
      <c r="P372" s="18" t="s">
        <v>982</v>
      </c>
    </row>
    <row r="373" spans="1:16" x14ac:dyDescent="0.2">
      <c r="A373" t="s">
        <v>1060</v>
      </c>
      <c r="B373" s="17" t="s">
        <v>951</v>
      </c>
      <c r="C373" t="s">
        <v>950</v>
      </c>
      <c r="E373" t="s">
        <v>44</v>
      </c>
      <c r="F373" t="s">
        <v>44</v>
      </c>
      <c r="I373" t="s">
        <v>971</v>
      </c>
      <c r="J373" s="18"/>
      <c r="K373" s="18"/>
      <c r="L373" s="19"/>
      <c r="M373" s="23" t="s">
        <v>1060</v>
      </c>
      <c r="N373" s="18" t="s">
        <v>1944</v>
      </c>
      <c r="O373" s="18" t="s">
        <v>981</v>
      </c>
      <c r="P373" s="18" t="s">
        <v>982</v>
      </c>
    </row>
    <row r="374" spans="1:16" x14ac:dyDescent="0.2">
      <c r="A374" t="s">
        <v>1059</v>
      </c>
      <c r="B374" s="17" t="s">
        <v>951</v>
      </c>
      <c r="C374" t="s">
        <v>950</v>
      </c>
      <c r="E374" t="s">
        <v>44</v>
      </c>
      <c r="F374" t="s">
        <v>44</v>
      </c>
      <c r="I374" t="s">
        <v>971</v>
      </c>
      <c r="J374" s="18" t="s">
        <v>1058</v>
      </c>
      <c r="K374" s="18" t="s">
        <v>981</v>
      </c>
      <c r="L374" s="19" t="s">
        <v>1057</v>
      </c>
      <c r="M374" s="23"/>
      <c r="N374" s="18"/>
      <c r="O374" s="18"/>
      <c r="P374" s="18"/>
    </row>
    <row r="375" spans="1:16" x14ac:dyDescent="0.2">
      <c r="A375" t="s">
        <v>1056</v>
      </c>
      <c r="B375" s="17" t="s">
        <v>951</v>
      </c>
      <c r="C375" t="s">
        <v>950</v>
      </c>
      <c r="E375" t="s">
        <v>44</v>
      </c>
      <c r="F375" t="s">
        <v>44</v>
      </c>
      <c r="I375" t="s">
        <v>971</v>
      </c>
      <c r="J375" s="18"/>
      <c r="K375" s="18"/>
      <c r="L375" s="19"/>
      <c r="M375" s="23" t="s">
        <v>1056</v>
      </c>
      <c r="N375" s="18" t="s">
        <v>1945</v>
      </c>
      <c r="O375" s="18" t="s">
        <v>981</v>
      </c>
      <c r="P375" s="18" t="s">
        <v>982</v>
      </c>
    </row>
    <row r="376" spans="1:16" x14ac:dyDescent="0.2">
      <c r="A376" t="s">
        <v>1055</v>
      </c>
      <c r="B376" s="17" t="s">
        <v>951</v>
      </c>
      <c r="C376" t="s">
        <v>950</v>
      </c>
      <c r="E376" t="s">
        <v>44</v>
      </c>
      <c r="F376" t="s">
        <v>44</v>
      </c>
      <c r="I376" t="s">
        <v>971</v>
      </c>
      <c r="J376" s="18"/>
      <c r="K376" s="18"/>
      <c r="L376" s="19"/>
      <c r="M376" s="23" t="s">
        <v>1055</v>
      </c>
      <c r="N376" s="18" t="s">
        <v>1946</v>
      </c>
      <c r="O376" s="18" t="s">
        <v>981</v>
      </c>
      <c r="P376" s="18" t="s">
        <v>982</v>
      </c>
    </row>
    <row r="377" spans="1:16" x14ac:dyDescent="0.2">
      <c r="A377" t="s">
        <v>1054</v>
      </c>
      <c r="B377" s="17" t="s">
        <v>951</v>
      </c>
      <c r="C377" t="s">
        <v>950</v>
      </c>
      <c r="E377" t="s">
        <v>44</v>
      </c>
      <c r="F377" t="s">
        <v>44</v>
      </c>
      <c r="I377" t="s">
        <v>971</v>
      </c>
      <c r="J377" s="18"/>
      <c r="K377" s="18"/>
      <c r="L377" s="19"/>
      <c r="M377" s="23" t="s">
        <v>1054</v>
      </c>
      <c r="N377" s="18" t="s">
        <v>1947</v>
      </c>
      <c r="O377" s="18" t="s">
        <v>981</v>
      </c>
      <c r="P377" s="18" t="s">
        <v>982</v>
      </c>
    </row>
    <row r="378" spans="1:16" x14ac:dyDescent="0.2">
      <c r="A378" t="s">
        <v>1053</v>
      </c>
      <c r="B378" s="17" t="s">
        <v>951</v>
      </c>
      <c r="C378" t="s">
        <v>950</v>
      </c>
      <c r="E378" t="s">
        <v>44</v>
      </c>
      <c r="F378" t="s">
        <v>44</v>
      </c>
      <c r="I378" t="s">
        <v>971</v>
      </c>
      <c r="J378" s="18" t="s">
        <v>1052</v>
      </c>
      <c r="K378" s="21" t="s">
        <v>1040</v>
      </c>
      <c r="L378" s="19" t="s">
        <v>1051</v>
      </c>
      <c r="M378" s="23"/>
      <c r="N378" s="18"/>
      <c r="O378" s="18"/>
      <c r="P378" s="18"/>
    </row>
    <row r="379" spans="1:16" x14ac:dyDescent="0.2">
      <c r="A379" t="s">
        <v>1050</v>
      </c>
      <c r="B379" s="17" t="s">
        <v>951</v>
      </c>
      <c r="C379" t="s">
        <v>950</v>
      </c>
      <c r="E379" t="s">
        <v>44</v>
      </c>
      <c r="F379" t="s">
        <v>44</v>
      </c>
      <c r="I379" t="s">
        <v>971</v>
      </c>
      <c r="J379" s="18"/>
      <c r="K379" s="21"/>
      <c r="L379" s="19"/>
      <c r="M379" s="23" t="s">
        <v>1050</v>
      </c>
      <c r="N379" s="18" t="s">
        <v>1948</v>
      </c>
      <c r="O379" s="18" t="s">
        <v>981</v>
      </c>
      <c r="P379" s="18" t="s">
        <v>982</v>
      </c>
    </row>
    <row r="380" spans="1:16" x14ac:dyDescent="0.2">
      <c r="A380" t="s">
        <v>1049</v>
      </c>
      <c r="B380" s="17" t="s">
        <v>951</v>
      </c>
      <c r="C380" t="s">
        <v>950</v>
      </c>
      <c r="E380" t="s">
        <v>44</v>
      </c>
      <c r="F380" t="s">
        <v>44</v>
      </c>
      <c r="I380" t="s">
        <v>971</v>
      </c>
      <c r="J380" s="18"/>
      <c r="K380" s="21"/>
      <c r="L380" s="19"/>
      <c r="M380" s="23" t="s">
        <v>1049</v>
      </c>
      <c r="N380" s="18" t="s">
        <v>1181</v>
      </c>
      <c r="O380" s="18" t="s">
        <v>981</v>
      </c>
      <c r="P380" s="18" t="s">
        <v>982</v>
      </c>
    </row>
    <row r="381" spans="1:16" x14ac:dyDescent="0.2">
      <c r="A381" t="s">
        <v>1048</v>
      </c>
      <c r="B381" s="17" t="s">
        <v>951</v>
      </c>
      <c r="C381" t="s">
        <v>950</v>
      </c>
      <c r="E381" t="s">
        <v>44</v>
      </c>
      <c r="F381" t="s">
        <v>44</v>
      </c>
      <c r="I381" t="s">
        <v>971</v>
      </c>
      <c r="J381" s="18" t="s">
        <v>1047</v>
      </c>
      <c r="K381" s="18" t="s">
        <v>981</v>
      </c>
      <c r="L381" s="19" t="s">
        <v>1046</v>
      </c>
      <c r="M381" s="23"/>
      <c r="N381" s="18"/>
      <c r="O381" s="18"/>
      <c r="P381" s="18"/>
    </row>
    <row r="382" spans="1:16" x14ac:dyDescent="0.2">
      <c r="A382" t="s">
        <v>1045</v>
      </c>
      <c r="B382" s="17" t="s">
        <v>951</v>
      </c>
      <c r="C382" t="s">
        <v>950</v>
      </c>
      <c r="E382" t="s">
        <v>44</v>
      </c>
      <c r="F382" t="s">
        <v>44</v>
      </c>
      <c r="I382" t="s">
        <v>971</v>
      </c>
      <c r="J382" s="18"/>
      <c r="K382" s="18"/>
      <c r="L382" s="19"/>
      <c r="M382" s="23" t="s">
        <v>1045</v>
      </c>
      <c r="N382" s="18" t="s">
        <v>1949</v>
      </c>
      <c r="O382" s="18" t="s">
        <v>981</v>
      </c>
      <c r="P382" s="18" t="s">
        <v>982</v>
      </c>
    </row>
    <row r="383" spans="1:16" x14ac:dyDescent="0.2">
      <c r="A383" t="s">
        <v>1044</v>
      </c>
      <c r="B383" s="17" t="s">
        <v>951</v>
      </c>
      <c r="C383" t="s">
        <v>950</v>
      </c>
      <c r="E383" t="s">
        <v>44</v>
      </c>
      <c r="F383" t="s">
        <v>44</v>
      </c>
      <c r="I383" t="s">
        <v>971</v>
      </c>
      <c r="J383" s="18"/>
      <c r="K383" s="18"/>
      <c r="L383" s="19"/>
      <c r="M383" s="23" t="s">
        <v>1044</v>
      </c>
      <c r="N383" s="18" t="s">
        <v>1610</v>
      </c>
      <c r="O383" s="18" t="s">
        <v>981</v>
      </c>
      <c r="P383" s="18" t="s">
        <v>982</v>
      </c>
    </row>
    <row r="384" spans="1:16" x14ac:dyDescent="0.2">
      <c r="A384" t="s">
        <v>1043</v>
      </c>
      <c r="B384" s="17" t="s">
        <v>951</v>
      </c>
      <c r="C384" t="s">
        <v>950</v>
      </c>
      <c r="E384" t="s">
        <v>44</v>
      </c>
      <c r="F384" t="s">
        <v>44</v>
      </c>
      <c r="I384" t="s">
        <v>971</v>
      </c>
      <c r="J384" s="18" t="s">
        <v>1042</v>
      </c>
      <c r="K384" s="21" t="s">
        <v>1040</v>
      </c>
      <c r="L384" s="19" t="s">
        <v>1041</v>
      </c>
      <c r="M384" s="23"/>
      <c r="N384" s="18"/>
      <c r="O384" s="18"/>
      <c r="P384" s="18"/>
    </row>
    <row r="385" spans="1:16" x14ac:dyDescent="0.2">
      <c r="A385" t="s">
        <v>1039</v>
      </c>
      <c r="B385" s="17" t="s">
        <v>951</v>
      </c>
      <c r="C385" t="s">
        <v>950</v>
      </c>
      <c r="E385" t="s">
        <v>44</v>
      </c>
      <c r="F385" t="s">
        <v>44</v>
      </c>
      <c r="I385" t="s">
        <v>971</v>
      </c>
      <c r="J385" s="18" t="s">
        <v>1038</v>
      </c>
      <c r="K385" s="18" t="s">
        <v>981</v>
      </c>
      <c r="L385" s="19" t="s">
        <v>1037</v>
      </c>
      <c r="M385" s="23"/>
      <c r="N385" s="18"/>
      <c r="O385" s="18"/>
      <c r="P385" s="18"/>
    </row>
    <row r="386" spans="1:16" x14ac:dyDescent="0.2">
      <c r="A386" t="s">
        <v>1036</v>
      </c>
      <c r="B386" s="17" t="s">
        <v>951</v>
      </c>
      <c r="C386" t="s">
        <v>950</v>
      </c>
      <c r="E386" t="s">
        <v>44</v>
      </c>
      <c r="F386" t="s">
        <v>44</v>
      </c>
      <c r="I386" t="s">
        <v>971</v>
      </c>
      <c r="J386" s="18" t="s">
        <v>1035</v>
      </c>
      <c r="K386" s="18" t="s">
        <v>981</v>
      </c>
      <c r="L386" s="19" t="s">
        <v>1034</v>
      </c>
      <c r="M386" s="23"/>
      <c r="N386" s="18"/>
      <c r="O386" s="18"/>
      <c r="P386" s="18"/>
    </row>
    <row r="387" spans="1:16" x14ac:dyDescent="0.2">
      <c r="A387" t="s">
        <v>1033</v>
      </c>
      <c r="B387" s="17" t="s">
        <v>951</v>
      </c>
      <c r="C387" t="s">
        <v>950</v>
      </c>
      <c r="E387" t="s">
        <v>44</v>
      </c>
      <c r="F387" t="s">
        <v>44</v>
      </c>
      <c r="I387" t="s">
        <v>971</v>
      </c>
      <c r="J387" s="18" t="s">
        <v>1032</v>
      </c>
      <c r="K387" s="18" t="s">
        <v>981</v>
      </c>
      <c r="L387" s="19" t="s">
        <v>1031</v>
      </c>
      <c r="M387" s="23"/>
      <c r="N387" s="18"/>
      <c r="O387" s="18"/>
      <c r="P387" s="18"/>
    </row>
    <row r="388" spans="1:16" x14ac:dyDescent="0.2">
      <c r="A388" t="s">
        <v>1030</v>
      </c>
      <c r="B388" s="17" t="s">
        <v>951</v>
      </c>
      <c r="C388" t="s">
        <v>950</v>
      </c>
      <c r="E388" t="s">
        <v>44</v>
      </c>
      <c r="F388" t="s">
        <v>44</v>
      </c>
      <c r="I388" t="s">
        <v>971</v>
      </c>
      <c r="J388" s="18"/>
      <c r="K388" s="18"/>
      <c r="L388" s="19"/>
      <c r="M388" s="23" t="s">
        <v>1030</v>
      </c>
      <c r="N388" s="18" t="s">
        <v>1156</v>
      </c>
      <c r="O388" s="18" t="s">
        <v>981</v>
      </c>
      <c r="P388" s="18" t="s">
        <v>982</v>
      </c>
    </row>
    <row r="389" spans="1:16" x14ac:dyDescent="0.2">
      <c r="A389" t="s">
        <v>1029</v>
      </c>
      <c r="B389" s="17" t="s">
        <v>951</v>
      </c>
      <c r="C389" t="s">
        <v>950</v>
      </c>
      <c r="E389" t="s">
        <v>44</v>
      </c>
      <c r="F389" t="s">
        <v>44</v>
      </c>
      <c r="I389" t="s">
        <v>971</v>
      </c>
      <c r="J389" s="18" t="s">
        <v>1028</v>
      </c>
      <c r="K389" s="18" t="s">
        <v>981</v>
      </c>
      <c r="L389" s="19" t="s">
        <v>1027</v>
      </c>
      <c r="M389" s="23"/>
      <c r="N389" s="18"/>
      <c r="O389" s="18"/>
      <c r="P389" s="18"/>
    </row>
    <row r="390" spans="1:16" x14ac:dyDescent="0.2">
      <c r="A390" t="s">
        <v>1026</v>
      </c>
      <c r="B390" s="17" t="s">
        <v>951</v>
      </c>
      <c r="C390" t="s">
        <v>950</v>
      </c>
      <c r="E390" t="s">
        <v>44</v>
      </c>
      <c r="F390" t="s">
        <v>44</v>
      </c>
      <c r="I390" t="s">
        <v>971</v>
      </c>
      <c r="J390" s="18"/>
      <c r="K390" s="18"/>
      <c r="L390" s="19"/>
      <c r="M390" s="23" t="s">
        <v>1026</v>
      </c>
      <c r="N390" s="18" t="s">
        <v>1950</v>
      </c>
      <c r="O390" s="18" t="s">
        <v>981</v>
      </c>
      <c r="P390" s="18" t="s">
        <v>982</v>
      </c>
    </row>
    <row r="391" spans="1:16" x14ac:dyDescent="0.2">
      <c r="A391" t="s">
        <v>1025</v>
      </c>
      <c r="B391" s="17" t="s">
        <v>951</v>
      </c>
      <c r="C391" t="s">
        <v>950</v>
      </c>
      <c r="E391" t="s">
        <v>44</v>
      </c>
      <c r="F391" t="s">
        <v>44</v>
      </c>
      <c r="I391" t="s">
        <v>971</v>
      </c>
      <c r="J391" s="18" t="s">
        <v>1024</v>
      </c>
      <c r="K391" s="18" t="s">
        <v>981</v>
      </c>
      <c r="L391" s="19" t="s">
        <v>1023</v>
      </c>
      <c r="M391" s="23"/>
      <c r="N391" s="18"/>
      <c r="O391" s="18"/>
      <c r="P391" s="18"/>
    </row>
    <row r="392" spans="1:16" x14ac:dyDescent="0.2">
      <c r="A392" t="s">
        <v>1022</v>
      </c>
      <c r="B392" s="17" t="s">
        <v>951</v>
      </c>
      <c r="C392" t="s">
        <v>950</v>
      </c>
      <c r="E392" t="s">
        <v>44</v>
      </c>
      <c r="F392" t="s">
        <v>44</v>
      </c>
      <c r="I392" t="s">
        <v>971</v>
      </c>
      <c r="J392" s="18" t="s">
        <v>1021</v>
      </c>
      <c r="K392" s="18" t="s">
        <v>981</v>
      </c>
      <c r="L392" s="19" t="s">
        <v>1020</v>
      </c>
      <c r="M392" s="23"/>
      <c r="N392" s="18"/>
      <c r="O392" s="18"/>
      <c r="P392" s="18"/>
    </row>
    <row r="393" spans="1:16" x14ac:dyDescent="0.2">
      <c r="A393" t="s">
        <v>1019</v>
      </c>
      <c r="B393" s="17" t="s">
        <v>951</v>
      </c>
      <c r="C393" t="s">
        <v>950</v>
      </c>
      <c r="E393" t="s">
        <v>44</v>
      </c>
      <c r="F393" t="s">
        <v>44</v>
      </c>
      <c r="I393" t="s">
        <v>971</v>
      </c>
      <c r="J393" s="18"/>
      <c r="K393" s="18"/>
      <c r="L393" s="19"/>
      <c r="M393" s="23" t="s">
        <v>1019</v>
      </c>
      <c r="N393" s="18" t="s">
        <v>1951</v>
      </c>
      <c r="O393" s="18" t="s">
        <v>981</v>
      </c>
      <c r="P393" s="18" t="s">
        <v>982</v>
      </c>
    </row>
    <row r="394" spans="1:16" x14ac:dyDescent="0.2">
      <c r="A394" t="s">
        <v>1018</v>
      </c>
      <c r="B394" s="17" t="s">
        <v>951</v>
      </c>
      <c r="C394" t="s">
        <v>950</v>
      </c>
      <c r="E394" t="s">
        <v>44</v>
      </c>
      <c r="F394" t="s">
        <v>44</v>
      </c>
      <c r="I394" t="s">
        <v>971</v>
      </c>
      <c r="J394" s="18" t="s">
        <v>1017</v>
      </c>
      <c r="K394" s="18" t="s">
        <v>981</v>
      </c>
      <c r="L394" s="19" t="s">
        <v>1016</v>
      </c>
      <c r="M394" s="23"/>
      <c r="N394" s="18"/>
      <c r="O394" s="18"/>
      <c r="P394" s="18"/>
    </row>
    <row r="395" spans="1:16" x14ac:dyDescent="0.2">
      <c r="A395" t="s">
        <v>1015</v>
      </c>
      <c r="B395" s="17" t="s">
        <v>951</v>
      </c>
      <c r="C395" t="s">
        <v>950</v>
      </c>
      <c r="E395" t="s">
        <v>44</v>
      </c>
      <c r="F395" t="s">
        <v>44</v>
      </c>
      <c r="I395" t="s">
        <v>971</v>
      </c>
      <c r="J395" s="18" t="s">
        <v>1014</v>
      </c>
      <c r="K395" s="18" t="s">
        <v>981</v>
      </c>
      <c r="L395" s="19" t="s">
        <v>1013</v>
      </c>
      <c r="M395" s="23"/>
      <c r="N395" s="18"/>
      <c r="O395" s="18"/>
      <c r="P395" s="18"/>
    </row>
    <row r="396" spans="1:16" x14ac:dyDescent="0.2">
      <c r="A396" t="s">
        <v>1012</v>
      </c>
      <c r="B396" s="17" t="s">
        <v>951</v>
      </c>
      <c r="C396" t="s">
        <v>950</v>
      </c>
      <c r="E396" t="s">
        <v>44</v>
      </c>
      <c r="F396" t="s">
        <v>44</v>
      </c>
      <c r="I396" t="s">
        <v>971</v>
      </c>
      <c r="J396" s="18" t="s">
        <v>1011</v>
      </c>
      <c r="K396" s="18" t="s">
        <v>981</v>
      </c>
      <c r="L396" s="19" t="s">
        <v>1010</v>
      </c>
      <c r="M396" s="23"/>
      <c r="N396" s="18"/>
      <c r="O396" s="18"/>
      <c r="P396" s="18"/>
    </row>
    <row r="397" spans="1:16" x14ac:dyDescent="0.2">
      <c r="A397" t="s">
        <v>1009</v>
      </c>
      <c r="B397" s="17" t="s">
        <v>951</v>
      </c>
      <c r="C397" t="s">
        <v>950</v>
      </c>
      <c r="E397" t="s">
        <v>44</v>
      </c>
      <c r="F397" t="s">
        <v>44</v>
      </c>
      <c r="I397" t="s">
        <v>971</v>
      </c>
      <c r="J397" s="18"/>
      <c r="K397" s="18"/>
      <c r="L397" s="19"/>
      <c r="M397" s="23" t="s">
        <v>1009</v>
      </c>
      <c r="N397" s="18" t="s">
        <v>1952</v>
      </c>
      <c r="O397" s="18" t="s">
        <v>981</v>
      </c>
      <c r="P397" s="18" t="s">
        <v>982</v>
      </c>
    </row>
    <row r="398" spans="1:16" x14ac:dyDescent="0.2">
      <c r="A398" t="s">
        <v>1008</v>
      </c>
      <c r="B398" s="17" t="s">
        <v>951</v>
      </c>
      <c r="C398" t="s">
        <v>950</v>
      </c>
      <c r="E398" t="s">
        <v>44</v>
      </c>
      <c r="F398" t="s">
        <v>44</v>
      </c>
      <c r="I398" t="s">
        <v>971</v>
      </c>
      <c r="J398" s="18"/>
      <c r="K398" s="18"/>
      <c r="L398" s="19"/>
      <c r="M398" s="23" t="s">
        <v>1008</v>
      </c>
      <c r="N398" s="18" t="s">
        <v>1953</v>
      </c>
      <c r="O398" s="18" t="s">
        <v>981</v>
      </c>
      <c r="P398" s="18" t="s">
        <v>982</v>
      </c>
    </row>
    <row r="399" spans="1:16" x14ac:dyDescent="0.2">
      <c r="A399" t="s">
        <v>1007</v>
      </c>
      <c r="B399" s="17" t="s">
        <v>951</v>
      </c>
      <c r="C399" t="s">
        <v>950</v>
      </c>
      <c r="E399" t="s">
        <v>44</v>
      </c>
      <c r="F399" t="s">
        <v>44</v>
      </c>
      <c r="I399" t="s">
        <v>971</v>
      </c>
      <c r="J399" s="18" t="s">
        <v>1006</v>
      </c>
      <c r="K399" s="18" t="s">
        <v>981</v>
      </c>
      <c r="L399" s="19" t="s">
        <v>1005</v>
      </c>
      <c r="M399" s="23"/>
      <c r="N399" s="18"/>
      <c r="O399" s="18"/>
      <c r="P399" s="18"/>
    </row>
    <row r="400" spans="1:16" x14ac:dyDescent="0.2">
      <c r="A400" t="s">
        <v>1004</v>
      </c>
      <c r="B400" s="17" t="s">
        <v>951</v>
      </c>
      <c r="C400" t="s">
        <v>950</v>
      </c>
      <c r="E400" t="s">
        <v>44</v>
      </c>
      <c r="F400" t="s">
        <v>44</v>
      </c>
      <c r="I400" t="s">
        <v>971</v>
      </c>
      <c r="J400" s="18"/>
      <c r="K400" s="18"/>
      <c r="L400" s="19"/>
      <c r="M400" s="23" t="s">
        <v>1004</v>
      </c>
      <c r="N400" s="18" t="s">
        <v>1260</v>
      </c>
      <c r="O400" s="18" t="s">
        <v>981</v>
      </c>
      <c r="P400" s="18" t="s">
        <v>982</v>
      </c>
    </row>
    <row r="401" spans="1:16" x14ac:dyDescent="0.2">
      <c r="A401" t="s">
        <v>1003</v>
      </c>
      <c r="B401" s="17" t="s">
        <v>951</v>
      </c>
      <c r="C401" t="s">
        <v>950</v>
      </c>
      <c r="E401" t="s">
        <v>44</v>
      </c>
      <c r="F401" t="s">
        <v>44</v>
      </c>
      <c r="I401" t="s">
        <v>971</v>
      </c>
      <c r="J401" s="18"/>
      <c r="K401" s="18"/>
      <c r="L401" s="19"/>
      <c r="M401" s="23" t="s">
        <v>1003</v>
      </c>
      <c r="N401" s="18" t="s">
        <v>1954</v>
      </c>
      <c r="O401" s="18" t="s">
        <v>981</v>
      </c>
      <c r="P401" s="18" t="s">
        <v>982</v>
      </c>
    </row>
    <row r="402" spans="1:16" x14ac:dyDescent="0.2">
      <c r="A402" t="s">
        <v>1002</v>
      </c>
      <c r="B402" s="17" t="s">
        <v>951</v>
      </c>
      <c r="C402" t="s">
        <v>950</v>
      </c>
      <c r="E402" t="s">
        <v>44</v>
      </c>
      <c r="F402" t="s">
        <v>44</v>
      </c>
      <c r="I402" t="s">
        <v>971</v>
      </c>
      <c r="J402" s="18"/>
      <c r="K402" s="18"/>
      <c r="L402" s="19"/>
      <c r="M402" s="23" t="s">
        <v>1002</v>
      </c>
      <c r="N402" s="18" t="s">
        <v>1955</v>
      </c>
      <c r="O402" s="18" t="s">
        <v>981</v>
      </c>
      <c r="P402" s="18" t="s">
        <v>982</v>
      </c>
    </row>
    <row r="403" spans="1:16" x14ac:dyDescent="0.2">
      <c r="A403" t="s">
        <v>1001</v>
      </c>
      <c r="B403" s="17" t="s">
        <v>951</v>
      </c>
      <c r="C403" t="s">
        <v>950</v>
      </c>
      <c r="E403" t="s">
        <v>44</v>
      </c>
      <c r="F403" t="s">
        <v>44</v>
      </c>
      <c r="I403" t="s">
        <v>971</v>
      </c>
      <c r="J403" s="18" t="s">
        <v>1000</v>
      </c>
      <c r="K403" s="18" t="s">
        <v>981</v>
      </c>
      <c r="L403" s="19" t="s">
        <v>999</v>
      </c>
      <c r="M403" s="23"/>
      <c r="N403" s="18"/>
      <c r="O403" s="18"/>
      <c r="P403" s="18"/>
    </row>
    <row r="404" spans="1:16" x14ac:dyDescent="0.2">
      <c r="A404" t="s">
        <v>998</v>
      </c>
      <c r="B404" s="17" t="s">
        <v>951</v>
      </c>
      <c r="C404" t="s">
        <v>950</v>
      </c>
      <c r="E404" t="s">
        <v>44</v>
      </c>
      <c r="F404" t="s">
        <v>44</v>
      </c>
      <c r="I404" t="s">
        <v>971</v>
      </c>
      <c r="J404" s="18"/>
      <c r="K404" s="18"/>
      <c r="L404" s="19"/>
      <c r="M404" s="23" t="s">
        <v>998</v>
      </c>
      <c r="N404" s="18" t="s">
        <v>985</v>
      </c>
      <c r="O404" s="18" t="s">
        <v>981</v>
      </c>
      <c r="P404" s="18" t="s">
        <v>982</v>
      </c>
    </row>
    <row r="405" spans="1:16" x14ac:dyDescent="0.2">
      <c r="A405" t="s">
        <v>997</v>
      </c>
      <c r="B405" s="17" t="s">
        <v>951</v>
      </c>
      <c r="C405" t="s">
        <v>950</v>
      </c>
      <c r="E405" t="s">
        <v>44</v>
      </c>
      <c r="F405" t="s">
        <v>44</v>
      </c>
      <c r="I405" t="s">
        <v>971</v>
      </c>
      <c r="J405" s="18"/>
      <c r="K405" s="18"/>
      <c r="L405" s="19"/>
      <c r="M405" s="23" t="s">
        <v>997</v>
      </c>
      <c r="N405" s="18" t="s">
        <v>1952</v>
      </c>
      <c r="O405" s="18" t="s">
        <v>981</v>
      </c>
      <c r="P405" s="18" t="s">
        <v>982</v>
      </c>
    </row>
    <row r="406" spans="1:16" x14ac:dyDescent="0.2">
      <c r="A406" t="s">
        <v>996</v>
      </c>
      <c r="B406" s="17" t="s">
        <v>951</v>
      </c>
      <c r="C406" t="s">
        <v>950</v>
      </c>
      <c r="E406" t="s">
        <v>44</v>
      </c>
      <c r="F406" t="s">
        <v>44</v>
      </c>
      <c r="I406" t="s">
        <v>971</v>
      </c>
      <c r="J406" s="18"/>
      <c r="K406" s="18"/>
      <c r="L406" s="19"/>
      <c r="M406" s="23" t="s">
        <v>996</v>
      </c>
      <c r="N406" s="18" t="s">
        <v>1956</v>
      </c>
      <c r="O406" s="18" t="s">
        <v>981</v>
      </c>
      <c r="P406" s="18" t="s">
        <v>982</v>
      </c>
    </row>
    <row r="407" spans="1:16" x14ac:dyDescent="0.2">
      <c r="A407" t="s">
        <v>995</v>
      </c>
      <c r="B407" s="17" t="s">
        <v>951</v>
      </c>
      <c r="C407" t="s">
        <v>950</v>
      </c>
      <c r="E407" t="s">
        <v>44</v>
      </c>
      <c r="F407" t="s">
        <v>44</v>
      </c>
      <c r="I407" t="s">
        <v>971</v>
      </c>
      <c r="J407" s="18" t="s">
        <v>994</v>
      </c>
      <c r="K407" s="18" t="s">
        <v>981</v>
      </c>
      <c r="L407" s="19" t="s">
        <v>993</v>
      </c>
      <c r="M407" s="23"/>
      <c r="N407" s="18"/>
      <c r="O407" s="18"/>
      <c r="P407" s="18"/>
    </row>
    <row r="408" spans="1:16" x14ac:dyDescent="0.2">
      <c r="A408" t="s">
        <v>992</v>
      </c>
      <c r="B408" s="17" t="s">
        <v>951</v>
      </c>
      <c r="C408" t="s">
        <v>950</v>
      </c>
      <c r="E408" t="s">
        <v>44</v>
      </c>
      <c r="F408" t="s">
        <v>44</v>
      </c>
      <c r="I408" t="s">
        <v>971</v>
      </c>
      <c r="J408" s="18"/>
      <c r="K408" s="18"/>
      <c r="L408" s="19"/>
      <c r="M408" s="23" t="s">
        <v>992</v>
      </c>
      <c r="N408" s="18" t="s">
        <v>1957</v>
      </c>
      <c r="O408" s="18" t="s">
        <v>981</v>
      </c>
      <c r="P408" s="18" t="s">
        <v>982</v>
      </c>
    </row>
    <row r="409" spans="1:16" x14ac:dyDescent="0.2">
      <c r="A409" t="s">
        <v>991</v>
      </c>
      <c r="B409" s="17" t="s">
        <v>951</v>
      </c>
      <c r="C409" t="s">
        <v>950</v>
      </c>
      <c r="E409" t="s">
        <v>44</v>
      </c>
      <c r="F409" t="s">
        <v>44</v>
      </c>
      <c r="I409" t="s">
        <v>971</v>
      </c>
      <c r="J409" s="18" t="s">
        <v>990</v>
      </c>
      <c r="K409" s="18" t="s">
        <v>981</v>
      </c>
      <c r="L409" s="19" t="s">
        <v>989</v>
      </c>
      <c r="M409" s="23"/>
      <c r="N409" s="18"/>
      <c r="O409" s="18"/>
      <c r="P409" s="18"/>
    </row>
    <row r="410" spans="1:16" x14ac:dyDescent="0.2">
      <c r="A410" t="s">
        <v>988</v>
      </c>
      <c r="B410" s="17" t="s">
        <v>951</v>
      </c>
      <c r="C410" t="s">
        <v>950</v>
      </c>
      <c r="E410" t="s">
        <v>44</v>
      </c>
      <c r="F410" t="s">
        <v>44</v>
      </c>
      <c r="I410" t="s">
        <v>971</v>
      </c>
      <c r="L410" s="16"/>
      <c r="M410" s="23" t="s">
        <v>988</v>
      </c>
      <c r="N410" s="18" t="s">
        <v>1958</v>
      </c>
      <c r="O410" s="18" t="s">
        <v>981</v>
      </c>
      <c r="P410" s="18" t="s">
        <v>982</v>
      </c>
    </row>
    <row r="411" spans="1:16" x14ac:dyDescent="0.2">
      <c r="A411" t="s">
        <v>987</v>
      </c>
      <c r="B411" s="17" t="s">
        <v>951</v>
      </c>
      <c r="C411" t="s">
        <v>950</v>
      </c>
      <c r="E411" t="s">
        <v>44</v>
      </c>
      <c r="F411" t="s">
        <v>44</v>
      </c>
      <c r="I411" t="s">
        <v>971</v>
      </c>
      <c r="J411" s="18" t="s">
        <v>986</v>
      </c>
      <c r="K411" s="18" t="s">
        <v>981</v>
      </c>
      <c r="L411" s="19" t="s">
        <v>985</v>
      </c>
      <c r="M411" s="23"/>
      <c r="N411" s="18"/>
      <c r="O411" s="18"/>
      <c r="P411" s="18"/>
    </row>
    <row r="412" spans="1:16" x14ac:dyDescent="0.2">
      <c r="A412" t="s">
        <v>984</v>
      </c>
      <c r="B412" s="17" t="s">
        <v>951</v>
      </c>
      <c r="C412" t="s">
        <v>950</v>
      </c>
      <c r="E412" t="s">
        <v>44</v>
      </c>
      <c r="F412" t="s">
        <v>44</v>
      </c>
      <c r="I412" t="s">
        <v>971</v>
      </c>
      <c r="J412" s="20" t="s">
        <v>983</v>
      </c>
      <c r="K412" s="18" t="s">
        <v>981</v>
      </c>
      <c r="L412" s="19">
        <v>7.0000000000000007E-2</v>
      </c>
      <c r="M412" s="23"/>
      <c r="N412" s="18"/>
      <c r="O412" s="18"/>
      <c r="P412" s="18"/>
    </row>
    <row r="413" spans="1:16" x14ac:dyDescent="0.2">
      <c r="A413" t="s">
        <v>980</v>
      </c>
      <c r="B413" s="17" t="s">
        <v>951</v>
      </c>
      <c r="C413" t="s">
        <v>950</v>
      </c>
      <c r="E413" t="s">
        <v>44</v>
      </c>
      <c r="F413" t="s">
        <v>44</v>
      </c>
      <c r="I413" t="s">
        <v>971</v>
      </c>
      <c r="L413" s="16"/>
      <c r="M413" s="23" t="s">
        <v>980</v>
      </c>
      <c r="N413" s="18" t="s">
        <v>1959</v>
      </c>
      <c r="O413" s="18" t="s">
        <v>981</v>
      </c>
      <c r="P413" s="18" t="s">
        <v>982</v>
      </c>
    </row>
    <row r="414" spans="1:16" x14ac:dyDescent="0.2">
      <c r="A414" t="s">
        <v>979</v>
      </c>
      <c r="B414" s="17" t="s">
        <v>951</v>
      </c>
      <c r="C414" t="s">
        <v>950</v>
      </c>
      <c r="E414" t="s">
        <v>44</v>
      </c>
      <c r="F414" t="s">
        <v>44</v>
      </c>
      <c r="I414" t="s">
        <v>971</v>
      </c>
      <c r="L414" s="16"/>
      <c r="M414" s="23" t="s">
        <v>979</v>
      </c>
      <c r="N414" s="18" t="s">
        <v>1960</v>
      </c>
      <c r="O414" s="18" t="s">
        <v>981</v>
      </c>
      <c r="P414" s="18" t="s">
        <v>982</v>
      </c>
    </row>
    <row r="415" spans="1:16" x14ac:dyDescent="0.2">
      <c r="A415" t="s">
        <v>978</v>
      </c>
      <c r="B415" s="17" t="s">
        <v>951</v>
      </c>
      <c r="C415" t="s">
        <v>950</v>
      </c>
      <c r="E415" t="s">
        <v>44</v>
      </c>
      <c r="F415" t="s">
        <v>44</v>
      </c>
      <c r="I415" t="s">
        <v>971</v>
      </c>
      <c r="L415" s="16"/>
      <c r="M415" s="23" t="s">
        <v>978</v>
      </c>
      <c r="N415" s="18" t="s">
        <v>1638</v>
      </c>
      <c r="O415" s="18" t="s">
        <v>981</v>
      </c>
      <c r="P415" s="18" t="s">
        <v>982</v>
      </c>
    </row>
    <row r="416" spans="1:16" x14ac:dyDescent="0.2">
      <c r="A416" t="s">
        <v>977</v>
      </c>
      <c r="B416" s="17" t="s">
        <v>951</v>
      </c>
      <c r="C416" t="s">
        <v>950</v>
      </c>
      <c r="E416" t="s">
        <v>44</v>
      </c>
      <c r="F416" t="s">
        <v>44</v>
      </c>
      <c r="I416" t="s">
        <v>971</v>
      </c>
      <c r="L416" s="16"/>
      <c r="M416" s="23" t="s">
        <v>977</v>
      </c>
      <c r="N416" s="18" t="s">
        <v>1147</v>
      </c>
      <c r="O416" s="18" t="s">
        <v>981</v>
      </c>
      <c r="P416" s="18" t="s">
        <v>982</v>
      </c>
    </row>
    <row r="417" spans="1:16" x14ac:dyDescent="0.2">
      <c r="A417" t="s">
        <v>976</v>
      </c>
      <c r="B417" s="17" t="s">
        <v>951</v>
      </c>
      <c r="C417" t="s">
        <v>950</v>
      </c>
      <c r="E417" t="s">
        <v>44</v>
      </c>
      <c r="F417" t="s">
        <v>44</v>
      </c>
      <c r="I417" t="s">
        <v>971</v>
      </c>
      <c r="L417" s="16"/>
      <c r="M417" s="23" t="s">
        <v>976</v>
      </c>
      <c r="N417" s="18" t="s">
        <v>1856</v>
      </c>
      <c r="O417" s="18" t="s">
        <v>981</v>
      </c>
      <c r="P417" s="18" t="s">
        <v>982</v>
      </c>
    </row>
    <row r="418" spans="1:16" x14ac:dyDescent="0.2">
      <c r="A418" t="s">
        <v>975</v>
      </c>
      <c r="B418" s="17" t="s">
        <v>951</v>
      </c>
      <c r="C418" t="s">
        <v>950</v>
      </c>
      <c r="E418" t="s">
        <v>44</v>
      </c>
      <c r="F418" t="s">
        <v>44</v>
      </c>
      <c r="I418" t="s">
        <v>971</v>
      </c>
      <c r="L418" s="16"/>
      <c r="M418" s="23" t="s">
        <v>975</v>
      </c>
      <c r="N418" s="18" t="s">
        <v>1961</v>
      </c>
      <c r="O418" s="18" t="s">
        <v>981</v>
      </c>
      <c r="P418" s="18" t="s">
        <v>982</v>
      </c>
    </row>
    <row r="419" spans="1:16" x14ac:dyDescent="0.2">
      <c r="A419" t="s">
        <v>974</v>
      </c>
      <c r="B419" s="17" t="s">
        <v>951</v>
      </c>
      <c r="C419" t="s">
        <v>950</v>
      </c>
      <c r="E419" t="s">
        <v>44</v>
      </c>
      <c r="F419" t="s">
        <v>44</v>
      </c>
      <c r="I419" t="s">
        <v>971</v>
      </c>
      <c r="L419" s="16"/>
      <c r="M419" s="23" t="s">
        <v>974</v>
      </c>
      <c r="N419" s="18" t="s">
        <v>1728</v>
      </c>
      <c r="O419" s="18" t="s">
        <v>981</v>
      </c>
      <c r="P419" s="18" t="s">
        <v>982</v>
      </c>
    </row>
    <row r="420" spans="1:16" x14ac:dyDescent="0.2">
      <c r="A420" t="s">
        <v>973</v>
      </c>
      <c r="B420" s="17" t="s">
        <v>951</v>
      </c>
      <c r="C420" t="s">
        <v>950</v>
      </c>
      <c r="E420" t="s">
        <v>44</v>
      </c>
      <c r="F420" t="s">
        <v>44</v>
      </c>
      <c r="I420" t="s">
        <v>971</v>
      </c>
      <c r="L420" s="16"/>
      <c r="M420" s="23" t="s">
        <v>973</v>
      </c>
      <c r="N420" s="18" t="s">
        <v>1962</v>
      </c>
      <c r="O420" s="18" t="s">
        <v>981</v>
      </c>
      <c r="P420" s="18" t="s">
        <v>982</v>
      </c>
    </row>
    <row r="421" spans="1:16" x14ac:dyDescent="0.2">
      <c r="A421" t="s">
        <v>972</v>
      </c>
      <c r="B421" s="17" t="s">
        <v>951</v>
      </c>
      <c r="C421" t="s">
        <v>950</v>
      </c>
      <c r="E421" t="s">
        <v>44</v>
      </c>
      <c r="F421" t="s">
        <v>44</v>
      </c>
      <c r="I421" t="s">
        <v>971</v>
      </c>
      <c r="L421" s="16"/>
      <c r="M421" s="23" t="s">
        <v>972</v>
      </c>
      <c r="N421" s="18" t="s">
        <v>1963</v>
      </c>
      <c r="O421" s="18" t="s">
        <v>981</v>
      </c>
      <c r="P421" s="18" t="s">
        <v>982</v>
      </c>
    </row>
    <row r="422" spans="1:16" x14ac:dyDescent="0.2">
      <c r="A422" t="s">
        <v>970</v>
      </c>
      <c r="B422" s="17" t="s">
        <v>951</v>
      </c>
      <c r="C422" t="s">
        <v>950</v>
      </c>
      <c r="E422" t="s">
        <v>44</v>
      </c>
      <c r="F422" t="s">
        <v>44</v>
      </c>
      <c r="I422" t="s">
        <v>956</v>
      </c>
      <c r="L422" s="16"/>
      <c r="M422" s="23" t="s">
        <v>970</v>
      </c>
      <c r="N422" s="18" t="s">
        <v>1964</v>
      </c>
      <c r="O422" s="18" t="s">
        <v>981</v>
      </c>
      <c r="P422" s="18" t="s">
        <v>1965</v>
      </c>
    </row>
    <row r="423" spans="1:16" x14ac:dyDescent="0.2">
      <c r="A423" t="s">
        <v>969</v>
      </c>
      <c r="B423" s="17" t="s">
        <v>951</v>
      </c>
      <c r="C423" t="s">
        <v>950</v>
      </c>
      <c r="E423" t="s">
        <v>44</v>
      </c>
      <c r="F423" t="s">
        <v>44</v>
      </c>
      <c r="I423" t="s">
        <v>956</v>
      </c>
      <c r="L423" s="16"/>
      <c r="M423" s="23" t="s">
        <v>969</v>
      </c>
      <c r="N423" s="18" t="s">
        <v>1966</v>
      </c>
      <c r="O423" s="18" t="s">
        <v>981</v>
      </c>
      <c r="P423" s="18" t="s">
        <v>1965</v>
      </c>
    </row>
    <row r="424" spans="1:16" x14ac:dyDescent="0.2">
      <c r="A424" t="s">
        <v>968</v>
      </c>
      <c r="B424" s="17" t="s">
        <v>951</v>
      </c>
      <c r="C424" t="s">
        <v>950</v>
      </c>
      <c r="E424" t="s">
        <v>44</v>
      </c>
      <c r="F424" t="s">
        <v>44</v>
      </c>
      <c r="I424" t="s">
        <v>956</v>
      </c>
      <c r="L424" s="16"/>
      <c r="M424" s="23" t="s">
        <v>968</v>
      </c>
      <c r="N424" s="18" t="s">
        <v>1967</v>
      </c>
      <c r="O424" s="18" t="s">
        <v>981</v>
      </c>
      <c r="P424" s="18" t="s">
        <v>1965</v>
      </c>
    </row>
    <row r="425" spans="1:16" x14ac:dyDescent="0.2">
      <c r="A425" t="s">
        <v>967</v>
      </c>
      <c r="B425" s="17" t="s">
        <v>951</v>
      </c>
      <c r="C425" t="s">
        <v>950</v>
      </c>
      <c r="E425" t="s">
        <v>44</v>
      </c>
      <c r="F425" t="s">
        <v>44</v>
      </c>
      <c r="I425" t="s">
        <v>956</v>
      </c>
      <c r="L425" s="16"/>
      <c r="M425" s="23" t="s">
        <v>967</v>
      </c>
      <c r="N425" s="18" t="s">
        <v>1968</v>
      </c>
      <c r="O425" s="18" t="s">
        <v>981</v>
      </c>
      <c r="P425" s="18" t="s">
        <v>1965</v>
      </c>
    </row>
    <row r="426" spans="1:16" x14ac:dyDescent="0.2">
      <c r="A426" t="s">
        <v>966</v>
      </c>
      <c r="B426" s="17" t="s">
        <v>951</v>
      </c>
      <c r="C426" t="s">
        <v>950</v>
      </c>
      <c r="E426" t="s">
        <v>44</v>
      </c>
      <c r="F426" t="s">
        <v>44</v>
      </c>
      <c r="I426" t="s">
        <v>956</v>
      </c>
      <c r="L426" s="16"/>
      <c r="M426" s="23" t="s">
        <v>966</v>
      </c>
      <c r="N426" s="18" t="s">
        <v>1969</v>
      </c>
      <c r="O426" s="18" t="s">
        <v>981</v>
      </c>
      <c r="P426" s="18" t="s">
        <v>1965</v>
      </c>
    </row>
    <row r="427" spans="1:16" x14ac:dyDescent="0.2">
      <c r="A427" t="s">
        <v>965</v>
      </c>
      <c r="B427" s="17" t="s">
        <v>951</v>
      </c>
      <c r="C427" t="s">
        <v>950</v>
      </c>
      <c r="E427" t="s">
        <v>44</v>
      </c>
      <c r="F427" t="s">
        <v>44</v>
      </c>
      <c r="I427" t="s">
        <v>956</v>
      </c>
      <c r="L427" s="16"/>
      <c r="M427" s="23" t="s">
        <v>965</v>
      </c>
      <c r="N427" s="18" t="s">
        <v>1970</v>
      </c>
      <c r="O427" s="18" t="s">
        <v>981</v>
      </c>
      <c r="P427" s="18" t="s">
        <v>1965</v>
      </c>
    </row>
    <row r="428" spans="1:16" x14ac:dyDescent="0.2">
      <c r="A428" t="s">
        <v>964</v>
      </c>
      <c r="B428" s="17" t="s">
        <v>951</v>
      </c>
      <c r="C428" t="s">
        <v>950</v>
      </c>
      <c r="E428" t="s">
        <v>44</v>
      </c>
      <c r="F428" t="s">
        <v>44</v>
      </c>
      <c r="I428" t="s">
        <v>956</v>
      </c>
      <c r="L428" s="16"/>
      <c r="M428" s="23" t="s">
        <v>964</v>
      </c>
      <c r="N428" s="18" t="s">
        <v>1971</v>
      </c>
      <c r="O428" s="18" t="s">
        <v>981</v>
      </c>
      <c r="P428" s="18" t="s">
        <v>1965</v>
      </c>
    </row>
    <row r="429" spans="1:16" x14ac:dyDescent="0.2">
      <c r="A429" t="s">
        <v>963</v>
      </c>
      <c r="B429" s="17" t="s">
        <v>951</v>
      </c>
      <c r="C429" t="s">
        <v>950</v>
      </c>
      <c r="E429" t="s">
        <v>44</v>
      </c>
      <c r="F429" t="s">
        <v>44</v>
      </c>
      <c r="I429" t="s">
        <v>956</v>
      </c>
      <c r="L429" s="16"/>
      <c r="M429" s="23" t="s">
        <v>963</v>
      </c>
      <c r="N429" s="18" t="s">
        <v>1971</v>
      </c>
      <c r="O429" s="18" t="s">
        <v>981</v>
      </c>
      <c r="P429" s="18" t="s">
        <v>1965</v>
      </c>
    </row>
    <row r="430" spans="1:16" x14ac:dyDescent="0.2">
      <c r="A430" t="s">
        <v>962</v>
      </c>
      <c r="B430" s="17" t="s">
        <v>951</v>
      </c>
      <c r="C430" t="s">
        <v>950</v>
      </c>
      <c r="E430" t="s">
        <v>44</v>
      </c>
      <c r="F430" t="s">
        <v>44</v>
      </c>
      <c r="I430" t="s">
        <v>956</v>
      </c>
      <c r="L430" s="16"/>
      <c r="M430" s="23" t="s">
        <v>962</v>
      </c>
      <c r="N430" s="18" t="s">
        <v>1791</v>
      </c>
      <c r="O430" s="18" t="s">
        <v>981</v>
      </c>
      <c r="P430" s="18" t="s">
        <v>1965</v>
      </c>
    </row>
    <row r="431" spans="1:16" x14ac:dyDescent="0.2">
      <c r="A431" t="s">
        <v>961</v>
      </c>
      <c r="B431" s="17" t="s">
        <v>951</v>
      </c>
      <c r="C431" t="s">
        <v>950</v>
      </c>
      <c r="E431" t="s">
        <v>44</v>
      </c>
      <c r="F431" t="s">
        <v>44</v>
      </c>
      <c r="I431" t="s">
        <v>956</v>
      </c>
      <c r="L431" s="16"/>
      <c r="M431" s="23" t="s">
        <v>961</v>
      </c>
      <c r="N431" s="18" t="s">
        <v>1669</v>
      </c>
      <c r="O431" s="18" t="s">
        <v>981</v>
      </c>
      <c r="P431" s="18" t="s">
        <v>1965</v>
      </c>
    </row>
    <row r="432" spans="1:16" x14ac:dyDescent="0.2">
      <c r="A432" t="s">
        <v>960</v>
      </c>
      <c r="B432" s="17" t="s">
        <v>951</v>
      </c>
      <c r="C432" t="s">
        <v>950</v>
      </c>
      <c r="D432" s="1">
        <v>42902</v>
      </c>
      <c r="E432" t="s">
        <v>44</v>
      </c>
      <c r="F432" t="s">
        <v>44</v>
      </c>
      <c r="I432" t="s">
        <v>956</v>
      </c>
      <c r="L432" s="16"/>
      <c r="M432" s="23" t="s">
        <v>960</v>
      </c>
      <c r="N432" s="18" t="s">
        <v>1715</v>
      </c>
      <c r="O432" s="18" t="s">
        <v>981</v>
      </c>
      <c r="P432" s="18" t="s">
        <v>1965</v>
      </c>
    </row>
    <row r="433" spans="1:21" x14ac:dyDescent="0.2">
      <c r="A433" t="s">
        <v>959</v>
      </c>
      <c r="B433" s="17" t="s">
        <v>951</v>
      </c>
      <c r="C433" t="s">
        <v>950</v>
      </c>
      <c r="D433" s="1">
        <v>42902</v>
      </c>
      <c r="E433" t="s">
        <v>44</v>
      </c>
      <c r="F433" t="s">
        <v>44</v>
      </c>
      <c r="I433" t="s">
        <v>956</v>
      </c>
      <c r="L433" s="16"/>
      <c r="M433" s="23" t="s">
        <v>959</v>
      </c>
      <c r="N433" s="18" t="s">
        <v>1972</v>
      </c>
      <c r="O433" s="18" t="s">
        <v>981</v>
      </c>
      <c r="P433" s="18" t="s">
        <v>1965</v>
      </c>
    </row>
    <row r="434" spans="1:21" x14ac:dyDescent="0.2">
      <c r="A434" t="s">
        <v>958</v>
      </c>
      <c r="B434" s="17" t="s">
        <v>951</v>
      </c>
      <c r="C434" t="s">
        <v>950</v>
      </c>
      <c r="D434" s="1">
        <v>42902</v>
      </c>
      <c r="E434" t="s">
        <v>44</v>
      </c>
      <c r="F434" t="s">
        <v>44</v>
      </c>
      <c r="I434" t="s">
        <v>956</v>
      </c>
      <c r="L434" s="16"/>
      <c r="M434" s="23" t="s">
        <v>958</v>
      </c>
      <c r="N434" s="18" t="s">
        <v>1973</v>
      </c>
      <c r="O434" s="18" t="s">
        <v>981</v>
      </c>
      <c r="P434" s="18" t="s">
        <v>1965</v>
      </c>
    </row>
    <row r="435" spans="1:21" x14ac:dyDescent="0.2">
      <c r="A435" t="s">
        <v>957</v>
      </c>
      <c r="B435" s="17" t="s">
        <v>951</v>
      </c>
      <c r="C435" t="s">
        <v>950</v>
      </c>
      <c r="D435" s="1">
        <v>42902</v>
      </c>
      <c r="E435" t="s">
        <v>44</v>
      </c>
      <c r="F435" t="s">
        <v>44</v>
      </c>
      <c r="I435" t="s">
        <v>956</v>
      </c>
      <c r="L435" s="16"/>
      <c r="M435" s="23" t="s">
        <v>957</v>
      </c>
      <c r="N435" s="18" t="s">
        <v>1974</v>
      </c>
      <c r="O435" s="18" t="s">
        <v>981</v>
      </c>
      <c r="P435" s="18" t="s">
        <v>1965</v>
      </c>
    </row>
    <row r="436" spans="1:21" s="27" customFormat="1" x14ac:dyDescent="0.2">
      <c r="A436" s="27" t="s">
        <v>955</v>
      </c>
      <c r="B436" s="27" t="s">
        <v>954</v>
      </c>
      <c r="C436" s="27" t="s">
        <v>953</v>
      </c>
      <c r="D436" s="28">
        <v>42921</v>
      </c>
      <c r="E436" s="28">
        <v>42972</v>
      </c>
      <c r="F436" s="27">
        <f>E436-D436</f>
        <v>51</v>
      </c>
      <c r="L436" s="29"/>
    </row>
    <row r="437" spans="1:21" x14ac:dyDescent="0.2">
      <c r="A437" s="23" t="s">
        <v>952</v>
      </c>
      <c r="B437" s="17" t="s">
        <v>951</v>
      </c>
      <c r="C437" s="18"/>
      <c r="I437" s="18" t="s">
        <v>949</v>
      </c>
      <c r="L437" s="18" t="s">
        <v>1922</v>
      </c>
      <c r="Q437" s="24"/>
      <c r="R437" s="24"/>
      <c r="S437" s="24"/>
      <c r="T437" s="24"/>
      <c r="U437" s="14"/>
    </row>
    <row r="438" spans="1:21" x14ac:dyDescent="0.2">
      <c r="A438" s="23" t="s">
        <v>1921</v>
      </c>
      <c r="I438" s="18" t="s">
        <v>949</v>
      </c>
      <c r="K438" s="18" t="s">
        <v>981</v>
      </c>
      <c r="L438" s="18" t="s">
        <v>1920</v>
      </c>
      <c r="Q438" s="24"/>
      <c r="R438" s="24"/>
      <c r="S438" s="24"/>
      <c r="T438" s="24"/>
      <c r="U438" s="14"/>
    </row>
    <row r="439" spans="1:21" x14ac:dyDescent="0.2">
      <c r="A439" s="23" t="s">
        <v>1919</v>
      </c>
      <c r="I439" s="18" t="s">
        <v>949</v>
      </c>
      <c r="K439" s="18" t="s">
        <v>981</v>
      </c>
      <c r="L439" s="18" t="s">
        <v>1913</v>
      </c>
      <c r="Q439" s="24"/>
      <c r="R439" s="24"/>
      <c r="S439" s="24"/>
      <c r="T439" s="24"/>
      <c r="U439" s="14"/>
    </row>
    <row r="440" spans="1:21" x14ac:dyDescent="0.2">
      <c r="A440" s="23" t="s">
        <v>1918</v>
      </c>
      <c r="I440" s="18" t="s">
        <v>949</v>
      </c>
      <c r="K440" s="18" t="s">
        <v>981</v>
      </c>
      <c r="L440" s="18" t="s">
        <v>1645</v>
      </c>
      <c r="Q440" s="24"/>
      <c r="R440" s="24"/>
      <c r="S440" s="24"/>
      <c r="T440" s="24"/>
      <c r="U440" s="14"/>
    </row>
    <row r="441" spans="1:21" x14ac:dyDescent="0.2">
      <c r="A441" s="23" t="s">
        <v>1917</v>
      </c>
      <c r="I441" s="18" t="s">
        <v>949</v>
      </c>
      <c r="K441" s="18" t="s">
        <v>981</v>
      </c>
      <c r="L441" s="18" t="s">
        <v>1916</v>
      </c>
      <c r="Q441" s="24"/>
      <c r="R441" s="24"/>
      <c r="S441" s="24"/>
      <c r="T441" s="24"/>
      <c r="U441" s="14"/>
    </row>
    <row r="442" spans="1:21" x14ac:dyDescent="0.2">
      <c r="A442" s="23" t="s">
        <v>1915</v>
      </c>
      <c r="I442" s="18" t="s">
        <v>949</v>
      </c>
      <c r="K442" s="18" t="s">
        <v>981</v>
      </c>
      <c r="L442" s="18" t="s">
        <v>1678</v>
      </c>
      <c r="Q442" s="24"/>
      <c r="R442" s="24"/>
      <c r="S442" s="24"/>
      <c r="T442" s="24"/>
      <c r="U442" s="14"/>
    </row>
    <row r="443" spans="1:21" x14ac:dyDescent="0.2">
      <c r="A443" s="23" t="s">
        <v>1914</v>
      </c>
      <c r="I443" s="18" t="s">
        <v>949</v>
      </c>
      <c r="K443" s="18" t="s">
        <v>981</v>
      </c>
      <c r="L443" s="18" t="s">
        <v>1913</v>
      </c>
      <c r="Q443" s="24"/>
      <c r="R443" s="24"/>
      <c r="S443" s="24"/>
      <c r="T443" s="24"/>
      <c r="U443" s="14"/>
    </row>
    <row r="444" spans="1:21" x14ac:dyDescent="0.2">
      <c r="A444" s="23" t="s">
        <v>1912</v>
      </c>
      <c r="I444" s="18" t="s">
        <v>949</v>
      </c>
      <c r="K444" s="18" t="s">
        <v>981</v>
      </c>
      <c r="L444" s="18" t="s">
        <v>1161</v>
      </c>
      <c r="Q444" s="24"/>
      <c r="R444" s="24"/>
      <c r="S444" s="24"/>
      <c r="T444" s="24"/>
      <c r="U444" s="14"/>
    </row>
    <row r="445" spans="1:21" x14ac:dyDescent="0.2">
      <c r="A445" s="23" t="s">
        <v>1911</v>
      </c>
      <c r="I445" s="18" t="s">
        <v>949</v>
      </c>
      <c r="K445" s="18" t="s">
        <v>981</v>
      </c>
      <c r="L445" s="18" t="s">
        <v>1005</v>
      </c>
      <c r="Q445" s="24"/>
      <c r="R445" s="24"/>
      <c r="S445" s="24"/>
      <c r="T445" s="24"/>
      <c r="U445" s="14"/>
    </row>
    <row r="446" spans="1:21" x14ac:dyDescent="0.2">
      <c r="A446" s="23" t="s">
        <v>1910</v>
      </c>
      <c r="I446" s="18" t="s">
        <v>949</v>
      </c>
      <c r="K446" s="18" t="s">
        <v>981</v>
      </c>
      <c r="L446" s="18" t="s">
        <v>1909</v>
      </c>
      <c r="Q446" s="24"/>
      <c r="R446" s="24"/>
      <c r="S446" s="24"/>
      <c r="T446" s="24"/>
      <c r="U446" s="14"/>
    </row>
    <row r="447" spans="1:21" x14ac:dyDescent="0.2">
      <c r="A447" s="23" t="s">
        <v>1908</v>
      </c>
      <c r="I447" s="18" t="s">
        <v>949</v>
      </c>
      <c r="K447" s="18" t="s">
        <v>981</v>
      </c>
      <c r="L447" s="18" t="s">
        <v>1663</v>
      </c>
      <c r="Q447" s="24"/>
      <c r="R447" s="24"/>
      <c r="S447" s="24"/>
      <c r="T447" s="24"/>
      <c r="U447" s="14"/>
    </row>
    <row r="448" spans="1:21" x14ac:dyDescent="0.2">
      <c r="A448" s="23" t="s">
        <v>1907</v>
      </c>
      <c r="I448" s="18" t="s">
        <v>949</v>
      </c>
      <c r="K448" s="18" t="s">
        <v>981</v>
      </c>
      <c r="L448" s="18" t="s">
        <v>1161</v>
      </c>
      <c r="Q448" s="24"/>
      <c r="R448" s="24"/>
      <c r="S448" s="24"/>
      <c r="T448" s="24"/>
      <c r="U448" s="14"/>
    </row>
    <row r="449" spans="1:21" x14ac:dyDescent="0.2">
      <c r="A449" s="23" t="s">
        <v>1906</v>
      </c>
      <c r="I449" s="18" t="s">
        <v>949</v>
      </c>
      <c r="K449" s="18" t="s">
        <v>981</v>
      </c>
      <c r="L449" s="18" t="s">
        <v>1905</v>
      </c>
      <c r="Q449" s="24"/>
      <c r="R449" s="24"/>
      <c r="S449" s="24"/>
      <c r="T449" s="24"/>
      <c r="U449" s="14"/>
    </row>
    <row r="450" spans="1:21" x14ac:dyDescent="0.2">
      <c r="A450" s="23" t="s">
        <v>1904</v>
      </c>
      <c r="I450" s="18" t="s">
        <v>949</v>
      </c>
      <c r="K450" s="18" t="s">
        <v>981</v>
      </c>
      <c r="L450" s="18" t="s">
        <v>1903</v>
      </c>
      <c r="Q450" s="24"/>
      <c r="R450" s="24"/>
      <c r="S450" s="24"/>
      <c r="T450" s="24"/>
      <c r="U450" s="14"/>
    </row>
    <row r="451" spans="1:21" x14ac:dyDescent="0.2">
      <c r="A451" s="23" t="s">
        <v>1902</v>
      </c>
      <c r="I451" s="18" t="s">
        <v>949</v>
      </c>
      <c r="K451" s="18" t="s">
        <v>981</v>
      </c>
      <c r="L451" s="18" t="s">
        <v>1707</v>
      </c>
      <c r="Q451" s="24"/>
      <c r="R451" s="24"/>
      <c r="S451" s="24"/>
      <c r="T451" s="24"/>
      <c r="U451" s="14"/>
    </row>
    <row r="452" spans="1:21" x14ac:dyDescent="0.2">
      <c r="A452" s="23" t="s">
        <v>1901</v>
      </c>
      <c r="I452" s="18" t="s">
        <v>949</v>
      </c>
      <c r="K452" s="18" t="s">
        <v>981</v>
      </c>
      <c r="L452" s="18" t="s">
        <v>1900</v>
      </c>
      <c r="Q452" s="24"/>
      <c r="R452" s="24"/>
      <c r="S452" s="24"/>
      <c r="T452" s="24"/>
      <c r="U452" s="14"/>
    </row>
    <row r="453" spans="1:21" x14ac:dyDescent="0.2">
      <c r="A453" s="23" t="s">
        <v>1899</v>
      </c>
      <c r="I453" s="18" t="s">
        <v>949</v>
      </c>
      <c r="K453" s="18" t="s">
        <v>981</v>
      </c>
      <c r="L453" s="18" t="s">
        <v>1898</v>
      </c>
      <c r="Q453" s="24"/>
      <c r="R453" s="24"/>
      <c r="S453" s="24"/>
      <c r="T453" s="24"/>
      <c r="U453" s="14"/>
    </row>
    <row r="454" spans="1:21" x14ac:dyDescent="0.2">
      <c r="A454" s="23" t="s">
        <v>1897</v>
      </c>
      <c r="I454" s="18" t="s">
        <v>949</v>
      </c>
      <c r="K454" s="18" t="s">
        <v>981</v>
      </c>
      <c r="L454" s="18" t="s">
        <v>1772</v>
      </c>
      <c r="Q454" s="24"/>
      <c r="R454" s="24"/>
      <c r="S454" s="24"/>
      <c r="T454" s="24"/>
      <c r="U454" s="14"/>
    </row>
    <row r="455" spans="1:21" x14ac:dyDescent="0.2">
      <c r="A455" s="23" t="s">
        <v>1896</v>
      </c>
      <c r="I455" s="18" t="s">
        <v>949</v>
      </c>
      <c r="K455" s="18" t="s">
        <v>981</v>
      </c>
      <c r="L455" s="18" t="s">
        <v>1889</v>
      </c>
      <c r="Q455" s="24"/>
      <c r="R455" s="24"/>
      <c r="S455" s="24"/>
      <c r="T455" s="24"/>
      <c r="U455" s="14"/>
    </row>
    <row r="456" spans="1:21" x14ac:dyDescent="0.2">
      <c r="A456" s="23" t="s">
        <v>1895</v>
      </c>
      <c r="I456" s="18" t="s">
        <v>949</v>
      </c>
      <c r="K456" s="18" t="s">
        <v>981</v>
      </c>
      <c r="L456" s="18" t="s">
        <v>1894</v>
      </c>
      <c r="Q456" s="24"/>
      <c r="R456" s="24"/>
      <c r="S456" s="24"/>
      <c r="T456" s="24"/>
      <c r="U456" s="14"/>
    </row>
    <row r="457" spans="1:21" x14ac:dyDescent="0.2">
      <c r="A457" s="23" t="s">
        <v>1893</v>
      </c>
      <c r="I457" s="18" t="s">
        <v>949</v>
      </c>
      <c r="K457" s="18" t="s">
        <v>981</v>
      </c>
      <c r="L457" s="18" t="s">
        <v>1892</v>
      </c>
      <c r="Q457" s="24"/>
      <c r="R457" s="24"/>
      <c r="S457" s="24"/>
      <c r="T457" s="24"/>
      <c r="U457" s="14"/>
    </row>
    <row r="458" spans="1:21" x14ac:dyDescent="0.2">
      <c r="A458" s="23" t="s">
        <v>1891</v>
      </c>
      <c r="I458" s="18" t="s">
        <v>949</v>
      </c>
      <c r="K458" s="18" t="s">
        <v>981</v>
      </c>
      <c r="L458" s="18" t="s">
        <v>1136</v>
      </c>
      <c r="Q458" s="24"/>
      <c r="R458" s="24"/>
      <c r="S458" s="24"/>
      <c r="T458" s="24"/>
      <c r="U458" s="14"/>
    </row>
    <row r="459" spans="1:21" x14ac:dyDescent="0.2">
      <c r="A459" s="23" t="s">
        <v>1890</v>
      </c>
      <c r="I459" s="18" t="s">
        <v>949</v>
      </c>
      <c r="K459" s="18" t="s">
        <v>981</v>
      </c>
      <c r="L459" s="18" t="s">
        <v>1889</v>
      </c>
      <c r="Q459" s="24"/>
      <c r="R459" s="24"/>
      <c r="S459" s="24"/>
      <c r="T459" s="24"/>
      <c r="U459" s="14"/>
    </row>
    <row r="460" spans="1:21" x14ac:dyDescent="0.2">
      <c r="A460" s="23" t="s">
        <v>1888</v>
      </c>
      <c r="I460" s="18" t="s">
        <v>1587</v>
      </c>
      <c r="K460" s="18" t="s">
        <v>981</v>
      </c>
      <c r="L460" s="18" t="s">
        <v>1887</v>
      </c>
      <c r="Q460" s="24"/>
      <c r="R460" s="24"/>
      <c r="S460" s="24"/>
      <c r="T460" s="24"/>
      <c r="U460" s="14"/>
    </row>
    <row r="461" spans="1:21" x14ac:dyDescent="0.2">
      <c r="A461" s="23" t="s">
        <v>1886</v>
      </c>
      <c r="I461" s="18" t="s">
        <v>949</v>
      </c>
      <c r="K461" s="18" t="s">
        <v>981</v>
      </c>
      <c r="L461" s="18" t="s">
        <v>1797</v>
      </c>
      <c r="Q461" s="24"/>
      <c r="R461" s="24"/>
      <c r="S461" s="24"/>
      <c r="T461" s="24"/>
      <c r="U461" s="14"/>
    </row>
    <row r="462" spans="1:21" x14ac:dyDescent="0.2">
      <c r="A462" s="23" t="s">
        <v>1885</v>
      </c>
      <c r="I462" s="18" t="s">
        <v>949</v>
      </c>
      <c r="K462" s="18" t="s">
        <v>981</v>
      </c>
      <c r="L462" s="18" t="s">
        <v>1247</v>
      </c>
      <c r="Q462" s="24"/>
      <c r="R462" s="24"/>
      <c r="S462" s="24"/>
      <c r="T462" s="24"/>
      <c r="U462" s="14"/>
    </row>
    <row r="463" spans="1:21" x14ac:dyDescent="0.2">
      <c r="A463" s="23" t="s">
        <v>1884</v>
      </c>
      <c r="I463" s="18" t="s">
        <v>949</v>
      </c>
      <c r="K463" s="18" t="s">
        <v>981</v>
      </c>
      <c r="L463" s="18" t="s">
        <v>1057</v>
      </c>
      <c r="Q463" s="24"/>
      <c r="R463" s="24"/>
      <c r="S463" s="24"/>
      <c r="T463" s="24"/>
      <c r="U463" s="14"/>
    </row>
    <row r="464" spans="1:21" x14ac:dyDescent="0.2">
      <c r="A464" s="23" t="s">
        <v>1883</v>
      </c>
      <c r="I464" s="18" t="s">
        <v>949</v>
      </c>
      <c r="K464" s="18" t="s">
        <v>981</v>
      </c>
      <c r="L464" s="18" t="s">
        <v>1882</v>
      </c>
      <c r="Q464" s="24"/>
      <c r="R464" s="24"/>
      <c r="S464" s="24"/>
      <c r="T464" s="24"/>
      <c r="U464" s="14"/>
    </row>
    <row r="465" spans="1:21" x14ac:dyDescent="0.2">
      <c r="A465" s="23" t="s">
        <v>1881</v>
      </c>
      <c r="I465" s="18" t="s">
        <v>949</v>
      </c>
      <c r="K465" s="18" t="s">
        <v>981</v>
      </c>
      <c r="L465" s="18" t="s">
        <v>1880</v>
      </c>
      <c r="Q465" s="24"/>
      <c r="R465" s="24"/>
      <c r="S465" s="24"/>
      <c r="T465" s="24"/>
      <c r="U465" s="14"/>
    </row>
    <row r="466" spans="1:21" x14ac:dyDescent="0.2">
      <c r="A466" s="23" t="s">
        <v>1879</v>
      </c>
      <c r="I466" s="18" t="s">
        <v>949</v>
      </c>
      <c r="K466" s="18" t="s">
        <v>981</v>
      </c>
      <c r="L466" s="18" t="s">
        <v>1878</v>
      </c>
      <c r="Q466" s="24"/>
      <c r="R466" s="24"/>
      <c r="S466" s="24"/>
      <c r="T466" s="24"/>
      <c r="U466" s="14"/>
    </row>
    <row r="467" spans="1:21" x14ac:dyDescent="0.2">
      <c r="A467" s="23" t="s">
        <v>1877</v>
      </c>
      <c r="I467" s="18" t="s">
        <v>949</v>
      </c>
      <c r="K467" s="18" t="s">
        <v>981</v>
      </c>
      <c r="L467" s="18" t="s">
        <v>1876</v>
      </c>
      <c r="Q467" s="24"/>
      <c r="R467" s="24"/>
      <c r="S467" s="24"/>
      <c r="T467" s="24"/>
      <c r="U467" s="14"/>
    </row>
    <row r="468" spans="1:21" x14ac:dyDescent="0.2">
      <c r="A468" s="23" t="s">
        <v>1875</v>
      </c>
      <c r="I468" s="18" t="s">
        <v>949</v>
      </c>
      <c r="K468" s="18" t="s">
        <v>981</v>
      </c>
      <c r="L468" s="18" t="s">
        <v>1874</v>
      </c>
      <c r="Q468" s="24"/>
      <c r="R468" s="24"/>
      <c r="S468" s="24"/>
      <c r="T468" s="24"/>
      <c r="U468" s="14"/>
    </row>
    <row r="469" spans="1:21" x14ac:dyDescent="0.2">
      <c r="A469" s="23" t="s">
        <v>1873</v>
      </c>
      <c r="I469" s="18" t="s">
        <v>949</v>
      </c>
      <c r="K469" s="18" t="s">
        <v>981</v>
      </c>
      <c r="L469" s="18" t="s">
        <v>1787</v>
      </c>
      <c r="Q469" s="24"/>
      <c r="R469" s="24"/>
      <c r="S469" s="24"/>
      <c r="T469" s="24"/>
      <c r="U469" s="14"/>
    </row>
    <row r="470" spans="1:21" x14ac:dyDescent="0.2">
      <c r="A470" s="23" t="s">
        <v>1872</v>
      </c>
      <c r="I470" s="18" t="s">
        <v>949</v>
      </c>
      <c r="K470" s="18" t="s">
        <v>981</v>
      </c>
      <c r="L470" s="18" t="s">
        <v>1871</v>
      </c>
      <c r="Q470" s="24"/>
      <c r="R470" s="24"/>
      <c r="S470" s="24"/>
      <c r="T470" s="24"/>
      <c r="U470" s="14"/>
    </row>
    <row r="471" spans="1:21" x14ac:dyDescent="0.2">
      <c r="A471" s="23" t="s">
        <v>1870</v>
      </c>
      <c r="I471" s="18" t="s">
        <v>949</v>
      </c>
      <c r="K471" s="18" t="s">
        <v>981</v>
      </c>
      <c r="L471" s="18" t="s">
        <v>1869</v>
      </c>
      <c r="Q471" s="24"/>
      <c r="R471" s="24"/>
      <c r="S471" s="24"/>
      <c r="T471" s="24"/>
      <c r="U471" s="14"/>
    </row>
    <row r="472" spans="1:21" x14ac:dyDescent="0.2">
      <c r="A472" s="23" t="s">
        <v>1868</v>
      </c>
      <c r="I472" s="18" t="s">
        <v>949</v>
      </c>
      <c r="K472" s="18" t="s">
        <v>981</v>
      </c>
      <c r="L472" s="18" t="s">
        <v>1867</v>
      </c>
      <c r="Q472" s="24"/>
      <c r="R472" s="24"/>
      <c r="S472" s="24"/>
      <c r="T472" s="24"/>
      <c r="U472" s="14"/>
    </row>
    <row r="473" spans="1:21" x14ac:dyDescent="0.2">
      <c r="A473" s="23" t="s">
        <v>1866</v>
      </c>
      <c r="I473" s="18" t="s">
        <v>949</v>
      </c>
      <c r="K473" s="18" t="s">
        <v>981</v>
      </c>
      <c r="L473" s="18" t="s">
        <v>1865</v>
      </c>
      <c r="Q473" s="24"/>
      <c r="R473" s="24"/>
      <c r="S473" s="24"/>
      <c r="T473" s="24"/>
      <c r="U473" s="14"/>
    </row>
    <row r="474" spans="1:21" x14ac:dyDescent="0.2">
      <c r="A474" s="23" t="s">
        <v>1864</v>
      </c>
      <c r="I474" s="18" t="s">
        <v>949</v>
      </c>
      <c r="K474" s="18" t="s">
        <v>981</v>
      </c>
      <c r="L474" s="18" t="s">
        <v>1863</v>
      </c>
      <c r="Q474" s="24"/>
      <c r="R474" s="24"/>
      <c r="S474" s="24"/>
      <c r="T474" s="24"/>
      <c r="U474" s="14"/>
    </row>
    <row r="475" spans="1:21" x14ac:dyDescent="0.2">
      <c r="A475" s="23" t="s">
        <v>1862</v>
      </c>
      <c r="I475" s="18" t="s">
        <v>949</v>
      </c>
      <c r="K475" s="18" t="s">
        <v>981</v>
      </c>
      <c r="L475" s="18" t="s">
        <v>1168</v>
      </c>
      <c r="Q475" s="24"/>
      <c r="R475" s="24"/>
      <c r="S475" s="24"/>
      <c r="T475" s="24"/>
      <c r="U475" s="14"/>
    </row>
    <row r="476" spans="1:21" x14ac:dyDescent="0.2">
      <c r="A476" s="23" t="s">
        <v>1861</v>
      </c>
      <c r="I476" s="18" t="s">
        <v>949</v>
      </c>
      <c r="K476" s="18" t="s">
        <v>981</v>
      </c>
      <c r="L476" s="18" t="s">
        <v>1860</v>
      </c>
      <c r="Q476" s="24"/>
      <c r="R476" s="24"/>
      <c r="S476" s="24"/>
      <c r="T476" s="24"/>
      <c r="U476" s="14"/>
    </row>
    <row r="477" spans="1:21" x14ac:dyDescent="0.2">
      <c r="A477" s="23" t="s">
        <v>1859</v>
      </c>
      <c r="I477" s="18" t="s">
        <v>949</v>
      </c>
      <c r="K477" s="18" t="s">
        <v>981</v>
      </c>
      <c r="L477" s="18" t="s">
        <v>1290</v>
      </c>
      <c r="Q477" s="24"/>
      <c r="R477" s="24"/>
      <c r="S477" s="24"/>
      <c r="T477" s="24"/>
      <c r="U477" s="14"/>
    </row>
    <row r="478" spans="1:21" x14ac:dyDescent="0.2">
      <c r="A478" s="23" t="s">
        <v>1858</v>
      </c>
      <c r="I478" s="18" t="s">
        <v>949</v>
      </c>
      <c r="K478" s="18" t="s">
        <v>981</v>
      </c>
      <c r="L478" s="18" t="s">
        <v>1737</v>
      </c>
      <c r="Q478" s="24"/>
      <c r="R478" s="24"/>
      <c r="S478" s="24"/>
      <c r="T478" s="24"/>
      <c r="U478" s="14"/>
    </row>
    <row r="479" spans="1:21" x14ac:dyDescent="0.2">
      <c r="A479" s="23" t="s">
        <v>1857</v>
      </c>
      <c r="I479" s="18" t="s">
        <v>949</v>
      </c>
      <c r="K479" s="18" t="s">
        <v>981</v>
      </c>
      <c r="L479" s="18" t="s">
        <v>1856</v>
      </c>
      <c r="Q479" s="24"/>
      <c r="R479" s="24"/>
      <c r="S479" s="24"/>
      <c r="T479" s="24"/>
      <c r="U479" s="14"/>
    </row>
    <row r="480" spans="1:21" x14ac:dyDescent="0.2">
      <c r="A480" s="23" t="s">
        <v>1855</v>
      </c>
      <c r="I480" s="18" t="s">
        <v>949</v>
      </c>
      <c r="K480" s="18" t="s">
        <v>981</v>
      </c>
      <c r="L480" s="18" t="s">
        <v>1854</v>
      </c>
      <c r="Q480" s="24"/>
      <c r="R480" s="24"/>
      <c r="S480" s="24"/>
      <c r="T480" s="24"/>
      <c r="U480" s="14"/>
    </row>
    <row r="481" spans="1:21" x14ac:dyDescent="0.2">
      <c r="A481" s="23" t="s">
        <v>1853</v>
      </c>
      <c r="I481" s="18" t="s">
        <v>949</v>
      </c>
      <c r="K481" s="18" t="s">
        <v>981</v>
      </c>
      <c r="L481" s="18" t="s">
        <v>1852</v>
      </c>
      <c r="Q481" s="24"/>
      <c r="R481" s="24"/>
      <c r="S481" s="24"/>
      <c r="T481" s="24"/>
      <c r="U481" s="14"/>
    </row>
    <row r="482" spans="1:21" x14ac:dyDescent="0.2">
      <c r="A482" s="23" t="s">
        <v>1851</v>
      </c>
      <c r="I482" s="18" t="s">
        <v>949</v>
      </c>
      <c r="K482" s="18" t="s">
        <v>1040</v>
      </c>
      <c r="L482" s="18" t="s">
        <v>1850</v>
      </c>
      <c r="Q482" s="24"/>
      <c r="R482" s="24"/>
      <c r="S482" s="24"/>
      <c r="T482" s="24"/>
      <c r="U482" s="14"/>
    </row>
    <row r="483" spans="1:21" x14ac:dyDescent="0.2">
      <c r="A483" s="23" t="s">
        <v>1849</v>
      </c>
      <c r="I483" s="18" t="s">
        <v>949</v>
      </c>
      <c r="K483" s="18" t="s">
        <v>1040</v>
      </c>
      <c r="L483" s="18" t="s">
        <v>1848</v>
      </c>
      <c r="Q483" s="24"/>
      <c r="R483" s="24"/>
      <c r="S483" s="24"/>
      <c r="T483" s="24"/>
      <c r="U483" s="14"/>
    </row>
    <row r="484" spans="1:21" x14ac:dyDescent="0.2">
      <c r="A484" s="23" t="s">
        <v>1847</v>
      </c>
      <c r="I484" s="18" t="s">
        <v>949</v>
      </c>
      <c r="K484" s="18" t="s">
        <v>981</v>
      </c>
      <c r="L484" s="18" t="s">
        <v>1846</v>
      </c>
      <c r="Q484" s="24"/>
      <c r="R484" s="24"/>
      <c r="S484" s="24"/>
      <c r="T484" s="24"/>
      <c r="U484" s="14"/>
    </row>
    <row r="485" spans="1:21" x14ac:dyDescent="0.2">
      <c r="A485" s="23" t="s">
        <v>1845</v>
      </c>
      <c r="I485" s="18" t="s">
        <v>949</v>
      </c>
      <c r="K485" s="18" t="s">
        <v>981</v>
      </c>
      <c r="L485" s="18" t="s">
        <v>1844</v>
      </c>
      <c r="Q485" s="24"/>
      <c r="R485" s="24"/>
      <c r="S485" s="24"/>
      <c r="T485" s="24"/>
      <c r="U485" s="14"/>
    </row>
    <row r="486" spans="1:21" x14ac:dyDescent="0.2">
      <c r="A486" s="23" t="s">
        <v>1843</v>
      </c>
      <c r="I486" s="18" t="s">
        <v>949</v>
      </c>
      <c r="K486" s="18" t="s">
        <v>1040</v>
      </c>
      <c r="L486" s="18" t="s">
        <v>1826</v>
      </c>
      <c r="Q486" s="24"/>
      <c r="R486" s="24"/>
      <c r="S486" s="24"/>
      <c r="T486" s="24"/>
      <c r="U486" s="14"/>
    </row>
    <row r="487" spans="1:21" x14ac:dyDescent="0.2">
      <c r="A487" s="23" t="s">
        <v>1842</v>
      </c>
      <c r="I487" s="18" t="s">
        <v>949</v>
      </c>
      <c r="K487" s="18" t="s">
        <v>981</v>
      </c>
      <c r="L487" s="18" t="s">
        <v>1841</v>
      </c>
      <c r="Q487" s="24"/>
      <c r="R487" s="24"/>
      <c r="S487" s="24"/>
      <c r="T487" s="24"/>
      <c r="U487" s="14"/>
    </row>
    <row r="488" spans="1:21" x14ac:dyDescent="0.2">
      <c r="A488" s="23" t="s">
        <v>1840</v>
      </c>
      <c r="I488" s="18" t="s">
        <v>949</v>
      </c>
      <c r="K488" s="18" t="s">
        <v>981</v>
      </c>
      <c r="L488" s="18" t="s">
        <v>1046</v>
      </c>
      <c r="Q488" s="24"/>
      <c r="R488" s="24"/>
      <c r="S488" s="24"/>
      <c r="T488" s="24"/>
      <c r="U488" s="14"/>
    </row>
    <row r="489" spans="1:21" x14ac:dyDescent="0.2">
      <c r="A489" s="23" t="s">
        <v>1839</v>
      </c>
      <c r="I489" s="18" t="s">
        <v>949</v>
      </c>
      <c r="K489" s="18" t="s">
        <v>981</v>
      </c>
      <c r="L489" s="18" t="s">
        <v>1665</v>
      </c>
      <c r="Q489" s="24"/>
      <c r="R489" s="24"/>
      <c r="S489" s="24"/>
      <c r="T489" s="24"/>
      <c r="U489" s="14"/>
    </row>
    <row r="490" spans="1:21" x14ac:dyDescent="0.2">
      <c r="A490" s="23" t="s">
        <v>1838</v>
      </c>
      <c r="I490" s="18" t="s">
        <v>1587</v>
      </c>
      <c r="K490" s="18" t="s">
        <v>1040</v>
      </c>
      <c r="L490" s="18" t="s">
        <v>1837</v>
      </c>
      <c r="Q490" s="24"/>
      <c r="R490" s="24"/>
      <c r="S490" s="24"/>
      <c r="T490" s="24"/>
      <c r="U490" s="14"/>
    </row>
    <row r="491" spans="1:21" x14ac:dyDescent="0.2">
      <c r="A491" s="23" t="s">
        <v>1836</v>
      </c>
      <c r="I491" s="18" t="s">
        <v>949</v>
      </c>
      <c r="K491" s="18" t="s">
        <v>1040</v>
      </c>
      <c r="L491" s="18" t="s">
        <v>1835</v>
      </c>
      <c r="Q491" s="24"/>
      <c r="R491" s="24"/>
      <c r="S491" s="24"/>
      <c r="T491" s="24"/>
      <c r="U491" s="14"/>
    </row>
    <row r="492" spans="1:21" x14ac:dyDescent="0.2">
      <c r="A492" s="23" t="s">
        <v>1834</v>
      </c>
      <c r="I492" s="18" t="s">
        <v>949</v>
      </c>
      <c r="K492" s="18" t="s">
        <v>1040</v>
      </c>
      <c r="L492" s="18" t="s">
        <v>1730</v>
      </c>
      <c r="Q492" s="24"/>
      <c r="R492" s="24"/>
      <c r="S492" s="24"/>
      <c r="T492" s="24"/>
      <c r="U492" s="14"/>
    </row>
    <row r="493" spans="1:21" x14ac:dyDescent="0.2">
      <c r="A493" s="23" t="s">
        <v>1833</v>
      </c>
      <c r="I493" s="18" t="s">
        <v>949</v>
      </c>
      <c r="K493" s="18" t="s">
        <v>1040</v>
      </c>
      <c r="L493" s="18" t="s">
        <v>1832</v>
      </c>
      <c r="Q493" s="24"/>
      <c r="R493" s="24"/>
      <c r="S493" s="24"/>
      <c r="T493" s="24"/>
      <c r="U493" s="14"/>
    </row>
    <row r="494" spans="1:21" x14ac:dyDescent="0.2">
      <c r="A494" s="23" t="s">
        <v>1831</v>
      </c>
      <c r="I494" s="18" t="s">
        <v>949</v>
      </c>
      <c r="K494" s="18" t="s">
        <v>981</v>
      </c>
      <c r="L494" s="18" t="s">
        <v>1830</v>
      </c>
      <c r="Q494" s="24"/>
      <c r="R494" s="24"/>
      <c r="S494" s="24"/>
      <c r="T494" s="24"/>
      <c r="U494" s="14"/>
    </row>
    <row r="495" spans="1:21" x14ac:dyDescent="0.2">
      <c r="A495" s="23" t="s">
        <v>1829</v>
      </c>
      <c r="I495" s="18" t="s">
        <v>949</v>
      </c>
      <c r="K495" s="18" t="s">
        <v>1040</v>
      </c>
      <c r="L495" s="18" t="s">
        <v>1828</v>
      </c>
      <c r="Q495" s="24"/>
      <c r="R495" s="24"/>
      <c r="S495" s="24"/>
      <c r="T495" s="24"/>
      <c r="U495" s="14"/>
    </row>
    <row r="496" spans="1:21" x14ac:dyDescent="0.2">
      <c r="A496" s="23" t="s">
        <v>1827</v>
      </c>
      <c r="I496" s="18" t="s">
        <v>949</v>
      </c>
      <c r="K496" s="18" t="s">
        <v>1040</v>
      </c>
      <c r="L496" s="18" t="s">
        <v>1826</v>
      </c>
      <c r="Q496" s="24"/>
      <c r="R496" s="24"/>
      <c r="S496" s="24"/>
      <c r="T496" s="24"/>
      <c r="U496" s="14"/>
    </row>
    <row r="497" spans="1:21" x14ac:dyDescent="0.2">
      <c r="A497" s="23" t="s">
        <v>1825</v>
      </c>
      <c r="I497" s="18" t="s">
        <v>1587</v>
      </c>
      <c r="K497" s="18" t="s">
        <v>1040</v>
      </c>
      <c r="L497" s="18" t="s">
        <v>1824</v>
      </c>
      <c r="Q497" s="24"/>
      <c r="R497" s="24"/>
      <c r="S497" s="24"/>
      <c r="T497" s="24"/>
      <c r="U497" s="14"/>
    </row>
    <row r="498" spans="1:21" x14ac:dyDescent="0.2">
      <c r="A498" s="23" t="s">
        <v>1823</v>
      </c>
      <c r="I498" s="18" t="s">
        <v>949</v>
      </c>
      <c r="K498" s="18" t="s">
        <v>1040</v>
      </c>
      <c r="L498" s="18" t="s">
        <v>1698</v>
      </c>
      <c r="Q498" s="24"/>
      <c r="R498" s="24"/>
      <c r="S498" s="24"/>
      <c r="T498" s="24"/>
      <c r="U498" s="14"/>
    </row>
    <row r="499" spans="1:21" x14ac:dyDescent="0.2">
      <c r="A499" s="23" t="s">
        <v>1822</v>
      </c>
      <c r="I499" s="18" t="s">
        <v>949</v>
      </c>
      <c r="K499" s="18" t="s">
        <v>1040</v>
      </c>
      <c r="L499" s="18" t="s">
        <v>1821</v>
      </c>
      <c r="Q499" s="24"/>
      <c r="R499" s="24"/>
      <c r="S499" s="24"/>
      <c r="T499" s="24"/>
      <c r="U499" s="14"/>
    </row>
    <row r="500" spans="1:21" x14ac:dyDescent="0.2">
      <c r="A500" s="23" t="s">
        <v>1820</v>
      </c>
      <c r="I500" s="18" t="s">
        <v>949</v>
      </c>
      <c r="K500" s="18" t="s">
        <v>1040</v>
      </c>
      <c r="L500" s="18" t="s">
        <v>1819</v>
      </c>
      <c r="Q500" s="24"/>
      <c r="R500" s="24"/>
      <c r="S500" s="24"/>
      <c r="T500" s="24"/>
      <c r="U500" s="14"/>
    </row>
    <row r="501" spans="1:21" x14ac:dyDescent="0.2">
      <c r="A501" s="23" t="s">
        <v>1818</v>
      </c>
      <c r="I501" s="18" t="s">
        <v>949</v>
      </c>
      <c r="K501" s="18" t="s">
        <v>981</v>
      </c>
      <c r="L501" s="18" t="s">
        <v>1743</v>
      </c>
      <c r="Q501" s="24"/>
      <c r="R501" s="24"/>
      <c r="S501" s="24"/>
      <c r="T501" s="24"/>
      <c r="U501" s="14"/>
    </row>
    <row r="502" spans="1:21" x14ac:dyDescent="0.2">
      <c r="A502" s="23" t="s">
        <v>1817</v>
      </c>
      <c r="I502" s="18" t="s">
        <v>949</v>
      </c>
      <c r="K502" s="18" t="s">
        <v>981</v>
      </c>
      <c r="L502" s="18" t="s">
        <v>1816</v>
      </c>
      <c r="Q502" s="24"/>
      <c r="R502" s="24"/>
      <c r="S502" s="24"/>
      <c r="T502" s="24"/>
      <c r="U502" s="14"/>
    </row>
    <row r="503" spans="1:21" x14ac:dyDescent="0.2">
      <c r="A503" s="23" t="s">
        <v>1815</v>
      </c>
      <c r="I503" s="18" t="s">
        <v>949</v>
      </c>
      <c r="K503" s="18" t="s">
        <v>1040</v>
      </c>
      <c r="L503" s="18" t="s">
        <v>1814</v>
      </c>
      <c r="Q503" s="24"/>
      <c r="R503" s="24"/>
      <c r="S503" s="24"/>
      <c r="T503" s="24"/>
      <c r="U503" s="14"/>
    </row>
    <row r="504" spans="1:21" x14ac:dyDescent="0.2">
      <c r="A504" s="23" t="s">
        <v>1813</v>
      </c>
      <c r="I504" s="18" t="s">
        <v>949</v>
      </c>
      <c r="K504" s="18" t="s">
        <v>981</v>
      </c>
      <c r="L504" s="18" t="s">
        <v>1812</v>
      </c>
      <c r="Q504" s="24"/>
      <c r="R504" s="24"/>
      <c r="S504" s="24"/>
      <c r="T504" s="24"/>
      <c r="U504" s="14"/>
    </row>
    <row r="505" spans="1:21" x14ac:dyDescent="0.2">
      <c r="A505" s="23" t="s">
        <v>1811</v>
      </c>
      <c r="I505" s="18" t="s">
        <v>949</v>
      </c>
      <c r="K505" s="18" t="s">
        <v>1040</v>
      </c>
      <c r="L505" s="18" t="s">
        <v>1810</v>
      </c>
      <c r="Q505" s="24"/>
      <c r="R505" s="24"/>
      <c r="S505" s="24"/>
      <c r="T505" s="24"/>
      <c r="U505" s="14"/>
    </row>
    <row r="506" spans="1:21" x14ac:dyDescent="0.2">
      <c r="A506" s="23" t="s">
        <v>1809</v>
      </c>
      <c r="I506" s="18" t="s">
        <v>949</v>
      </c>
      <c r="K506" s="18" t="s">
        <v>1040</v>
      </c>
      <c r="L506" s="18" t="s">
        <v>1791</v>
      </c>
      <c r="Q506" s="24"/>
      <c r="R506" s="24"/>
      <c r="S506" s="24"/>
      <c r="T506" s="24"/>
      <c r="U506" s="14"/>
    </row>
    <row r="507" spans="1:21" x14ac:dyDescent="0.2">
      <c r="A507" s="23" t="s">
        <v>1808</v>
      </c>
      <c r="I507" s="18" t="s">
        <v>949</v>
      </c>
      <c r="K507" s="18" t="s">
        <v>981</v>
      </c>
      <c r="L507" s="18" t="s">
        <v>1807</v>
      </c>
      <c r="Q507" s="24"/>
      <c r="R507" s="24"/>
      <c r="S507" s="24"/>
      <c r="T507" s="24"/>
      <c r="U507" s="14"/>
    </row>
    <row r="508" spans="1:21" x14ac:dyDescent="0.2">
      <c r="A508" s="23" t="s">
        <v>1806</v>
      </c>
      <c r="I508" s="18" t="s">
        <v>949</v>
      </c>
      <c r="K508" s="18" t="s">
        <v>981</v>
      </c>
      <c r="L508" s="18" t="s">
        <v>1608</v>
      </c>
      <c r="Q508" s="24"/>
      <c r="R508" s="24"/>
      <c r="S508" s="24"/>
      <c r="T508" s="24"/>
      <c r="U508" s="14"/>
    </row>
    <row r="509" spans="1:21" x14ac:dyDescent="0.2">
      <c r="A509" s="23" t="s">
        <v>1805</v>
      </c>
      <c r="I509" s="18" t="s">
        <v>949</v>
      </c>
      <c r="K509" s="18" t="s">
        <v>981</v>
      </c>
      <c r="L509" s="18" t="s">
        <v>1711</v>
      </c>
      <c r="Q509" s="24"/>
      <c r="R509" s="24"/>
      <c r="S509" s="24"/>
      <c r="T509" s="24"/>
      <c r="U509" s="14"/>
    </row>
    <row r="510" spans="1:21" x14ac:dyDescent="0.2">
      <c r="A510" s="23" t="s">
        <v>1804</v>
      </c>
      <c r="I510" s="18" t="s">
        <v>949</v>
      </c>
      <c r="K510" s="18" t="s">
        <v>981</v>
      </c>
      <c r="L510" s="18" t="s">
        <v>1674</v>
      </c>
      <c r="Q510" s="24"/>
      <c r="R510" s="24"/>
      <c r="S510" s="24"/>
      <c r="T510" s="24"/>
      <c r="U510" s="14"/>
    </row>
    <row r="511" spans="1:21" x14ac:dyDescent="0.2">
      <c r="A511" s="23" t="s">
        <v>1803</v>
      </c>
      <c r="I511" s="18" t="s">
        <v>949</v>
      </c>
      <c r="K511" s="18" t="s">
        <v>981</v>
      </c>
      <c r="L511" s="18" t="s">
        <v>1802</v>
      </c>
      <c r="Q511" s="24"/>
      <c r="R511" s="24"/>
      <c r="S511" s="24"/>
      <c r="T511" s="24"/>
      <c r="U511" s="14"/>
    </row>
    <row r="512" spans="1:21" x14ac:dyDescent="0.2">
      <c r="A512" s="23" t="s">
        <v>1801</v>
      </c>
      <c r="I512" s="18" t="s">
        <v>949</v>
      </c>
      <c r="K512" s="18" t="s">
        <v>981</v>
      </c>
      <c r="L512" s="18" t="s">
        <v>1631</v>
      </c>
      <c r="Q512" s="24"/>
      <c r="R512" s="24"/>
      <c r="S512" s="24"/>
      <c r="T512" s="24"/>
      <c r="U512" s="14"/>
    </row>
    <row r="513" spans="1:21" x14ac:dyDescent="0.2">
      <c r="A513" s="23" t="s">
        <v>1800</v>
      </c>
      <c r="I513" s="18" t="s">
        <v>949</v>
      </c>
      <c r="K513" s="18" t="s">
        <v>981</v>
      </c>
      <c r="L513" s="18" t="s">
        <v>1608</v>
      </c>
      <c r="Q513" s="24"/>
      <c r="R513" s="24"/>
      <c r="S513" s="24"/>
      <c r="T513" s="24"/>
      <c r="U513" s="14"/>
    </row>
    <row r="514" spans="1:21" x14ac:dyDescent="0.2">
      <c r="A514" s="23" t="s">
        <v>1799</v>
      </c>
      <c r="I514" s="18" t="s">
        <v>949</v>
      </c>
      <c r="K514" s="18" t="s">
        <v>981</v>
      </c>
      <c r="L514" s="18" t="s">
        <v>1599</v>
      </c>
      <c r="Q514" s="24"/>
      <c r="R514" s="24"/>
      <c r="S514" s="24"/>
      <c r="T514" s="24"/>
      <c r="U514" s="14"/>
    </row>
    <row r="515" spans="1:21" x14ac:dyDescent="0.2">
      <c r="A515" s="23" t="s">
        <v>1798</v>
      </c>
      <c r="I515" s="18" t="s">
        <v>949</v>
      </c>
      <c r="K515" s="18" t="s">
        <v>981</v>
      </c>
      <c r="L515" s="18" t="s">
        <v>1797</v>
      </c>
      <c r="Q515" s="24"/>
      <c r="R515" s="24"/>
      <c r="S515" s="24"/>
      <c r="T515" s="24"/>
      <c r="U515" s="14"/>
    </row>
    <row r="516" spans="1:21" x14ac:dyDescent="0.2">
      <c r="A516" s="23" t="s">
        <v>1796</v>
      </c>
      <c r="I516" s="18" t="s">
        <v>949</v>
      </c>
      <c r="K516" s="18" t="s">
        <v>981</v>
      </c>
      <c r="L516" s="18" t="s">
        <v>1795</v>
      </c>
      <c r="Q516" s="24"/>
      <c r="R516" s="24"/>
      <c r="S516" s="24"/>
      <c r="T516" s="24"/>
      <c r="U516" s="14"/>
    </row>
    <row r="517" spans="1:21" x14ac:dyDescent="0.2">
      <c r="A517" s="23" t="s">
        <v>1794</v>
      </c>
      <c r="I517" s="18" t="s">
        <v>949</v>
      </c>
      <c r="K517" s="18" t="s">
        <v>981</v>
      </c>
      <c r="L517" s="18" t="s">
        <v>1793</v>
      </c>
      <c r="Q517" s="24"/>
      <c r="R517" s="24"/>
      <c r="S517" s="24"/>
      <c r="T517" s="24"/>
      <c r="U517" s="14"/>
    </row>
    <row r="518" spans="1:21" x14ac:dyDescent="0.2">
      <c r="A518" s="23" t="s">
        <v>1792</v>
      </c>
      <c r="I518" s="18" t="s">
        <v>949</v>
      </c>
      <c r="K518" s="18" t="s">
        <v>981</v>
      </c>
      <c r="L518" s="18" t="s">
        <v>1791</v>
      </c>
      <c r="Q518" s="24"/>
      <c r="R518" s="24"/>
      <c r="S518" s="24"/>
      <c r="T518" s="24"/>
      <c r="U518" s="14"/>
    </row>
    <row r="519" spans="1:21" x14ac:dyDescent="0.2">
      <c r="A519" s="23" t="s">
        <v>1790</v>
      </c>
      <c r="I519" s="18" t="s">
        <v>949</v>
      </c>
      <c r="K519" s="18" t="s">
        <v>981</v>
      </c>
      <c r="L519" s="18" t="s">
        <v>1789</v>
      </c>
      <c r="Q519" s="24"/>
      <c r="R519" s="24"/>
      <c r="S519" s="24"/>
      <c r="T519" s="24"/>
      <c r="U519" s="14"/>
    </row>
    <row r="520" spans="1:21" x14ac:dyDescent="0.2">
      <c r="A520" s="23" t="s">
        <v>1788</v>
      </c>
      <c r="I520" s="18" t="s">
        <v>949</v>
      </c>
      <c r="K520" s="18" t="s">
        <v>981</v>
      </c>
      <c r="L520" s="18" t="s">
        <v>1787</v>
      </c>
      <c r="Q520" s="24"/>
      <c r="R520" s="24"/>
      <c r="S520" s="24"/>
      <c r="T520" s="24"/>
      <c r="U520" s="14"/>
    </row>
    <row r="521" spans="1:21" x14ac:dyDescent="0.2">
      <c r="A521" s="23" t="s">
        <v>1786</v>
      </c>
      <c r="I521" s="18" t="s">
        <v>949</v>
      </c>
      <c r="K521" s="18" t="s">
        <v>1040</v>
      </c>
      <c r="L521" s="18" t="s">
        <v>1785</v>
      </c>
      <c r="Q521" s="24"/>
      <c r="R521" s="24"/>
      <c r="S521" s="24"/>
      <c r="T521" s="24"/>
      <c r="U521" s="14"/>
    </row>
    <row r="522" spans="1:21" x14ac:dyDescent="0.2">
      <c r="A522" s="23" t="s">
        <v>1784</v>
      </c>
      <c r="I522" s="18" t="s">
        <v>949</v>
      </c>
      <c r="K522" s="18" t="s">
        <v>981</v>
      </c>
      <c r="L522" s="18" t="s">
        <v>1783</v>
      </c>
      <c r="Q522" s="24"/>
      <c r="R522" s="24"/>
      <c r="S522" s="24"/>
      <c r="T522" s="24"/>
      <c r="U522" s="14"/>
    </row>
    <row r="523" spans="1:21" x14ac:dyDescent="0.2">
      <c r="A523" s="23" t="s">
        <v>1782</v>
      </c>
      <c r="I523" s="18" t="s">
        <v>949</v>
      </c>
      <c r="K523" s="18" t="s">
        <v>981</v>
      </c>
      <c r="L523" s="18" t="s">
        <v>1781</v>
      </c>
      <c r="Q523" s="24"/>
      <c r="R523" s="24"/>
      <c r="S523" s="24"/>
      <c r="T523" s="24"/>
      <c r="U523" s="14"/>
    </row>
    <row r="524" spans="1:21" x14ac:dyDescent="0.2">
      <c r="A524" s="23" t="s">
        <v>1780</v>
      </c>
      <c r="I524" s="18" t="s">
        <v>949</v>
      </c>
      <c r="K524" s="18" t="s">
        <v>981</v>
      </c>
      <c r="L524" s="18" t="s">
        <v>1779</v>
      </c>
      <c r="Q524" s="24"/>
      <c r="R524" s="24"/>
      <c r="S524" s="24"/>
      <c r="T524" s="24"/>
      <c r="U524" s="14"/>
    </row>
    <row r="525" spans="1:21" x14ac:dyDescent="0.2">
      <c r="A525" s="23" t="s">
        <v>1778</v>
      </c>
      <c r="I525" s="18" t="s">
        <v>949</v>
      </c>
      <c r="K525" s="18" t="s">
        <v>981</v>
      </c>
      <c r="L525" s="18" t="s">
        <v>1777</v>
      </c>
      <c r="Q525" s="24"/>
      <c r="R525" s="24"/>
      <c r="S525" s="24"/>
      <c r="T525" s="24"/>
      <c r="U525" s="14"/>
    </row>
    <row r="526" spans="1:21" x14ac:dyDescent="0.2">
      <c r="A526" s="23" t="s">
        <v>1776</v>
      </c>
      <c r="I526" s="18" t="s">
        <v>949</v>
      </c>
      <c r="K526" s="18" t="s">
        <v>981</v>
      </c>
      <c r="L526" s="18" t="s">
        <v>1688</v>
      </c>
      <c r="Q526" s="24"/>
      <c r="R526" s="24"/>
      <c r="S526" s="24"/>
      <c r="T526" s="24"/>
      <c r="U526" s="14"/>
    </row>
    <row r="527" spans="1:21" x14ac:dyDescent="0.2">
      <c r="A527" s="23" t="s">
        <v>1775</v>
      </c>
      <c r="I527" s="18" t="s">
        <v>949</v>
      </c>
      <c r="K527" s="18" t="s">
        <v>981</v>
      </c>
      <c r="L527" s="18" t="s">
        <v>1774</v>
      </c>
      <c r="Q527" s="24"/>
      <c r="R527" s="24"/>
      <c r="S527" s="24"/>
      <c r="T527" s="24"/>
      <c r="U527" s="14"/>
    </row>
    <row r="528" spans="1:21" x14ac:dyDescent="0.2">
      <c r="A528" s="23" t="s">
        <v>1773</v>
      </c>
      <c r="I528" s="18" t="s">
        <v>949</v>
      </c>
      <c r="K528" s="18" t="s">
        <v>981</v>
      </c>
      <c r="L528" s="18" t="s">
        <v>1772</v>
      </c>
      <c r="Q528" s="24"/>
      <c r="R528" s="24"/>
      <c r="S528" s="24"/>
      <c r="T528" s="24"/>
      <c r="U528" s="14"/>
    </row>
    <row r="529" spans="1:21" x14ac:dyDescent="0.2">
      <c r="A529" s="23" t="s">
        <v>1771</v>
      </c>
      <c r="I529" s="18" t="s">
        <v>949</v>
      </c>
      <c r="K529" s="18" t="s">
        <v>1040</v>
      </c>
      <c r="L529" s="18" t="s">
        <v>1715</v>
      </c>
      <c r="Q529" s="24"/>
      <c r="R529" s="24"/>
      <c r="S529" s="24"/>
      <c r="T529" s="24"/>
      <c r="U529" s="14"/>
    </row>
    <row r="530" spans="1:21" x14ac:dyDescent="0.2">
      <c r="A530" s="23" t="s">
        <v>1770</v>
      </c>
      <c r="I530" s="18" t="s">
        <v>949</v>
      </c>
      <c r="K530" s="18" t="s">
        <v>981</v>
      </c>
      <c r="L530" s="18" t="s">
        <v>1769</v>
      </c>
      <c r="Q530" s="24"/>
      <c r="R530" s="24"/>
      <c r="S530" s="24"/>
      <c r="T530" s="24"/>
      <c r="U530" s="14"/>
    </row>
    <row r="531" spans="1:21" x14ac:dyDescent="0.2">
      <c r="A531" s="23" t="s">
        <v>1768</v>
      </c>
      <c r="I531" s="18" t="s">
        <v>949</v>
      </c>
      <c r="K531" s="18" t="s">
        <v>981</v>
      </c>
      <c r="L531" s="18" t="s">
        <v>1767</v>
      </c>
      <c r="Q531" s="24"/>
      <c r="R531" s="24"/>
      <c r="S531" s="24"/>
      <c r="T531" s="24"/>
      <c r="U531" s="14"/>
    </row>
    <row r="532" spans="1:21" x14ac:dyDescent="0.2">
      <c r="A532" s="23" t="s">
        <v>1766</v>
      </c>
      <c r="I532" s="18" t="s">
        <v>949</v>
      </c>
      <c r="K532" s="18" t="s">
        <v>981</v>
      </c>
      <c r="L532" s="18" t="s">
        <v>1765</v>
      </c>
      <c r="Q532" s="24"/>
      <c r="R532" s="24"/>
      <c r="S532" s="24"/>
      <c r="T532" s="24"/>
      <c r="U532" s="14"/>
    </row>
    <row r="533" spans="1:21" x14ac:dyDescent="0.2">
      <c r="A533" s="23" t="s">
        <v>1764</v>
      </c>
      <c r="I533" s="18" t="s">
        <v>949</v>
      </c>
      <c r="K533" s="18" t="s">
        <v>981</v>
      </c>
      <c r="L533" s="18" t="s">
        <v>1763</v>
      </c>
      <c r="Q533" s="24"/>
      <c r="R533" s="24"/>
      <c r="S533" s="24"/>
      <c r="T533" s="24"/>
      <c r="U533" s="14"/>
    </row>
    <row r="534" spans="1:21" x14ac:dyDescent="0.2">
      <c r="A534" s="23" t="s">
        <v>1762</v>
      </c>
      <c r="I534" s="18" t="s">
        <v>949</v>
      </c>
      <c r="K534" s="18" t="s">
        <v>981</v>
      </c>
      <c r="L534" s="18" t="s">
        <v>1761</v>
      </c>
      <c r="Q534" s="24"/>
      <c r="R534" s="24"/>
      <c r="S534" s="24"/>
      <c r="T534" s="24"/>
      <c r="U534" s="14"/>
    </row>
    <row r="535" spans="1:21" x14ac:dyDescent="0.2">
      <c r="A535" s="23" t="s">
        <v>1760</v>
      </c>
      <c r="I535" s="18" t="s">
        <v>949</v>
      </c>
      <c r="K535" s="18" t="s">
        <v>981</v>
      </c>
      <c r="L535" s="18" t="s">
        <v>1592</v>
      </c>
      <c r="Q535" s="24"/>
      <c r="R535" s="24"/>
      <c r="S535" s="24"/>
      <c r="T535" s="24"/>
      <c r="U535" s="14"/>
    </row>
    <row r="536" spans="1:21" x14ac:dyDescent="0.2">
      <c r="A536" s="23" t="s">
        <v>1759</v>
      </c>
      <c r="I536" s="18" t="s">
        <v>949</v>
      </c>
      <c r="K536" s="18" t="s">
        <v>981</v>
      </c>
      <c r="L536" s="18" t="s">
        <v>1602</v>
      </c>
      <c r="Q536" s="24"/>
      <c r="R536" s="24"/>
      <c r="S536" s="24"/>
      <c r="T536" s="24"/>
      <c r="U536" s="14"/>
    </row>
    <row r="537" spans="1:21" x14ac:dyDescent="0.2">
      <c r="A537" s="23" t="s">
        <v>1758</v>
      </c>
      <c r="I537" s="18" t="s">
        <v>949</v>
      </c>
      <c r="K537" s="18" t="s">
        <v>981</v>
      </c>
      <c r="L537" s="18" t="s">
        <v>1757</v>
      </c>
      <c r="Q537" s="24"/>
      <c r="R537" s="24"/>
      <c r="S537" s="24"/>
      <c r="T537" s="24"/>
      <c r="U537" s="14"/>
    </row>
    <row r="538" spans="1:21" x14ac:dyDescent="0.2">
      <c r="A538" s="23" t="s">
        <v>1756</v>
      </c>
      <c r="I538" s="18" t="s">
        <v>1587</v>
      </c>
      <c r="K538" s="18" t="s">
        <v>981</v>
      </c>
      <c r="L538" s="18" t="s">
        <v>1755</v>
      </c>
      <c r="Q538" s="24"/>
      <c r="R538" s="24"/>
      <c r="S538" s="24"/>
      <c r="T538" s="24"/>
      <c r="U538" s="14"/>
    </row>
    <row r="539" spans="1:21" x14ac:dyDescent="0.2">
      <c r="A539" s="23" t="s">
        <v>1754</v>
      </c>
      <c r="I539" s="18" t="s">
        <v>949</v>
      </c>
      <c r="K539" s="18" t="s">
        <v>981</v>
      </c>
      <c r="L539" s="18" t="s">
        <v>1753</v>
      </c>
      <c r="Q539" s="24"/>
      <c r="R539" s="24"/>
      <c r="S539" s="24"/>
      <c r="T539" s="24"/>
      <c r="U539" s="14"/>
    </row>
    <row r="540" spans="1:21" x14ac:dyDescent="0.2">
      <c r="A540" s="23" t="s">
        <v>1752</v>
      </c>
      <c r="I540" s="18" t="s">
        <v>949</v>
      </c>
      <c r="K540" s="18" t="s">
        <v>981</v>
      </c>
      <c r="L540" s="18" t="s">
        <v>1751</v>
      </c>
      <c r="Q540" s="24"/>
      <c r="R540" s="24"/>
      <c r="S540" s="24"/>
      <c r="T540" s="24"/>
      <c r="U540" s="14"/>
    </row>
    <row r="541" spans="1:21" x14ac:dyDescent="0.2">
      <c r="A541" s="23" t="s">
        <v>1750</v>
      </c>
      <c r="I541" s="18" t="s">
        <v>949</v>
      </c>
      <c r="K541" s="18" t="s">
        <v>981</v>
      </c>
      <c r="L541" s="18" t="s">
        <v>1749</v>
      </c>
      <c r="Q541" s="24"/>
      <c r="R541" s="24"/>
      <c r="S541" s="24"/>
      <c r="T541" s="24"/>
      <c r="U541" s="14"/>
    </row>
    <row r="542" spans="1:21" x14ac:dyDescent="0.2">
      <c r="A542" s="23" t="s">
        <v>1748</v>
      </c>
      <c r="I542" s="18" t="s">
        <v>949</v>
      </c>
      <c r="K542" s="18" t="s">
        <v>981</v>
      </c>
      <c r="L542" s="18" t="s">
        <v>1304</v>
      </c>
      <c r="Q542" s="24"/>
      <c r="R542" s="24"/>
      <c r="S542" s="24"/>
      <c r="T542" s="24"/>
      <c r="U542" s="14"/>
    </row>
    <row r="543" spans="1:21" x14ac:dyDescent="0.2">
      <c r="A543" s="23" t="s">
        <v>1747</v>
      </c>
      <c r="I543" s="18" t="s">
        <v>949</v>
      </c>
      <c r="K543" s="18" t="s">
        <v>1040</v>
      </c>
      <c r="L543" s="18" t="s">
        <v>1730</v>
      </c>
      <c r="Q543" s="24"/>
      <c r="R543" s="24"/>
      <c r="S543" s="24"/>
      <c r="T543" s="24"/>
      <c r="U543" s="14"/>
    </row>
    <row r="544" spans="1:21" x14ac:dyDescent="0.2">
      <c r="A544" s="23" t="s">
        <v>1746</v>
      </c>
      <c r="I544" s="18" t="s">
        <v>949</v>
      </c>
      <c r="K544" s="18" t="s">
        <v>981</v>
      </c>
      <c r="L544" s="18" t="s">
        <v>1745</v>
      </c>
      <c r="Q544" s="24"/>
      <c r="R544" s="24"/>
      <c r="S544" s="24"/>
      <c r="T544" s="24"/>
      <c r="U544" s="14"/>
    </row>
    <row r="545" spans="1:21" x14ac:dyDescent="0.2">
      <c r="A545" s="23" t="s">
        <v>1744</v>
      </c>
      <c r="I545" s="18" t="s">
        <v>949</v>
      </c>
      <c r="K545" s="18" t="s">
        <v>981</v>
      </c>
      <c r="L545" s="18" t="s">
        <v>1743</v>
      </c>
      <c r="Q545" s="24"/>
      <c r="R545" s="24"/>
      <c r="S545" s="24"/>
      <c r="T545" s="24"/>
      <c r="U545" s="14"/>
    </row>
    <row r="546" spans="1:21" x14ac:dyDescent="0.2">
      <c r="A546" s="23" t="s">
        <v>1742</v>
      </c>
      <c r="I546" s="18" t="s">
        <v>949</v>
      </c>
      <c r="K546" s="18" t="s">
        <v>981</v>
      </c>
      <c r="L546" s="18" t="s">
        <v>1741</v>
      </c>
      <c r="Q546" s="24"/>
      <c r="R546" s="24"/>
      <c r="S546" s="24"/>
      <c r="T546" s="24"/>
      <c r="U546" s="14"/>
    </row>
    <row r="547" spans="1:21" x14ac:dyDescent="0.2">
      <c r="A547" s="23" t="s">
        <v>1740</v>
      </c>
      <c r="I547" s="18" t="s">
        <v>949</v>
      </c>
      <c r="K547" s="18" t="s">
        <v>981</v>
      </c>
      <c r="L547" s="18" t="s">
        <v>1739</v>
      </c>
      <c r="Q547" s="24"/>
      <c r="R547" s="24"/>
      <c r="S547" s="24"/>
      <c r="T547" s="24"/>
      <c r="U547" s="14"/>
    </row>
    <row r="548" spans="1:21" x14ac:dyDescent="0.2">
      <c r="A548" s="23" t="s">
        <v>1738</v>
      </c>
      <c r="I548" s="18" t="s">
        <v>949</v>
      </c>
      <c r="K548" s="18" t="s">
        <v>981</v>
      </c>
      <c r="L548" s="18" t="s">
        <v>1737</v>
      </c>
      <c r="Q548" s="24"/>
      <c r="R548" s="24"/>
      <c r="S548" s="24"/>
      <c r="T548" s="24"/>
      <c r="U548" s="14"/>
    </row>
    <row r="549" spans="1:21" x14ac:dyDescent="0.2">
      <c r="A549" s="23" t="s">
        <v>1736</v>
      </c>
      <c r="I549" s="18" t="s">
        <v>1587</v>
      </c>
      <c r="K549" s="18" t="s">
        <v>981</v>
      </c>
      <c r="L549" s="18" t="s">
        <v>1701</v>
      </c>
      <c r="Q549" s="24"/>
      <c r="R549" s="24"/>
      <c r="S549" s="24"/>
      <c r="T549" s="24"/>
      <c r="U549" s="14"/>
    </row>
    <row r="550" spans="1:21" x14ac:dyDescent="0.2">
      <c r="A550" s="23" t="s">
        <v>1735</v>
      </c>
      <c r="I550" s="18" t="s">
        <v>949</v>
      </c>
      <c r="K550" s="18" t="s">
        <v>981</v>
      </c>
      <c r="L550" s="18" t="s">
        <v>1734</v>
      </c>
      <c r="Q550" s="24"/>
      <c r="R550" s="24"/>
      <c r="S550" s="24"/>
      <c r="T550" s="24"/>
      <c r="U550" s="14"/>
    </row>
    <row r="551" spans="1:21" x14ac:dyDescent="0.2">
      <c r="A551" s="23" t="s">
        <v>1733</v>
      </c>
      <c r="I551" s="18" t="s">
        <v>949</v>
      </c>
      <c r="K551" s="18" t="s">
        <v>981</v>
      </c>
      <c r="L551" s="18" t="s">
        <v>1732</v>
      </c>
      <c r="Q551" s="24"/>
      <c r="R551" s="24"/>
      <c r="S551" s="24"/>
      <c r="T551" s="24"/>
      <c r="U551" s="14"/>
    </row>
    <row r="552" spans="1:21" x14ac:dyDescent="0.2">
      <c r="A552" s="23" t="s">
        <v>1731</v>
      </c>
      <c r="I552" s="18" t="s">
        <v>949</v>
      </c>
      <c r="K552" s="18" t="s">
        <v>1040</v>
      </c>
      <c r="L552" s="18" t="s">
        <v>1730</v>
      </c>
      <c r="Q552" s="24"/>
      <c r="R552" s="24"/>
      <c r="S552" s="24"/>
      <c r="T552" s="24"/>
      <c r="U552" s="14"/>
    </row>
    <row r="553" spans="1:21" x14ac:dyDescent="0.2">
      <c r="A553" s="23" t="s">
        <v>1729</v>
      </c>
      <c r="I553" s="18" t="s">
        <v>949</v>
      </c>
      <c r="K553" s="18" t="s">
        <v>981</v>
      </c>
      <c r="L553" s="18" t="s">
        <v>1728</v>
      </c>
      <c r="Q553" s="24"/>
      <c r="R553" s="24"/>
      <c r="S553" s="24"/>
      <c r="T553" s="24"/>
      <c r="U553" s="14"/>
    </row>
    <row r="554" spans="1:21" x14ac:dyDescent="0.2">
      <c r="A554" s="23" t="s">
        <v>1727</v>
      </c>
      <c r="I554" s="18" t="s">
        <v>1587</v>
      </c>
      <c r="K554" s="18" t="s">
        <v>981</v>
      </c>
      <c r="L554" s="18" t="s">
        <v>1726</v>
      </c>
      <c r="Q554" s="24"/>
      <c r="R554" s="24"/>
      <c r="S554" s="24"/>
      <c r="T554" s="24"/>
      <c r="U554" s="14"/>
    </row>
    <row r="555" spans="1:21" x14ac:dyDescent="0.2">
      <c r="A555" s="23" t="s">
        <v>1725</v>
      </c>
      <c r="I555" s="18" t="s">
        <v>949</v>
      </c>
      <c r="K555" s="18" t="s">
        <v>1040</v>
      </c>
      <c r="L555" s="18" t="s">
        <v>1724</v>
      </c>
      <c r="Q555" s="24"/>
      <c r="R555" s="24"/>
      <c r="S555" s="24"/>
      <c r="T555" s="24"/>
      <c r="U555" s="14"/>
    </row>
    <row r="556" spans="1:21" x14ac:dyDescent="0.2">
      <c r="A556" s="23" t="s">
        <v>1723</v>
      </c>
      <c r="I556" s="18" t="s">
        <v>949</v>
      </c>
      <c r="K556" s="18" t="s">
        <v>981</v>
      </c>
      <c r="L556" s="18" t="s">
        <v>1115</v>
      </c>
      <c r="Q556" s="24"/>
      <c r="R556" s="24"/>
      <c r="S556" s="24"/>
      <c r="T556" s="24"/>
      <c r="U556" s="14"/>
    </row>
    <row r="557" spans="1:21" x14ac:dyDescent="0.2">
      <c r="A557" s="23" t="s">
        <v>1722</v>
      </c>
      <c r="I557" s="18" t="s">
        <v>949</v>
      </c>
      <c r="K557" s="18" t="s">
        <v>981</v>
      </c>
      <c r="L557" s="18" t="s">
        <v>1721</v>
      </c>
      <c r="Q557" s="24"/>
      <c r="R557" s="24"/>
      <c r="S557" s="24"/>
      <c r="T557" s="24"/>
      <c r="U557" s="14"/>
    </row>
    <row r="558" spans="1:21" x14ac:dyDescent="0.2">
      <c r="A558" s="23" t="s">
        <v>1720</v>
      </c>
      <c r="I558" s="18" t="s">
        <v>949</v>
      </c>
      <c r="K558" s="18" t="s">
        <v>981</v>
      </c>
      <c r="L558" s="18" t="s">
        <v>1719</v>
      </c>
      <c r="Q558" s="24"/>
      <c r="R558" s="24"/>
      <c r="S558" s="24"/>
      <c r="T558" s="24"/>
      <c r="U558" s="14"/>
    </row>
    <row r="559" spans="1:21" x14ac:dyDescent="0.2">
      <c r="A559" s="23" t="s">
        <v>1718</v>
      </c>
      <c r="I559" s="18" t="s">
        <v>1587</v>
      </c>
      <c r="K559" s="18" t="s">
        <v>981</v>
      </c>
      <c r="L559" s="18" t="s">
        <v>1717</v>
      </c>
      <c r="Q559" s="24"/>
      <c r="R559" s="24"/>
      <c r="S559" s="24"/>
      <c r="T559" s="24"/>
      <c r="U559" s="14"/>
    </row>
    <row r="560" spans="1:21" x14ac:dyDescent="0.2">
      <c r="A560" s="23" t="s">
        <v>1716</v>
      </c>
      <c r="I560" s="18" t="s">
        <v>949</v>
      </c>
      <c r="K560" s="18" t="s">
        <v>1040</v>
      </c>
      <c r="L560" s="18" t="s">
        <v>1715</v>
      </c>
      <c r="Q560" s="24"/>
      <c r="R560" s="24"/>
      <c r="S560" s="24"/>
      <c r="T560" s="24"/>
      <c r="U560" s="14"/>
    </row>
    <row r="561" spans="1:21" x14ac:dyDescent="0.2">
      <c r="A561" s="23" t="s">
        <v>1714</v>
      </c>
      <c r="I561" s="18" t="s">
        <v>949</v>
      </c>
      <c r="K561" s="18" t="s">
        <v>981</v>
      </c>
      <c r="L561" s="18" t="s">
        <v>1713</v>
      </c>
      <c r="Q561" s="24"/>
      <c r="R561" s="24"/>
      <c r="S561" s="24"/>
      <c r="T561" s="24"/>
      <c r="U561" s="14"/>
    </row>
    <row r="562" spans="1:21" x14ac:dyDescent="0.2">
      <c r="A562" s="23" t="s">
        <v>1712</v>
      </c>
      <c r="I562" s="18" t="s">
        <v>949</v>
      </c>
      <c r="K562" s="18" t="s">
        <v>981</v>
      </c>
      <c r="L562" s="18" t="s">
        <v>1711</v>
      </c>
      <c r="Q562" s="24"/>
      <c r="R562" s="24"/>
      <c r="S562" s="24"/>
      <c r="T562" s="24"/>
      <c r="U562" s="14"/>
    </row>
    <row r="563" spans="1:21" x14ac:dyDescent="0.2">
      <c r="A563" s="23" t="s">
        <v>1710</v>
      </c>
      <c r="I563" s="18" t="s">
        <v>949</v>
      </c>
      <c r="K563" s="18" t="s">
        <v>981</v>
      </c>
      <c r="L563" s="18" t="s">
        <v>1709</v>
      </c>
      <c r="Q563" s="24"/>
      <c r="R563" s="24"/>
      <c r="S563" s="24"/>
      <c r="T563" s="24"/>
      <c r="U563" s="14"/>
    </row>
    <row r="564" spans="1:21" x14ac:dyDescent="0.2">
      <c r="A564" s="23" t="s">
        <v>1708</v>
      </c>
      <c r="I564" s="18" t="s">
        <v>949</v>
      </c>
      <c r="K564" s="18" t="s">
        <v>981</v>
      </c>
      <c r="L564" s="18" t="s">
        <v>1707</v>
      </c>
      <c r="Q564" s="24"/>
      <c r="R564" s="24"/>
      <c r="S564" s="24"/>
      <c r="T564" s="24"/>
      <c r="U564" s="14"/>
    </row>
    <row r="565" spans="1:21" x14ac:dyDescent="0.2">
      <c r="A565" s="23" t="s">
        <v>1706</v>
      </c>
      <c r="I565" s="18" t="s">
        <v>949</v>
      </c>
      <c r="K565" s="18" t="s">
        <v>981</v>
      </c>
      <c r="L565" s="18" t="s">
        <v>1705</v>
      </c>
      <c r="Q565" s="24"/>
      <c r="R565" s="24"/>
      <c r="S565" s="24"/>
      <c r="T565" s="24"/>
      <c r="U565" s="14"/>
    </row>
    <row r="566" spans="1:21" x14ac:dyDescent="0.2">
      <c r="A566" s="23" t="s">
        <v>1704</v>
      </c>
      <c r="I566" s="18" t="s">
        <v>949</v>
      </c>
      <c r="K566" s="18" t="s">
        <v>981</v>
      </c>
      <c r="L566" s="18" t="s">
        <v>1703</v>
      </c>
      <c r="Q566" s="24"/>
      <c r="R566" s="24"/>
      <c r="S566" s="24"/>
      <c r="T566" s="24"/>
      <c r="U566" s="14"/>
    </row>
    <row r="567" spans="1:21" x14ac:dyDescent="0.2">
      <c r="A567" s="23" t="s">
        <v>1702</v>
      </c>
      <c r="I567" s="18" t="s">
        <v>949</v>
      </c>
      <c r="K567" s="18" t="s">
        <v>981</v>
      </c>
      <c r="L567" s="18" t="s">
        <v>1701</v>
      </c>
      <c r="Q567" s="24"/>
      <c r="R567" s="24"/>
      <c r="S567" s="24"/>
      <c r="T567" s="24"/>
      <c r="U567" s="14"/>
    </row>
    <row r="568" spans="1:21" x14ac:dyDescent="0.2">
      <c r="A568" s="23" t="s">
        <v>1700</v>
      </c>
      <c r="I568" s="18" t="s">
        <v>1587</v>
      </c>
      <c r="K568" s="18" t="s">
        <v>981</v>
      </c>
      <c r="L568" s="18" t="s">
        <v>1224</v>
      </c>
      <c r="Q568" s="24"/>
      <c r="R568" s="24"/>
      <c r="S568" s="24"/>
      <c r="T568" s="24"/>
      <c r="U568" s="14"/>
    </row>
    <row r="569" spans="1:21" x14ac:dyDescent="0.2">
      <c r="A569" s="23" t="s">
        <v>1699</v>
      </c>
      <c r="I569" s="18" t="s">
        <v>949</v>
      </c>
      <c r="K569" s="18" t="s">
        <v>1040</v>
      </c>
      <c r="L569" s="18" t="s">
        <v>1698</v>
      </c>
      <c r="Q569" s="24"/>
      <c r="R569" s="24"/>
      <c r="S569" s="24"/>
      <c r="T569" s="24"/>
      <c r="U569" s="14"/>
    </row>
    <row r="570" spans="1:21" x14ac:dyDescent="0.2">
      <c r="A570" s="23" t="s">
        <v>1697</v>
      </c>
      <c r="I570" s="18" t="s">
        <v>949</v>
      </c>
      <c r="K570" s="18" t="s">
        <v>981</v>
      </c>
      <c r="L570" s="18" t="s">
        <v>1696</v>
      </c>
      <c r="Q570" s="24"/>
      <c r="R570" s="24"/>
      <c r="S570" s="24"/>
      <c r="T570" s="24"/>
      <c r="U570" s="14"/>
    </row>
    <row r="571" spans="1:21" x14ac:dyDescent="0.2">
      <c r="A571" s="23" t="s">
        <v>1695</v>
      </c>
      <c r="I571" s="18" t="s">
        <v>949</v>
      </c>
      <c r="K571" s="18" t="s">
        <v>981</v>
      </c>
      <c r="L571" s="18" t="s">
        <v>1694</v>
      </c>
      <c r="Q571" s="24"/>
      <c r="R571" s="24"/>
      <c r="S571" s="24"/>
      <c r="T571" s="24"/>
      <c r="U571" s="14"/>
    </row>
    <row r="572" spans="1:21" x14ac:dyDescent="0.2">
      <c r="A572" s="23" t="s">
        <v>1693</v>
      </c>
      <c r="I572" s="18" t="s">
        <v>949</v>
      </c>
      <c r="K572" s="18" t="s">
        <v>981</v>
      </c>
      <c r="L572" s="18" t="s">
        <v>1692</v>
      </c>
      <c r="Q572" s="24"/>
      <c r="R572" s="24"/>
      <c r="S572" s="24"/>
      <c r="T572" s="24"/>
      <c r="U572" s="14"/>
    </row>
    <row r="573" spans="1:21" x14ac:dyDescent="0.2">
      <c r="A573" s="23" t="s">
        <v>1691</v>
      </c>
      <c r="I573" s="18" t="s">
        <v>949</v>
      </c>
      <c r="K573" s="18" t="s">
        <v>1040</v>
      </c>
      <c r="L573" s="18" t="s">
        <v>1690</v>
      </c>
      <c r="Q573" s="24"/>
      <c r="R573" s="24"/>
      <c r="S573" s="24"/>
      <c r="T573" s="24"/>
      <c r="U573" s="14"/>
    </row>
    <row r="574" spans="1:21" x14ac:dyDescent="0.2">
      <c r="A574" s="23" t="s">
        <v>1689</v>
      </c>
      <c r="I574" s="18" t="s">
        <v>949</v>
      </c>
      <c r="K574" s="18" t="s">
        <v>981</v>
      </c>
      <c r="L574" s="18" t="s">
        <v>1688</v>
      </c>
      <c r="Q574" s="24"/>
      <c r="R574" s="24"/>
      <c r="S574" s="24"/>
      <c r="T574" s="24"/>
      <c r="U574" s="14"/>
    </row>
    <row r="575" spans="1:21" x14ac:dyDescent="0.2">
      <c r="A575" s="23" t="s">
        <v>1687</v>
      </c>
      <c r="I575" s="18" t="s">
        <v>949</v>
      </c>
      <c r="K575" s="18" t="s">
        <v>981</v>
      </c>
      <c r="L575" s="18" t="s">
        <v>1686</v>
      </c>
      <c r="Q575" s="24"/>
      <c r="R575" s="24"/>
      <c r="S575" s="24"/>
      <c r="T575" s="24"/>
      <c r="U575" s="14"/>
    </row>
    <row r="576" spans="1:21" x14ac:dyDescent="0.2">
      <c r="A576" s="23" t="s">
        <v>1685</v>
      </c>
      <c r="I576" s="18" t="s">
        <v>949</v>
      </c>
      <c r="K576" s="18" t="s">
        <v>981</v>
      </c>
      <c r="L576" s="18" t="s">
        <v>1684</v>
      </c>
      <c r="Q576" s="24"/>
      <c r="R576" s="24"/>
      <c r="S576" s="24"/>
      <c r="T576" s="24"/>
      <c r="U576" s="14"/>
    </row>
    <row r="577" spans="1:21" x14ac:dyDescent="0.2">
      <c r="A577" s="23" t="s">
        <v>1683</v>
      </c>
      <c r="I577" s="18" t="s">
        <v>949</v>
      </c>
      <c r="K577" s="18" t="s">
        <v>981</v>
      </c>
      <c r="L577" s="18" t="s">
        <v>1682</v>
      </c>
      <c r="Q577" s="24"/>
      <c r="R577" s="24"/>
      <c r="S577" s="24"/>
      <c r="T577" s="24"/>
      <c r="U577" s="14"/>
    </row>
    <row r="578" spans="1:21" x14ac:dyDescent="0.2">
      <c r="A578" s="23" t="s">
        <v>1681</v>
      </c>
      <c r="I578" s="18" t="s">
        <v>949</v>
      </c>
      <c r="K578" s="18" t="s">
        <v>981</v>
      </c>
      <c r="L578" s="18" t="s">
        <v>1615</v>
      </c>
      <c r="Q578" s="24"/>
      <c r="R578" s="24"/>
      <c r="S578" s="24"/>
      <c r="T578" s="24"/>
      <c r="U578" s="14"/>
    </row>
    <row r="579" spans="1:21" x14ac:dyDescent="0.2">
      <c r="A579" s="23" t="s">
        <v>1680</v>
      </c>
      <c r="I579" s="18" t="s">
        <v>949</v>
      </c>
      <c r="K579" s="18" t="s">
        <v>981</v>
      </c>
      <c r="L579" s="18" t="s">
        <v>1592</v>
      </c>
      <c r="Q579" s="24"/>
      <c r="R579" s="24"/>
      <c r="S579" s="24"/>
      <c r="T579" s="24"/>
      <c r="U579" s="14"/>
    </row>
    <row r="580" spans="1:21" x14ac:dyDescent="0.2">
      <c r="A580" s="23" t="s">
        <v>1679</v>
      </c>
      <c r="I580" s="18" t="s">
        <v>1587</v>
      </c>
      <c r="K580" s="18" t="s">
        <v>981</v>
      </c>
      <c r="L580" s="18" t="s">
        <v>1678</v>
      </c>
      <c r="Q580" s="24"/>
      <c r="R580" s="24"/>
      <c r="S580" s="24"/>
      <c r="T580" s="24"/>
      <c r="U580" s="14"/>
    </row>
    <row r="581" spans="1:21" x14ac:dyDescent="0.2">
      <c r="A581" s="23" t="s">
        <v>1677</v>
      </c>
      <c r="I581" s="18" t="s">
        <v>949</v>
      </c>
      <c r="K581" s="18" t="s">
        <v>981</v>
      </c>
      <c r="L581" s="18" t="s">
        <v>1676</v>
      </c>
      <c r="Q581" s="24"/>
      <c r="R581" s="24"/>
      <c r="S581" s="24"/>
      <c r="T581" s="24"/>
      <c r="U581" s="14"/>
    </row>
    <row r="582" spans="1:21" x14ac:dyDescent="0.2">
      <c r="A582" s="23" t="s">
        <v>1675</v>
      </c>
      <c r="I582" s="18" t="s">
        <v>1587</v>
      </c>
      <c r="K582" s="18" t="s">
        <v>981</v>
      </c>
      <c r="L582" s="18" t="s">
        <v>1674</v>
      </c>
      <c r="Q582" s="24"/>
      <c r="R582" s="24"/>
      <c r="S582" s="24"/>
      <c r="T582" s="24"/>
      <c r="U582" s="14"/>
    </row>
    <row r="583" spans="1:21" x14ac:dyDescent="0.2">
      <c r="A583" s="23" t="s">
        <v>1673</v>
      </c>
      <c r="I583" s="18" t="s">
        <v>949</v>
      </c>
      <c r="K583" s="18" t="s">
        <v>981</v>
      </c>
      <c r="L583" s="18" t="s">
        <v>1617</v>
      </c>
      <c r="Q583" s="24"/>
      <c r="R583" s="24"/>
      <c r="S583" s="24"/>
      <c r="T583" s="24"/>
      <c r="U583" s="14"/>
    </row>
    <row r="584" spans="1:21" x14ac:dyDescent="0.2">
      <c r="A584" s="23" t="s">
        <v>1672</v>
      </c>
      <c r="I584" s="18" t="s">
        <v>949</v>
      </c>
      <c r="K584" s="18" t="s">
        <v>981</v>
      </c>
      <c r="L584" s="18" t="s">
        <v>1671</v>
      </c>
      <c r="Q584" s="24"/>
      <c r="R584" s="24"/>
      <c r="S584" s="24"/>
      <c r="T584" s="24"/>
      <c r="U584" s="14"/>
    </row>
    <row r="585" spans="1:21" x14ac:dyDescent="0.2">
      <c r="A585" s="23" t="s">
        <v>1670</v>
      </c>
      <c r="I585" s="18" t="s">
        <v>949</v>
      </c>
      <c r="K585" s="18" t="s">
        <v>1040</v>
      </c>
      <c r="L585" s="18" t="s">
        <v>1669</v>
      </c>
      <c r="Q585" s="24"/>
      <c r="R585" s="24"/>
      <c r="S585" s="24"/>
      <c r="T585" s="24"/>
      <c r="U585" s="14"/>
    </row>
    <row r="586" spans="1:21" x14ac:dyDescent="0.2">
      <c r="A586" s="23" t="s">
        <v>1668</v>
      </c>
      <c r="I586" s="18" t="s">
        <v>949</v>
      </c>
      <c r="K586" s="18" t="s">
        <v>981</v>
      </c>
      <c r="L586" s="18" t="s">
        <v>1667</v>
      </c>
      <c r="Q586" s="24"/>
      <c r="R586" s="24"/>
      <c r="S586" s="24"/>
      <c r="T586" s="24"/>
      <c r="U586" s="14"/>
    </row>
    <row r="587" spans="1:21" x14ac:dyDescent="0.2">
      <c r="A587" s="23" t="s">
        <v>1666</v>
      </c>
      <c r="I587" s="18" t="s">
        <v>949</v>
      </c>
      <c r="K587" s="18" t="s">
        <v>981</v>
      </c>
      <c r="L587" s="18" t="s">
        <v>1665</v>
      </c>
      <c r="Q587" s="24"/>
      <c r="R587" s="24"/>
      <c r="S587" s="24"/>
      <c r="T587" s="24"/>
      <c r="U587" s="14"/>
    </row>
    <row r="588" spans="1:21" x14ac:dyDescent="0.2">
      <c r="A588" s="23" t="s">
        <v>1664</v>
      </c>
      <c r="I588" s="18" t="s">
        <v>949</v>
      </c>
      <c r="K588" s="18" t="s">
        <v>981</v>
      </c>
      <c r="L588" s="18" t="s">
        <v>1663</v>
      </c>
      <c r="Q588" s="24"/>
      <c r="R588" s="24"/>
      <c r="S588" s="24"/>
      <c r="T588" s="24"/>
      <c r="U588" s="14"/>
    </row>
    <row r="589" spans="1:21" x14ac:dyDescent="0.2">
      <c r="A589" s="23" t="s">
        <v>1662</v>
      </c>
      <c r="I589" s="18" t="s">
        <v>949</v>
      </c>
      <c r="K589" s="18" t="s">
        <v>981</v>
      </c>
      <c r="L589" s="18" t="s">
        <v>1661</v>
      </c>
      <c r="Q589" s="24"/>
      <c r="R589" s="24"/>
      <c r="S589" s="24"/>
      <c r="T589" s="24"/>
      <c r="U589" s="14"/>
    </row>
    <row r="590" spans="1:21" x14ac:dyDescent="0.2">
      <c r="A590" s="23" t="s">
        <v>1660</v>
      </c>
      <c r="I590" s="18" t="s">
        <v>949</v>
      </c>
      <c r="K590" s="18" t="s">
        <v>981</v>
      </c>
      <c r="L590" s="18" t="s">
        <v>1659</v>
      </c>
      <c r="Q590" s="24"/>
      <c r="R590" s="24"/>
      <c r="S590" s="24"/>
      <c r="T590" s="24"/>
      <c r="U590" s="14"/>
    </row>
    <row r="591" spans="1:21" x14ac:dyDescent="0.2">
      <c r="A591" s="23" t="s">
        <v>1658</v>
      </c>
      <c r="I591" s="18" t="s">
        <v>949</v>
      </c>
      <c r="K591" s="18" t="s">
        <v>981</v>
      </c>
      <c r="L591" s="18" t="s">
        <v>1657</v>
      </c>
      <c r="Q591" s="24"/>
      <c r="R591" s="24"/>
      <c r="S591" s="24"/>
      <c r="T591" s="24"/>
      <c r="U591" s="14"/>
    </row>
    <row r="592" spans="1:21" x14ac:dyDescent="0.2">
      <c r="A592" s="23" t="s">
        <v>1656</v>
      </c>
      <c r="I592" s="18" t="s">
        <v>1587</v>
      </c>
      <c r="K592" s="18" t="s">
        <v>981</v>
      </c>
      <c r="L592" s="18" t="s">
        <v>1655</v>
      </c>
      <c r="Q592" s="24"/>
      <c r="R592" s="24"/>
      <c r="S592" s="24"/>
      <c r="T592" s="24"/>
      <c r="U592" s="14"/>
    </row>
    <row r="593" spans="1:21" x14ac:dyDescent="0.2">
      <c r="A593" s="23" t="s">
        <v>1654</v>
      </c>
      <c r="I593" s="18" t="s">
        <v>949</v>
      </c>
      <c r="K593" s="18" t="s">
        <v>981</v>
      </c>
      <c r="L593" s="18" t="s">
        <v>1653</v>
      </c>
      <c r="Q593" s="24"/>
      <c r="R593" s="24"/>
      <c r="S593" s="24"/>
      <c r="T593" s="24"/>
      <c r="U593" s="14"/>
    </row>
    <row r="594" spans="1:21" x14ac:dyDescent="0.2">
      <c r="A594" s="23" t="s">
        <v>1652</v>
      </c>
      <c r="I594" s="18" t="s">
        <v>949</v>
      </c>
      <c r="K594" s="18" t="s">
        <v>981</v>
      </c>
      <c r="L594" s="18" t="s">
        <v>1651</v>
      </c>
      <c r="Q594" s="24"/>
      <c r="R594" s="24"/>
      <c r="S594" s="24"/>
      <c r="T594" s="24"/>
      <c r="U594" s="14"/>
    </row>
    <row r="595" spans="1:21" x14ac:dyDescent="0.2">
      <c r="A595" s="23" t="s">
        <v>1650</v>
      </c>
      <c r="I595" s="18" t="s">
        <v>949</v>
      </c>
      <c r="K595" s="18" t="s">
        <v>981</v>
      </c>
      <c r="L595" s="18" t="s">
        <v>1649</v>
      </c>
      <c r="Q595" s="24"/>
      <c r="R595" s="24"/>
      <c r="S595" s="24"/>
      <c r="T595" s="24"/>
      <c r="U595" s="14"/>
    </row>
    <row r="596" spans="1:21" x14ac:dyDescent="0.2">
      <c r="A596" s="23" t="s">
        <v>1648</v>
      </c>
      <c r="I596" s="18" t="s">
        <v>1587</v>
      </c>
      <c r="K596" s="18" t="s">
        <v>981</v>
      </c>
      <c r="L596" s="18" t="s">
        <v>1647</v>
      </c>
      <c r="Q596" s="24"/>
      <c r="R596" s="24"/>
      <c r="S596" s="24"/>
      <c r="T596" s="24"/>
      <c r="U596" s="14"/>
    </row>
    <row r="597" spans="1:21" x14ac:dyDescent="0.2">
      <c r="A597" s="23" t="s">
        <v>1646</v>
      </c>
      <c r="I597" s="18" t="s">
        <v>1587</v>
      </c>
      <c r="K597" s="18" t="s">
        <v>981</v>
      </c>
      <c r="L597" s="18" t="s">
        <v>1645</v>
      </c>
      <c r="Q597" s="24"/>
      <c r="R597" s="24"/>
      <c r="S597" s="24"/>
      <c r="T597" s="24"/>
      <c r="U597" s="14"/>
    </row>
    <row r="598" spans="1:21" x14ac:dyDescent="0.2">
      <c r="A598" s="23" t="s">
        <v>1644</v>
      </c>
      <c r="I598" s="18" t="s">
        <v>1587</v>
      </c>
      <c r="K598" s="18" t="s">
        <v>981</v>
      </c>
      <c r="L598" s="18" t="s">
        <v>1643</v>
      </c>
      <c r="Q598" s="24"/>
      <c r="R598" s="24"/>
      <c r="S598" s="24"/>
      <c r="T598" s="24"/>
      <c r="U598" s="14"/>
    </row>
    <row r="599" spans="1:21" x14ac:dyDescent="0.2">
      <c r="A599" s="23" t="s">
        <v>1642</v>
      </c>
      <c r="I599" s="18" t="s">
        <v>1587</v>
      </c>
      <c r="K599" s="18" t="s">
        <v>981</v>
      </c>
      <c r="L599" s="18" t="s">
        <v>1297</v>
      </c>
      <c r="Q599" s="24"/>
      <c r="R599" s="24"/>
      <c r="S599" s="24"/>
      <c r="T599" s="24"/>
      <c r="U599" s="14"/>
    </row>
    <row r="600" spans="1:21" x14ac:dyDescent="0.2">
      <c r="A600" s="23" t="s">
        <v>1641</v>
      </c>
      <c r="I600" s="18" t="s">
        <v>1587</v>
      </c>
      <c r="K600" s="18" t="s">
        <v>981</v>
      </c>
      <c r="L600" s="18" t="s">
        <v>1640</v>
      </c>
      <c r="Q600" s="24"/>
      <c r="R600" s="24"/>
      <c r="S600" s="24"/>
      <c r="T600" s="24"/>
      <c r="U600" s="14"/>
    </row>
    <row r="601" spans="1:21" x14ac:dyDescent="0.2">
      <c r="A601" s="23" t="s">
        <v>1639</v>
      </c>
      <c r="I601" s="18" t="s">
        <v>1587</v>
      </c>
      <c r="K601" s="18" t="s">
        <v>981</v>
      </c>
      <c r="L601" s="18" t="s">
        <v>1638</v>
      </c>
      <c r="Q601" s="24"/>
      <c r="R601" s="24"/>
      <c r="S601" s="24"/>
      <c r="T601" s="24"/>
      <c r="U601" s="14"/>
    </row>
    <row r="602" spans="1:21" x14ac:dyDescent="0.2">
      <c r="A602" s="23" t="s">
        <v>1940</v>
      </c>
      <c r="I602" s="18" t="s">
        <v>1975</v>
      </c>
      <c r="K602" s="18" t="s">
        <v>1040</v>
      </c>
      <c r="L602" s="18" t="s">
        <v>1713</v>
      </c>
      <c r="M602" s="23" t="s">
        <v>1940</v>
      </c>
      <c r="Q602" s="24"/>
      <c r="R602" s="24"/>
      <c r="S602" s="24"/>
      <c r="T602" s="24"/>
      <c r="U602" s="14"/>
    </row>
    <row r="603" spans="1:21" x14ac:dyDescent="0.2">
      <c r="A603" s="23" t="s">
        <v>1637</v>
      </c>
      <c r="I603" s="18" t="s">
        <v>1587</v>
      </c>
      <c r="K603" s="18" t="s">
        <v>981</v>
      </c>
      <c r="L603" s="18" t="s">
        <v>1636</v>
      </c>
      <c r="M603" s="23"/>
      <c r="N603" s="18"/>
      <c r="O603" s="18"/>
      <c r="P603" s="18"/>
      <c r="Q603" s="24"/>
      <c r="R603" s="24"/>
      <c r="S603" s="24"/>
      <c r="T603" s="24"/>
      <c r="U603" s="14"/>
    </row>
    <row r="604" spans="1:21" x14ac:dyDescent="0.2">
      <c r="A604" s="23" t="s">
        <v>1635</v>
      </c>
      <c r="I604" s="18" t="s">
        <v>1588</v>
      </c>
      <c r="K604" s="18" t="s">
        <v>981</v>
      </c>
      <c r="L604" s="18" t="s">
        <v>1634</v>
      </c>
      <c r="M604" s="23"/>
      <c r="N604" s="18"/>
      <c r="O604" s="18"/>
      <c r="P604" s="18"/>
      <c r="Q604" s="24"/>
      <c r="R604" s="24"/>
      <c r="S604" s="24"/>
      <c r="T604" s="24"/>
      <c r="U604" s="14"/>
    </row>
    <row r="605" spans="1:21" x14ac:dyDescent="0.2">
      <c r="A605" s="23" t="s">
        <v>2053</v>
      </c>
      <c r="I605" s="18" t="s">
        <v>1965</v>
      </c>
      <c r="K605" s="18" t="s">
        <v>981</v>
      </c>
      <c r="L605" s="18" t="s">
        <v>1669</v>
      </c>
      <c r="M605" s="23"/>
      <c r="N605" s="18"/>
      <c r="O605" s="18"/>
      <c r="P605" s="18"/>
      <c r="Q605" s="20" t="s">
        <v>2053</v>
      </c>
      <c r="U605" s="14"/>
    </row>
    <row r="606" spans="1:21" x14ac:dyDescent="0.2">
      <c r="A606" s="23" t="s">
        <v>1976</v>
      </c>
      <c r="I606" s="18" t="s">
        <v>1978</v>
      </c>
      <c r="K606" s="18" t="s">
        <v>981</v>
      </c>
      <c r="L606" s="18" t="s">
        <v>1977</v>
      </c>
      <c r="M606" s="23" t="s">
        <v>1976</v>
      </c>
      <c r="Q606" s="20"/>
      <c r="R606" s="18"/>
      <c r="S606" s="18"/>
      <c r="T606" s="18"/>
      <c r="U606" s="14"/>
    </row>
    <row r="607" spans="1:21" x14ac:dyDescent="0.2">
      <c r="A607" s="23" t="s">
        <v>2054</v>
      </c>
      <c r="I607" s="18" t="s">
        <v>1965</v>
      </c>
      <c r="K607" s="18" t="s">
        <v>981</v>
      </c>
      <c r="L607" s="18" t="s">
        <v>1698</v>
      </c>
      <c r="M607" s="23"/>
      <c r="N607" s="18"/>
      <c r="O607" s="18"/>
      <c r="P607" s="18"/>
      <c r="Q607" s="20" t="s">
        <v>2054</v>
      </c>
      <c r="U607" s="14"/>
    </row>
    <row r="608" spans="1:21" x14ac:dyDescent="0.2">
      <c r="A608" s="23" t="s">
        <v>1979</v>
      </c>
      <c r="I608" s="18" t="s">
        <v>2064</v>
      </c>
      <c r="K608" s="18" t="s">
        <v>981</v>
      </c>
      <c r="L608" s="18" t="s">
        <v>1980</v>
      </c>
      <c r="M608" s="23" t="s">
        <v>1979</v>
      </c>
      <c r="Q608" s="20"/>
      <c r="R608" s="18"/>
      <c r="S608" s="18"/>
      <c r="T608" s="18"/>
      <c r="U608" s="14"/>
    </row>
    <row r="609" spans="1:21" x14ac:dyDescent="0.2">
      <c r="A609" s="23" t="s">
        <v>1981</v>
      </c>
      <c r="I609" s="18" t="s">
        <v>1978</v>
      </c>
      <c r="K609" s="18" t="s">
        <v>1040</v>
      </c>
      <c r="L609" s="18" t="s">
        <v>1982</v>
      </c>
      <c r="M609" s="23" t="s">
        <v>1981</v>
      </c>
      <c r="Q609" s="20"/>
      <c r="R609" s="18"/>
      <c r="S609" s="18"/>
      <c r="T609" s="18"/>
      <c r="U609" s="14"/>
    </row>
    <row r="610" spans="1:21" x14ac:dyDescent="0.2">
      <c r="A610" s="23" t="s">
        <v>1983</v>
      </c>
      <c r="I610" s="18" t="s">
        <v>1984</v>
      </c>
      <c r="K610" s="18" t="s">
        <v>981</v>
      </c>
      <c r="L610" s="18" t="s">
        <v>1821</v>
      </c>
      <c r="M610" s="23" t="s">
        <v>1983</v>
      </c>
      <c r="Q610" s="20"/>
      <c r="R610" s="18"/>
      <c r="S610" s="18"/>
      <c r="T610" s="18"/>
      <c r="U610" s="14"/>
    </row>
    <row r="611" spans="1:21" x14ac:dyDescent="0.2">
      <c r="A611" s="23" t="s">
        <v>2055</v>
      </c>
      <c r="I611" s="18" t="s">
        <v>1965</v>
      </c>
      <c r="K611" s="18" t="s">
        <v>981</v>
      </c>
      <c r="L611" s="18" t="s">
        <v>1592</v>
      </c>
      <c r="M611" s="23"/>
      <c r="N611" s="18"/>
      <c r="O611" s="18"/>
      <c r="P611" s="18"/>
      <c r="Q611" s="20" t="s">
        <v>2055</v>
      </c>
      <c r="U611" s="14"/>
    </row>
    <row r="612" spans="1:21" x14ac:dyDescent="0.2">
      <c r="A612" s="23" t="s">
        <v>2056</v>
      </c>
      <c r="I612" s="18" t="s">
        <v>1965</v>
      </c>
      <c r="K612" s="18" t="s">
        <v>981</v>
      </c>
      <c r="L612" s="18" t="s">
        <v>2025</v>
      </c>
      <c r="M612" s="23"/>
      <c r="N612" s="18"/>
      <c r="O612" s="18"/>
      <c r="P612" s="18"/>
      <c r="Q612" s="20" t="s">
        <v>2056</v>
      </c>
      <c r="U612" s="14"/>
    </row>
    <row r="613" spans="1:21" x14ac:dyDescent="0.2">
      <c r="A613" s="23" t="s">
        <v>2057</v>
      </c>
      <c r="I613" s="18" t="s">
        <v>1965</v>
      </c>
      <c r="K613" s="18" t="s">
        <v>981</v>
      </c>
      <c r="L613" s="18" t="s">
        <v>1920</v>
      </c>
      <c r="M613" s="23"/>
      <c r="N613" s="18"/>
      <c r="O613" s="18"/>
      <c r="P613" s="18"/>
      <c r="Q613" s="20" t="s">
        <v>2057</v>
      </c>
      <c r="U613" s="14"/>
    </row>
    <row r="614" spans="1:21" x14ac:dyDescent="0.2">
      <c r="A614" s="23" t="s">
        <v>2058</v>
      </c>
      <c r="I614" s="18" t="s">
        <v>1965</v>
      </c>
      <c r="K614" s="18" t="s">
        <v>981</v>
      </c>
      <c r="L614" s="18" t="s">
        <v>2113</v>
      </c>
      <c r="M614" s="23"/>
      <c r="N614" s="18"/>
      <c r="O614" s="18"/>
      <c r="P614" s="18"/>
      <c r="Q614" s="20" t="s">
        <v>2058</v>
      </c>
    </row>
    <row r="615" spans="1:21" x14ac:dyDescent="0.2">
      <c r="A615" s="23" t="s">
        <v>2059</v>
      </c>
      <c r="I615" s="18" t="s">
        <v>1965</v>
      </c>
      <c r="K615" s="18" t="s">
        <v>981</v>
      </c>
      <c r="L615" s="18" t="s">
        <v>2114</v>
      </c>
      <c r="M615" s="23"/>
      <c r="N615" s="18"/>
      <c r="O615" s="18"/>
      <c r="P615" s="18"/>
      <c r="Q615" s="20" t="s">
        <v>2059</v>
      </c>
    </row>
    <row r="616" spans="1:21" x14ac:dyDescent="0.2">
      <c r="A616" s="23" t="s">
        <v>2060</v>
      </c>
      <c r="I616" s="18" t="s">
        <v>1965</v>
      </c>
      <c r="K616" s="18" t="s">
        <v>981</v>
      </c>
      <c r="L616" s="18" t="s">
        <v>2045</v>
      </c>
      <c r="M616" s="23"/>
      <c r="N616" s="18"/>
      <c r="O616" s="18"/>
      <c r="P616" s="18"/>
      <c r="Q616" s="20" t="s">
        <v>2060</v>
      </c>
    </row>
    <row r="617" spans="1:21" x14ac:dyDescent="0.2">
      <c r="A617" s="23" t="s">
        <v>2061</v>
      </c>
      <c r="I617" s="18" t="s">
        <v>1965</v>
      </c>
      <c r="K617" s="18" t="s">
        <v>981</v>
      </c>
      <c r="L617" s="18" t="s">
        <v>1966</v>
      </c>
      <c r="M617" s="23"/>
      <c r="N617" s="18"/>
      <c r="O617" s="18"/>
      <c r="P617" s="18"/>
      <c r="Q617" s="20" t="s">
        <v>2061</v>
      </c>
    </row>
    <row r="618" spans="1:21" x14ac:dyDescent="0.2">
      <c r="A618" s="23" t="s">
        <v>2062</v>
      </c>
      <c r="I618" s="18" t="s">
        <v>1965</v>
      </c>
      <c r="K618" s="18" t="s">
        <v>981</v>
      </c>
      <c r="L618" s="18" t="s">
        <v>2115</v>
      </c>
      <c r="M618" s="23"/>
      <c r="N618" s="18"/>
      <c r="O618" s="18"/>
      <c r="P618" s="18"/>
      <c r="Q618" s="20" t="s">
        <v>2062</v>
      </c>
    </row>
    <row r="619" spans="1:21" x14ac:dyDescent="0.2">
      <c r="A619" s="23" t="s">
        <v>2063</v>
      </c>
      <c r="I619" s="18" t="s">
        <v>1965</v>
      </c>
      <c r="K619" s="18" t="s">
        <v>981</v>
      </c>
      <c r="L619" s="18" t="s">
        <v>1785</v>
      </c>
      <c r="M619" s="23"/>
      <c r="N619" s="18"/>
      <c r="O619" s="18"/>
      <c r="P619" s="18"/>
      <c r="Q619" s="20" t="s">
        <v>2063</v>
      </c>
    </row>
    <row r="620" spans="1:21" x14ac:dyDescent="0.2">
      <c r="A620" s="23" t="s">
        <v>1985</v>
      </c>
      <c r="I620" s="18" t="s">
        <v>1975</v>
      </c>
      <c r="K620" s="18" t="s">
        <v>1040</v>
      </c>
      <c r="L620" s="18" t="s">
        <v>1986</v>
      </c>
      <c r="M620" s="23" t="s">
        <v>1985</v>
      </c>
      <c r="Q620" s="20"/>
      <c r="R620" s="18"/>
      <c r="S620" s="18"/>
      <c r="T620" s="18"/>
    </row>
    <row r="621" spans="1:21" s="27" customFormat="1" x14ac:dyDescent="0.2">
      <c r="A621" s="26" t="s">
        <v>1632</v>
      </c>
      <c r="I621" s="26" t="s">
        <v>1588</v>
      </c>
      <c r="K621" s="26" t="s">
        <v>981</v>
      </c>
      <c r="L621" s="26" t="s">
        <v>1633</v>
      </c>
      <c r="M621" s="26"/>
      <c r="N621" s="26"/>
      <c r="O621" s="26"/>
      <c r="P621" s="26"/>
      <c r="Q621" s="26"/>
      <c r="R621" s="26"/>
      <c r="S621" s="26"/>
      <c r="T621" s="26"/>
    </row>
    <row r="622" spans="1:21" s="27" customFormat="1" x14ac:dyDescent="0.2">
      <c r="A622" s="26" t="s">
        <v>1632</v>
      </c>
      <c r="I622" s="26" t="s">
        <v>1587</v>
      </c>
      <c r="K622" s="26" t="s">
        <v>981</v>
      </c>
      <c r="L622" s="26" t="s">
        <v>1631</v>
      </c>
      <c r="M622" s="26"/>
      <c r="N622" s="26"/>
      <c r="O622" s="26"/>
      <c r="P622" s="26"/>
      <c r="Q622" s="26"/>
      <c r="R622" s="26"/>
      <c r="S622" s="26"/>
      <c r="T622" s="26"/>
    </row>
    <row r="623" spans="1:21" x14ac:dyDescent="0.2">
      <c r="A623" s="23"/>
      <c r="I623" s="18" t="s">
        <v>1975</v>
      </c>
      <c r="K623" s="18" t="s">
        <v>981</v>
      </c>
      <c r="L623" s="18" t="s">
        <v>1988</v>
      </c>
      <c r="M623" s="23" t="s">
        <v>1987</v>
      </c>
      <c r="Q623" s="20"/>
      <c r="R623" s="18"/>
      <c r="S623" s="18"/>
      <c r="T623" s="18"/>
    </row>
    <row r="624" spans="1:21" x14ac:dyDescent="0.2">
      <c r="A624" s="23"/>
      <c r="I624" s="18" t="s">
        <v>1975</v>
      </c>
      <c r="K624" s="18" t="s">
        <v>981</v>
      </c>
      <c r="L624" s="18" t="s">
        <v>1988</v>
      </c>
      <c r="M624" s="23" t="s">
        <v>1989</v>
      </c>
      <c r="Q624" s="20"/>
      <c r="R624" s="18"/>
      <c r="S624" s="18"/>
      <c r="T624" s="18"/>
    </row>
    <row r="625" spans="1:20" x14ac:dyDescent="0.2">
      <c r="A625" s="23"/>
      <c r="I625" s="18" t="s">
        <v>1975</v>
      </c>
      <c r="K625" s="18" t="s">
        <v>1040</v>
      </c>
      <c r="L625" s="18" t="s">
        <v>1991</v>
      </c>
      <c r="M625" s="23" t="s">
        <v>1990</v>
      </c>
      <c r="Q625" s="20"/>
      <c r="R625" s="18"/>
      <c r="S625" s="18"/>
      <c r="T625" s="18"/>
    </row>
    <row r="626" spans="1:20" x14ac:dyDescent="0.2">
      <c r="A626" s="23" t="s">
        <v>1630</v>
      </c>
      <c r="I626" s="18" t="s">
        <v>1587</v>
      </c>
      <c r="K626" s="18"/>
      <c r="L626" s="18" t="s">
        <v>1629</v>
      </c>
      <c r="M626" s="23"/>
      <c r="N626" s="18"/>
      <c r="O626" s="18"/>
      <c r="P626" s="18"/>
      <c r="Q626" s="20"/>
      <c r="R626" s="18"/>
      <c r="S626" s="18"/>
      <c r="T626" s="18"/>
    </row>
    <row r="627" spans="1:20" x14ac:dyDescent="0.2">
      <c r="A627" s="23"/>
      <c r="I627" s="18" t="s">
        <v>1975</v>
      </c>
      <c r="K627" s="18" t="s">
        <v>981</v>
      </c>
      <c r="L627" s="18" t="s">
        <v>1993</v>
      </c>
      <c r="M627" s="23" t="s">
        <v>1992</v>
      </c>
      <c r="Q627" s="20"/>
      <c r="R627" s="18"/>
      <c r="S627" s="18"/>
      <c r="T627" s="18"/>
    </row>
    <row r="628" spans="1:20" x14ac:dyDescent="0.2">
      <c r="A628" s="23" t="s">
        <v>1628</v>
      </c>
      <c r="I628" s="18" t="s">
        <v>1587</v>
      </c>
      <c r="K628" s="18" t="s">
        <v>981</v>
      </c>
      <c r="L628" s="18" t="s">
        <v>1627</v>
      </c>
      <c r="M628" s="23"/>
      <c r="N628" s="18"/>
      <c r="O628" s="18"/>
      <c r="P628" s="18"/>
      <c r="Q628" s="20"/>
      <c r="R628" s="18"/>
      <c r="S628" s="18"/>
      <c r="T628" s="18"/>
    </row>
    <row r="629" spans="1:20" x14ac:dyDescent="0.2">
      <c r="A629" s="23" t="s">
        <v>1994</v>
      </c>
      <c r="I629" s="18" t="s">
        <v>1996</v>
      </c>
      <c r="K629" s="18" t="s">
        <v>981</v>
      </c>
      <c r="L629" s="18" t="s">
        <v>1995</v>
      </c>
      <c r="M629" s="23" t="s">
        <v>1994</v>
      </c>
      <c r="Q629" s="20"/>
      <c r="R629" s="18"/>
      <c r="S629" s="18"/>
      <c r="T629" s="18"/>
    </row>
    <row r="630" spans="1:20" x14ac:dyDescent="0.2">
      <c r="A630" s="23" t="s">
        <v>2065</v>
      </c>
      <c r="I630" s="18" t="s">
        <v>1965</v>
      </c>
      <c r="K630" s="18" t="s">
        <v>981</v>
      </c>
      <c r="L630" s="18" t="s">
        <v>1974</v>
      </c>
      <c r="M630" s="23"/>
      <c r="N630" s="18"/>
      <c r="O630" s="18"/>
      <c r="P630" s="18"/>
      <c r="Q630" s="20" t="s">
        <v>2065</v>
      </c>
    </row>
    <row r="631" spans="1:20" x14ac:dyDescent="0.2">
      <c r="A631" s="23" t="s">
        <v>2066</v>
      </c>
      <c r="I631" s="18" t="s">
        <v>1965</v>
      </c>
      <c r="K631" s="18" t="s">
        <v>981</v>
      </c>
      <c r="L631" s="18" t="s">
        <v>2029</v>
      </c>
      <c r="M631" s="23"/>
      <c r="N631" s="18"/>
      <c r="O631" s="18"/>
      <c r="P631" s="18"/>
      <c r="Q631" s="20" t="s">
        <v>2066</v>
      </c>
    </row>
    <row r="632" spans="1:20" x14ac:dyDescent="0.2">
      <c r="A632" s="23" t="s">
        <v>2067</v>
      </c>
      <c r="I632" s="18" t="s">
        <v>1965</v>
      </c>
      <c r="K632" s="18" t="s">
        <v>981</v>
      </c>
      <c r="L632" s="18" t="s">
        <v>1977</v>
      </c>
      <c r="M632" s="23"/>
      <c r="N632" s="18"/>
      <c r="O632" s="18"/>
      <c r="P632" s="18"/>
      <c r="Q632" s="20" t="s">
        <v>2067</v>
      </c>
    </row>
    <row r="633" spans="1:20" x14ac:dyDescent="0.2">
      <c r="A633" s="23" t="s">
        <v>1997</v>
      </c>
      <c r="I633" s="18" t="s">
        <v>1984</v>
      </c>
      <c r="K633" s="18" t="s">
        <v>981</v>
      </c>
      <c r="L633" s="18" t="s">
        <v>1998</v>
      </c>
      <c r="M633" s="23" t="s">
        <v>1997</v>
      </c>
      <c r="Q633" s="20"/>
    </row>
    <row r="634" spans="1:20" x14ac:dyDescent="0.2">
      <c r="A634" s="23" t="s">
        <v>2068</v>
      </c>
      <c r="I634" s="18" t="s">
        <v>1965</v>
      </c>
      <c r="K634" s="18" t="s">
        <v>981</v>
      </c>
      <c r="L634" s="18" t="s">
        <v>2116</v>
      </c>
      <c r="M634" s="23"/>
      <c r="N634" s="18"/>
      <c r="O634" s="18"/>
      <c r="P634" s="18"/>
      <c r="Q634" s="20" t="s">
        <v>2068</v>
      </c>
    </row>
    <row r="635" spans="1:20" x14ac:dyDescent="0.2">
      <c r="A635" s="23" t="s">
        <v>2069</v>
      </c>
      <c r="I635" s="18" t="s">
        <v>1965</v>
      </c>
      <c r="K635" s="18" t="s">
        <v>1040</v>
      </c>
      <c r="L635" s="18" t="s">
        <v>2117</v>
      </c>
      <c r="M635" s="23"/>
      <c r="N635" s="18"/>
      <c r="O635" s="18"/>
      <c r="P635" s="18"/>
      <c r="Q635" s="20" t="s">
        <v>2069</v>
      </c>
    </row>
    <row r="636" spans="1:20" x14ac:dyDescent="0.2">
      <c r="A636" s="23" t="s">
        <v>2070</v>
      </c>
      <c r="I636" s="18" t="s">
        <v>1965</v>
      </c>
      <c r="K636" s="18" t="s">
        <v>981</v>
      </c>
      <c r="L636" s="18" t="s">
        <v>1922</v>
      </c>
      <c r="M636" s="23"/>
      <c r="N636" s="18"/>
      <c r="O636" s="18"/>
      <c r="P636" s="18"/>
      <c r="Q636" s="20" t="s">
        <v>2070</v>
      </c>
    </row>
    <row r="637" spans="1:20" x14ac:dyDescent="0.2">
      <c r="A637" s="23" t="s">
        <v>2071</v>
      </c>
      <c r="I637" s="18" t="s">
        <v>1965</v>
      </c>
      <c r="K637" s="18" t="s">
        <v>981</v>
      </c>
      <c r="L637" s="18" t="s">
        <v>2118</v>
      </c>
      <c r="M637" s="23"/>
      <c r="N637" s="18"/>
      <c r="O637" s="18"/>
      <c r="P637" s="18"/>
      <c r="Q637" s="20" t="s">
        <v>2071</v>
      </c>
    </row>
    <row r="638" spans="1:20" x14ac:dyDescent="0.2">
      <c r="A638" s="23" t="s">
        <v>2072</v>
      </c>
      <c r="I638" s="18" t="s">
        <v>1965</v>
      </c>
      <c r="K638" s="18" t="s">
        <v>981</v>
      </c>
      <c r="L638" s="18" t="s">
        <v>1743</v>
      </c>
      <c r="M638" s="23"/>
      <c r="N638" s="18"/>
      <c r="O638" s="18"/>
      <c r="P638" s="18"/>
      <c r="Q638" s="20" t="s">
        <v>2072</v>
      </c>
    </row>
    <row r="639" spans="1:20" x14ac:dyDescent="0.2">
      <c r="A639" s="23" t="s">
        <v>2073</v>
      </c>
      <c r="I639" s="18" t="s">
        <v>1965</v>
      </c>
      <c r="K639" s="18" t="s">
        <v>981</v>
      </c>
      <c r="L639" s="18" t="s">
        <v>2119</v>
      </c>
      <c r="M639" s="23"/>
      <c r="N639" s="18"/>
      <c r="O639" s="18"/>
      <c r="P639" s="18"/>
      <c r="Q639" s="20" t="s">
        <v>2073</v>
      </c>
    </row>
    <row r="640" spans="1:20" x14ac:dyDescent="0.2">
      <c r="A640" s="23" t="s">
        <v>2074</v>
      </c>
      <c r="I640" s="18" t="s">
        <v>1965</v>
      </c>
      <c r="K640" s="18" t="s">
        <v>981</v>
      </c>
      <c r="L640" s="18" t="s">
        <v>2120</v>
      </c>
      <c r="M640" s="23"/>
      <c r="N640" s="18"/>
      <c r="O640" s="18"/>
      <c r="P640" s="18"/>
      <c r="Q640" s="20" t="s">
        <v>2074</v>
      </c>
    </row>
    <row r="641" spans="1:20" x14ac:dyDescent="0.2">
      <c r="A641" s="23" t="s">
        <v>2075</v>
      </c>
      <c r="I641" s="18" t="s">
        <v>1965</v>
      </c>
      <c r="K641" s="18" t="s">
        <v>981</v>
      </c>
      <c r="L641" s="18" t="s">
        <v>2116</v>
      </c>
      <c r="M641" s="23"/>
      <c r="N641" s="18"/>
      <c r="O641" s="18"/>
      <c r="P641" s="18"/>
      <c r="Q641" s="20" t="s">
        <v>2075</v>
      </c>
    </row>
    <row r="642" spans="1:20" x14ac:dyDescent="0.2">
      <c r="A642" s="23" t="s">
        <v>2076</v>
      </c>
      <c r="I642" s="18" t="s">
        <v>1965</v>
      </c>
      <c r="K642" s="18" t="s">
        <v>981</v>
      </c>
      <c r="L642" s="18" t="s">
        <v>1828</v>
      </c>
      <c r="M642" s="23"/>
      <c r="N642" s="18"/>
      <c r="O642" s="18"/>
      <c r="P642" s="18"/>
      <c r="Q642" s="20" t="s">
        <v>2076</v>
      </c>
    </row>
    <row r="643" spans="1:20" x14ac:dyDescent="0.2">
      <c r="A643" s="23" t="s">
        <v>2077</v>
      </c>
      <c r="I643" s="18" t="s">
        <v>1965</v>
      </c>
      <c r="K643" s="18" t="s">
        <v>981</v>
      </c>
      <c r="L643" s="18" t="s">
        <v>2121</v>
      </c>
      <c r="M643" s="23"/>
      <c r="N643" s="18"/>
      <c r="O643" s="18"/>
      <c r="P643" s="18"/>
      <c r="Q643" s="20" t="s">
        <v>2077</v>
      </c>
    </row>
    <row r="644" spans="1:20" x14ac:dyDescent="0.2">
      <c r="A644" s="23" t="s">
        <v>1999</v>
      </c>
      <c r="I644" s="18" t="s">
        <v>1975</v>
      </c>
      <c r="K644" s="18" t="s">
        <v>1040</v>
      </c>
      <c r="L644" s="18" t="s">
        <v>1671</v>
      </c>
      <c r="M644" s="23" t="s">
        <v>1999</v>
      </c>
      <c r="Q644" s="20"/>
      <c r="R644" s="18"/>
      <c r="S644" s="18"/>
      <c r="T644" s="18"/>
    </row>
    <row r="645" spans="1:20" x14ac:dyDescent="0.2">
      <c r="A645" s="23" t="s">
        <v>1626</v>
      </c>
      <c r="I645" s="18" t="s">
        <v>1587</v>
      </c>
      <c r="K645" s="18" t="s">
        <v>981</v>
      </c>
      <c r="L645" s="18" t="s">
        <v>1625</v>
      </c>
      <c r="M645" s="23"/>
      <c r="N645" s="18"/>
      <c r="O645" s="18"/>
      <c r="P645" s="18"/>
      <c r="Q645" s="20"/>
      <c r="R645" s="18"/>
      <c r="S645" s="18"/>
      <c r="T645" s="18"/>
    </row>
    <row r="646" spans="1:20" x14ac:dyDescent="0.2">
      <c r="A646" s="23" t="s">
        <v>1624</v>
      </c>
      <c r="I646" s="18" t="s">
        <v>1587</v>
      </c>
      <c r="K646" s="18" t="s">
        <v>981</v>
      </c>
      <c r="L646" s="18" t="s">
        <v>1623</v>
      </c>
      <c r="M646" s="23"/>
      <c r="N646" s="18"/>
      <c r="O646" s="18"/>
      <c r="P646" s="18"/>
      <c r="Q646" s="20"/>
      <c r="R646" s="18"/>
      <c r="S646" s="18"/>
      <c r="T646" s="18"/>
    </row>
    <row r="647" spans="1:20" x14ac:dyDescent="0.2">
      <c r="A647" s="23" t="s">
        <v>1622</v>
      </c>
      <c r="I647" s="18" t="s">
        <v>1587</v>
      </c>
      <c r="K647" s="18" t="s">
        <v>981</v>
      </c>
      <c r="L647" s="18" t="s">
        <v>1621</v>
      </c>
      <c r="M647" s="23"/>
      <c r="N647" s="18"/>
      <c r="O647" s="18"/>
      <c r="P647" s="18"/>
      <c r="Q647" s="20"/>
      <c r="R647" s="18"/>
      <c r="S647" s="18"/>
      <c r="T647" s="18"/>
    </row>
    <row r="648" spans="1:20" x14ac:dyDescent="0.2">
      <c r="A648" s="23" t="s">
        <v>1620</v>
      </c>
      <c r="I648" s="18" t="s">
        <v>1587</v>
      </c>
      <c r="K648" s="18" t="s">
        <v>981</v>
      </c>
      <c r="L648" s="18" t="s">
        <v>1619</v>
      </c>
      <c r="M648" s="23"/>
      <c r="N648" s="18"/>
      <c r="O648" s="18"/>
      <c r="P648" s="18"/>
      <c r="Q648" s="20"/>
      <c r="R648" s="18"/>
      <c r="S648" s="18"/>
      <c r="T648" s="18"/>
    </row>
    <row r="649" spans="1:20" x14ac:dyDescent="0.2">
      <c r="A649" s="23" t="s">
        <v>1618</v>
      </c>
      <c r="I649" s="18" t="s">
        <v>1587</v>
      </c>
      <c r="K649" s="18" t="s">
        <v>981</v>
      </c>
      <c r="L649" s="18" t="s">
        <v>1617</v>
      </c>
      <c r="M649" s="23"/>
      <c r="N649" s="18"/>
      <c r="O649" s="18"/>
      <c r="P649" s="18"/>
      <c r="Q649" s="20"/>
      <c r="R649" s="18"/>
      <c r="S649" s="18"/>
      <c r="T649" s="18"/>
    </row>
    <row r="650" spans="1:20" x14ac:dyDescent="0.2">
      <c r="A650" s="23" t="s">
        <v>2000</v>
      </c>
      <c r="I650" s="18" t="s">
        <v>1975</v>
      </c>
      <c r="K650" s="18" t="s">
        <v>981</v>
      </c>
      <c r="L650" s="18" t="s">
        <v>2001</v>
      </c>
      <c r="M650" s="23" t="s">
        <v>2000</v>
      </c>
      <c r="Q650" s="20"/>
      <c r="R650" s="18"/>
      <c r="S650" s="18"/>
      <c r="T650" s="18"/>
    </row>
    <row r="651" spans="1:20" x14ac:dyDescent="0.2">
      <c r="A651" s="23" t="s">
        <v>1616</v>
      </c>
      <c r="I651" s="18" t="s">
        <v>1587</v>
      </c>
      <c r="K651" s="18" t="s">
        <v>981</v>
      </c>
      <c r="L651" s="18" t="s">
        <v>1615</v>
      </c>
      <c r="M651" s="23"/>
      <c r="N651" s="18"/>
      <c r="O651" s="18"/>
      <c r="P651" s="18"/>
      <c r="Q651" s="20"/>
      <c r="R651" s="18"/>
      <c r="S651" s="18"/>
      <c r="T651" s="18"/>
    </row>
    <row r="652" spans="1:20" x14ac:dyDescent="0.2">
      <c r="A652" s="23" t="s">
        <v>2002</v>
      </c>
      <c r="I652" s="18" t="s">
        <v>1978</v>
      </c>
      <c r="K652" s="18" t="s">
        <v>981</v>
      </c>
      <c r="L652" s="18" t="s">
        <v>2003</v>
      </c>
      <c r="M652" s="23" t="s">
        <v>2002</v>
      </c>
      <c r="Q652" s="20"/>
      <c r="R652" s="18"/>
      <c r="S652" s="18"/>
      <c r="T652" s="18"/>
    </row>
    <row r="653" spans="1:20" x14ac:dyDescent="0.2">
      <c r="A653" s="23" t="s">
        <v>2004</v>
      </c>
      <c r="I653" s="18" t="s">
        <v>1978</v>
      </c>
      <c r="K653" s="18" t="s">
        <v>981</v>
      </c>
      <c r="L653" s="18" t="s">
        <v>1988</v>
      </c>
      <c r="M653" s="23" t="s">
        <v>2004</v>
      </c>
      <c r="Q653" s="20"/>
      <c r="R653" s="18"/>
      <c r="S653" s="18"/>
      <c r="T653" s="18"/>
    </row>
    <row r="654" spans="1:20" x14ac:dyDescent="0.2">
      <c r="A654" s="23" t="s">
        <v>2078</v>
      </c>
      <c r="I654" s="18" t="s">
        <v>1965</v>
      </c>
      <c r="K654" s="18" t="s">
        <v>1040</v>
      </c>
      <c r="L654" s="18" t="s">
        <v>2031</v>
      </c>
      <c r="M654" s="23"/>
      <c r="N654" s="18"/>
      <c r="O654" s="18"/>
      <c r="Q654" s="20" t="s">
        <v>2078</v>
      </c>
    </row>
    <row r="655" spans="1:20" x14ac:dyDescent="0.2">
      <c r="A655" s="23" t="s">
        <v>2005</v>
      </c>
      <c r="I655" s="18" t="s">
        <v>1978</v>
      </c>
      <c r="K655" s="18" t="s">
        <v>1040</v>
      </c>
      <c r="L655" s="18" t="s">
        <v>2006</v>
      </c>
      <c r="M655" s="23" t="s">
        <v>2005</v>
      </c>
      <c r="Q655" s="20"/>
      <c r="T655" s="18"/>
    </row>
    <row r="656" spans="1:20" x14ac:dyDescent="0.2">
      <c r="A656" s="23" t="s">
        <v>2079</v>
      </c>
      <c r="I656" s="18" t="s">
        <v>1965</v>
      </c>
      <c r="K656" s="18" t="s">
        <v>981</v>
      </c>
      <c r="L656" s="18" t="s">
        <v>1998</v>
      </c>
      <c r="M656" s="23"/>
      <c r="N656" s="18"/>
      <c r="O656" s="18"/>
      <c r="P656" s="18"/>
      <c r="Q656" s="20" t="s">
        <v>2079</v>
      </c>
    </row>
    <row r="657" spans="1:20" x14ac:dyDescent="0.2">
      <c r="A657" s="23" t="s">
        <v>2080</v>
      </c>
      <c r="I657" s="18" t="s">
        <v>1965</v>
      </c>
      <c r="K657" s="18" t="s">
        <v>981</v>
      </c>
      <c r="L657" s="18" t="s">
        <v>2122</v>
      </c>
      <c r="M657" s="23"/>
      <c r="N657" s="18"/>
      <c r="O657" s="18"/>
      <c r="P657" s="18"/>
      <c r="Q657" s="20" t="s">
        <v>2080</v>
      </c>
    </row>
    <row r="658" spans="1:20" x14ac:dyDescent="0.2">
      <c r="A658" s="23" t="s">
        <v>2081</v>
      </c>
      <c r="I658" s="18" t="s">
        <v>1965</v>
      </c>
      <c r="K658" s="18" t="s">
        <v>981</v>
      </c>
      <c r="L658" s="18" t="s">
        <v>2123</v>
      </c>
      <c r="M658" s="23"/>
      <c r="N658" s="18"/>
      <c r="O658" s="18"/>
      <c r="P658" s="18"/>
      <c r="Q658" s="20" t="s">
        <v>2081</v>
      </c>
    </row>
    <row r="659" spans="1:20" x14ac:dyDescent="0.2">
      <c r="A659" s="23" t="s">
        <v>2082</v>
      </c>
      <c r="I659" s="18" t="s">
        <v>1965</v>
      </c>
      <c r="K659" s="18" t="s">
        <v>981</v>
      </c>
      <c r="L659" s="18" t="s">
        <v>1698</v>
      </c>
      <c r="M659" s="23"/>
      <c r="N659" s="18"/>
      <c r="O659" s="18"/>
      <c r="P659" s="18"/>
      <c r="Q659" s="20" t="s">
        <v>2082</v>
      </c>
    </row>
    <row r="660" spans="1:20" x14ac:dyDescent="0.2">
      <c r="A660" s="23" t="s">
        <v>2083</v>
      </c>
      <c r="I660" s="18" t="s">
        <v>1965</v>
      </c>
      <c r="K660" s="18" t="s">
        <v>981</v>
      </c>
      <c r="L660" s="18" t="s">
        <v>1657</v>
      </c>
      <c r="M660" s="23"/>
      <c r="N660" s="18"/>
      <c r="O660" s="18"/>
      <c r="P660" s="18"/>
      <c r="Q660" s="20" t="s">
        <v>2083</v>
      </c>
    </row>
    <row r="661" spans="1:20" x14ac:dyDescent="0.2">
      <c r="A661" s="23" t="s">
        <v>2084</v>
      </c>
      <c r="I661" s="18" t="s">
        <v>1965</v>
      </c>
      <c r="K661" s="18" t="s">
        <v>981</v>
      </c>
      <c r="L661" s="18" t="s">
        <v>2124</v>
      </c>
      <c r="M661" s="23"/>
      <c r="N661" s="18"/>
      <c r="O661" s="18"/>
      <c r="P661" s="18"/>
      <c r="Q661" s="20" t="s">
        <v>2084</v>
      </c>
    </row>
    <row r="662" spans="1:20" x14ac:dyDescent="0.2">
      <c r="A662" s="23" t="s">
        <v>2085</v>
      </c>
      <c r="I662" s="18" t="s">
        <v>1965</v>
      </c>
      <c r="K662" s="18" t="s">
        <v>981</v>
      </c>
      <c r="L662" s="18" t="s">
        <v>2125</v>
      </c>
      <c r="M662" s="23"/>
      <c r="N662" s="18"/>
      <c r="O662" s="18"/>
      <c r="P662" s="18"/>
      <c r="Q662" s="20" t="s">
        <v>2085</v>
      </c>
    </row>
    <row r="663" spans="1:20" x14ac:dyDescent="0.2">
      <c r="A663" s="23" t="s">
        <v>2086</v>
      </c>
      <c r="I663" s="18" t="s">
        <v>1965</v>
      </c>
      <c r="K663" s="18" t="s">
        <v>981</v>
      </c>
      <c r="L663" s="18" t="s">
        <v>2126</v>
      </c>
      <c r="M663" s="23"/>
      <c r="N663" s="18"/>
      <c r="O663" s="18"/>
      <c r="P663" s="18"/>
      <c r="Q663" s="20" t="s">
        <v>2086</v>
      </c>
    </row>
    <row r="664" spans="1:20" x14ac:dyDescent="0.2">
      <c r="A664" s="23" t="s">
        <v>2087</v>
      </c>
      <c r="I664" s="18" t="s">
        <v>1965</v>
      </c>
      <c r="K664" s="18" t="s">
        <v>981</v>
      </c>
      <c r="L664" s="18" t="s">
        <v>2025</v>
      </c>
      <c r="M664" s="23"/>
      <c r="N664" s="18"/>
      <c r="O664" s="18"/>
      <c r="P664" s="18"/>
      <c r="Q664" s="20" t="s">
        <v>2087</v>
      </c>
    </row>
    <row r="665" spans="1:20" x14ac:dyDescent="0.2">
      <c r="A665" s="23" t="s">
        <v>2088</v>
      </c>
      <c r="I665" s="18" t="s">
        <v>1965</v>
      </c>
      <c r="K665" s="18" t="s">
        <v>981</v>
      </c>
      <c r="L665" s="18" t="s">
        <v>2127</v>
      </c>
      <c r="M665" s="23"/>
      <c r="N665" s="18"/>
      <c r="O665" s="18"/>
      <c r="P665" s="18"/>
      <c r="Q665" s="20" t="s">
        <v>2088</v>
      </c>
    </row>
    <row r="666" spans="1:20" x14ac:dyDescent="0.2">
      <c r="A666" s="23" t="s">
        <v>2089</v>
      </c>
      <c r="I666" s="18" t="s">
        <v>1965</v>
      </c>
      <c r="K666" s="18" t="s">
        <v>981</v>
      </c>
      <c r="L666" s="18" t="s">
        <v>2122</v>
      </c>
      <c r="M666" s="23"/>
      <c r="N666" s="18"/>
      <c r="O666" s="18"/>
      <c r="P666" s="18"/>
      <c r="Q666" s="20" t="s">
        <v>2089</v>
      </c>
    </row>
    <row r="667" spans="1:20" x14ac:dyDescent="0.2">
      <c r="A667" s="23" t="s">
        <v>2007</v>
      </c>
      <c r="I667" s="18" t="s">
        <v>1975</v>
      </c>
      <c r="K667" s="18" t="s">
        <v>981</v>
      </c>
      <c r="L667" s="18" t="s">
        <v>1970</v>
      </c>
      <c r="M667" s="23" t="s">
        <v>2007</v>
      </c>
      <c r="Q667" s="20"/>
      <c r="R667" s="18"/>
      <c r="S667" s="18"/>
      <c r="T667" s="18"/>
    </row>
    <row r="668" spans="1:20" x14ac:dyDescent="0.2">
      <c r="A668" s="23" t="s">
        <v>2008</v>
      </c>
      <c r="I668" s="18" t="s">
        <v>1975</v>
      </c>
      <c r="K668" s="18" t="s">
        <v>981</v>
      </c>
      <c r="L668" s="18" t="s">
        <v>1824</v>
      </c>
      <c r="M668" s="23" t="s">
        <v>2008</v>
      </c>
      <c r="Q668" s="20"/>
      <c r="R668" s="18"/>
      <c r="S668" s="18"/>
      <c r="T668" s="18"/>
    </row>
    <row r="669" spans="1:20" x14ac:dyDescent="0.2">
      <c r="A669" s="23" t="s">
        <v>1614</v>
      </c>
      <c r="I669" s="18" t="s">
        <v>1587</v>
      </c>
      <c r="K669" s="18" t="s">
        <v>981</v>
      </c>
      <c r="L669" s="18" t="s">
        <v>1106</v>
      </c>
      <c r="M669" s="23"/>
      <c r="N669" s="18"/>
      <c r="O669" s="18"/>
      <c r="P669" s="18"/>
      <c r="Q669" s="20"/>
      <c r="R669" s="18"/>
      <c r="S669" s="18"/>
      <c r="T669" s="18"/>
    </row>
    <row r="670" spans="1:20" x14ac:dyDescent="0.2">
      <c r="A670" s="23" t="s">
        <v>2009</v>
      </c>
      <c r="I670" s="18" t="s">
        <v>1975</v>
      </c>
      <c r="K670" s="18" t="s">
        <v>1040</v>
      </c>
      <c r="L670" s="18" t="s">
        <v>1970</v>
      </c>
      <c r="M670" s="23" t="s">
        <v>2009</v>
      </c>
      <c r="Q670" s="20"/>
      <c r="R670" s="18"/>
      <c r="S670" s="18"/>
      <c r="T670" s="18"/>
    </row>
    <row r="671" spans="1:20" x14ac:dyDescent="0.2">
      <c r="A671" s="23" t="s">
        <v>1613</v>
      </c>
      <c r="I671" s="18" t="s">
        <v>1587</v>
      </c>
      <c r="K671" s="18" t="s">
        <v>981</v>
      </c>
      <c r="L671" s="18" t="s">
        <v>1612</v>
      </c>
      <c r="M671" s="23"/>
      <c r="N671" s="18"/>
      <c r="O671" s="18"/>
      <c r="P671" s="18"/>
      <c r="Q671" s="20"/>
      <c r="R671" s="18"/>
      <c r="S671" s="18"/>
      <c r="T671" s="18"/>
    </row>
    <row r="672" spans="1:20" x14ac:dyDescent="0.2">
      <c r="A672" s="23" t="s">
        <v>1611</v>
      </c>
      <c r="I672" s="18" t="s">
        <v>1587</v>
      </c>
      <c r="K672" s="18" t="s">
        <v>981</v>
      </c>
      <c r="L672" s="18" t="s">
        <v>1610</v>
      </c>
      <c r="M672" s="23"/>
      <c r="N672" s="18"/>
      <c r="O672" s="18"/>
      <c r="P672" s="18"/>
      <c r="Q672" s="20"/>
      <c r="R672" s="18"/>
      <c r="S672" s="18"/>
      <c r="T672" s="18"/>
    </row>
    <row r="673" spans="1:20" x14ac:dyDescent="0.2">
      <c r="A673" s="23" t="s">
        <v>1609</v>
      </c>
      <c r="I673" s="18" t="s">
        <v>1587</v>
      </c>
      <c r="K673" s="18" t="s">
        <v>981</v>
      </c>
      <c r="L673" s="18" t="s">
        <v>1608</v>
      </c>
      <c r="M673" s="23"/>
      <c r="N673" s="18"/>
      <c r="O673" s="18"/>
      <c r="P673" s="18"/>
      <c r="Q673" s="20"/>
      <c r="R673" s="18"/>
      <c r="S673" s="18"/>
      <c r="T673" s="18"/>
    </row>
    <row r="674" spans="1:20" x14ac:dyDescent="0.2">
      <c r="A674" s="23" t="s">
        <v>1607</v>
      </c>
      <c r="I674" s="18" t="s">
        <v>1587</v>
      </c>
      <c r="K674" s="18"/>
      <c r="L674" s="18" t="s">
        <v>1606</v>
      </c>
      <c r="M674" s="23"/>
      <c r="N674" s="18"/>
      <c r="O674" s="18"/>
      <c r="P674" s="18"/>
      <c r="Q674" s="20"/>
      <c r="R674" s="18"/>
      <c r="S674" s="18"/>
      <c r="T674" s="18"/>
    </row>
    <row r="675" spans="1:20" x14ac:dyDescent="0.2">
      <c r="A675" s="23" t="s">
        <v>2090</v>
      </c>
      <c r="I675" s="18" t="s">
        <v>1965</v>
      </c>
      <c r="K675" s="18" t="s">
        <v>981</v>
      </c>
      <c r="L675" s="18" t="s">
        <v>2128</v>
      </c>
      <c r="Q675" s="20" t="s">
        <v>2090</v>
      </c>
    </row>
    <row r="676" spans="1:20" x14ac:dyDescent="0.2">
      <c r="A676" s="23" t="s">
        <v>2010</v>
      </c>
      <c r="I676" s="18" t="s">
        <v>1978</v>
      </c>
      <c r="K676" s="18" t="s">
        <v>981</v>
      </c>
      <c r="L676" s="18" t="s">
        <v>2011</v>
      </c>
      <c r="Q676" s="20"/>
      <c r="R676" s="18"/>
      <c r="S676" s="18"/>
      <c r="T676" s="18"/>
    </row>
    <row r="677" spans="1:20" x14ac:dyDescent="0.2">
      <c r="A677" s="23" t="s">
        <v>2091</v>
      </c>
      <c r="I677" s="18" t="s">
        <v>1965</v>
      </c>
      <c r="K677" s="18" t="s">
        <v>981</v>
      </c>
      <c r="L677" s="18" t="s">
        <v>1988</v>
      </c>
      <c r="P677" s="18"/>
      <c r="Q677" s="20" t="s">
        <v>2091</v>
      </c>
    </row>
    <row r="678" spans="1:20" x14ac:dyDescent="0.2">
      <c r="A678" s="23" t="s">
        <v>2092</v>
      </c>
      <c r="I678" s="18" t="s">
        <v>1965</v>
      </c>
      <c r="K678" s="18" t="s">
        <v>981</v>
      </c>
      <c r="L678" s="18" t="s">
        <v>2129</v>
      </c>
      <c r="P678" s="18"/>
      <c r="Q678" s="20" t="s">
        <v>2092</v>
      </c>
    </row>
    <row r="679" spans="1:20" x14ac:dyDescent="0.2">
      <c r="A679" s="23" t="s">
        <v>2012</v>
      </c>
      <c r="I679" s="18" t="s">
        <v>2064</v>
      </c>
      <c r="K679" s="18" t="s">
        <v>981</v>
      </c>
      <c r="L679" s="18" t="s">
        <v>2013</v>
      </c>
      <c r="Q679" s="20"/>
      <c r="R679" s="18"/>
      <c r="S679" s="18"/>
      <c r="T679" s="18"/>
    </row>
    <row r="680" spans="1:20" x14ac:dyDescent="0.2">
      <c r="A680" s="23" t="s">
        <v>2014</v>
      </c>
      <c r="I680" s="18" t="s">
        <v>2015</v>
      </c>
      <c r="K680" s="18" t="s">
        <v>1040</v>
      </c>
      <c r="L680" s="18" t="s">
        <v>1826</v>
      </c>
      <c r="Q680" s="20"/>
      <c r="R680" s="18"/>
      <c r="S680" s="18"/>
      <c r="T680" s="18"/>
    </row>
    <row r="681" spans="1:20" x14ac:dyDescent="0.2">
      <c r="A681" s="23" t="s">
        <v>2093</v>
      </c>
      <c r="I681" s="18" t="s">
        <v>1965</v>
      </c>
      <c r="K681" s="18" t="s">
        <v>981</v>
      </c>
      <c r="L681" s="18" t="s">
        <v>2130</v>
      </c>
      <c r="M681" s="23"/>
      <c r="N681" s="18"/>
      <c r="O681" s="18"/>
      <c r="P681" s="18"/>
      <c r="Q681" s="20" t="s">
        <v>2093</v>
      </c>
    </row>
    <row r="682" spans="1:20" x14ac:dyDescent="0.2">
      <c r="A682" s="23" t="s">
        <v>2094</v>
      </c>
      <c r="I682" s="18" t="s">
        <v>1965</v>
      </c>
      <c r="K682" s="18" t="s">
        <v>981</v>
      </c>
      <c r="L682" s="18" t="s">
        <v>2131</v>
      </c>
      <c r="M682" s="23"/>
      <c r="N682" s="18"/>
      <c r="O682" s="18"/>
      <c r="P682" s="18"/>
      <c r="Q682" s="20" t="s">
        <v>2094</v>
      </c>
    </row>
    <row r="683" spans="1:20" x14ac:dyDescent="0.2">
      <c r="A683" s="23" t="s">
        <v>2095</v>
      </c>
      <c r="I683" s="18" t="s">
        <v>1965</v>
      </c>
      <c r="K683" s="18" t="s">
        <v>981</v>
      </c>
      <c r="L683" s="18" t="s">
        <v>1667</v>
      </c>
      <c r="M683" s="23"/>
      <c r="N683" s="18"/>
      <c r="O683" s="18"/>
      <c r="P683" s="18"/>
      <c r="Q683" s="20" t="s">
        <v>2095</v>
      </c>
    </row>
    <row r="684" spans="1:20" x14ac:dyDescent="0.2">
      <c r="A684" s="23" t="s">
        <v>2096</v>
      </c>
      <c r="I684" s="18" t="s">
        <v>1965</v>
      </c>
      <c r="K684" s="18" t="s">
        <v>981</v>
      </c>
      <c r="L684" s="18" t="s">
        <v>2132</v>
      </c>
      <c r="M684" s="23"/>
      <c r="N684" s="18"/>
      <c r="O684" s="18"/>
      <c r="P684" s="18"/>
      <c r="Q684" s="20" t="s">
        <v>2096</v>
      </c>
    </row>
    <row r="685" spans="1:20" x14ac:dyDescent="0.2">
      <c r="A685" s="23" t="s">
        <v>2097</v>
      </c>
      <c r="I685" s="18" t="s">
        <v>1965</v>
      </c>
      <c r="K685" s="18" t="s">
        <v>981</v>
      </c>
      <c r="L685" s="18" t="s">
        <v>2133</v>
      </c>
      <c r="M685" s="23"/>
      <c r="N685" s="18"/>
      <c r="O685" s="18"/>
      <c r="P685" s="18"/>
      <c r="Q685" s="20" t="s">
        <v>2097</v>
      </c>
    </row>
    <row r="686" spans="1:20" x14ac:dyDescent="0.2">
      <c r="A686" s="23" t="s">
        <v>2098</v>
      </c>
      <c r="I686" s="18" t="s">
        <v>1965</v>
      </c>
      <c r="K686" s="18" t="s">
        <v>981</v>
      </c>
      <c r="L686" s="18" t="s">
        <v>2129</v>
      </c>
      <c r="M686" s="23"/>
      <c r="N686" s="18"/>
      <c r="O686" s="18"/>
      <c r="P686" s="18"/>
      <c r="Q686" s="20" t="s">
        <v>2098</v>
      </c>
    </row>
    <row r="687" spans="1:20" x14ac:dyDescent="0.2">
      <c r="A687" s="23" t="s">
        <v>2099</v>
      </c>
      <c r="I687" s="18" t="s">
        <v>1965</v>
      </c>
      <c r="K687" s="18" t="s">
        <v>981</v>
      </c>
      <c r="L687" s="18" t="s">
        <v>2134</v>
      </c>
      <c r="M687" s="23"/>
      <c r="N687" s="18"/>
      <c r="O687" s="18"/>
      <c r="P687" s="18"/>
      <c r="Q687" s="20" t="s">
        <v>2099</v>
      </c>
    </row>
    <row r="688" spans="1:20" x14ac:dyDescent="0.2">
      <c r="A688" s="23" t="s">
        <v>2100</v>
      </c>
      <c r="I688" s="18" t="s">
        <v>1965</v>
      </c>
      <c r="K688" s="18" t="s">
        <v>981</v>
      </c>
      <c r="L688" s="18" t="s">
        <v>1860</v>
      </c>
      <c r="M688" s="23"/>
      <c r="N688" s="18"/>
      <c r="O688" s="18"/>
      <c r="P688" s="18"/>
      <c r="Q688" s="20" t="s">
        <v>2100</v>
      </c>
    </row>
    <row r="689" spans="1:20" x14ac:dyDescent="0.2">
      <c r="A689" s="23" t="s">
        <v>2101</v>
      </c>
      <c r="I689" s="18" t="s">
        <v>1965</v>
      </c>
      <c r="K689" s="18" t="s">
        <v>981</v>
      </c>
      <c r="L689" s="18" t="s">
        <v>1828</v>
      </c>
      <c r="M689" s="23"/>
      <c r="O689" s="18"/>
      <c r="P689" s="18"/>
      <c r="Q689" s="20" t="s">
        <v>2101</v>
      </c>
    </row>
    <row r="690" spans="1:20" x14ac:dyDescent="0.2">
      <c r="A690" s="23" t="s">
        <v>2016</v>
      </c>
      <c r="I690" s="18" t="s">
        <v>1975</v>
      </c>
      <c r="K690" s="18" t="s">
        <v>981</v>
      </c>
      <c r="L690" s="18" t="s">
        <v>2017</v>
      </c>
      <c r="M690" s="23" t="s">
        <v>2016</v>
      </c>
      <c r="Q690" s="20"/>
      <c r="R690" s="18"/>
      <c r="S690" s="18"/>
      <c r="T690" s="18"/>
    </row>
    <row r="691" spans="1:20" x14ac:dyDescent="0.2">
      <c r="A691" s="23" t="s">
        <v>2018</v>
      </c>
      <c r="I691" s="18" t="s">
        <v>1975</v>
      </c>
      <c r="K691" s="18" t="s">
        <v>1040</v>
      </c>
      <c r="L691" s="18" t="s">
        <v>1597</v>
      </c>
      <c r="M691" s="23" t="s">
        <v>2018</v>
      </c>
      <c r="Q691" s="20"/>
      <c r="R691" s="18"/>
      <c r="S691" s="18"/>
      <c r="T691" s="18"/>
    </row>
    <row r="692" spans="1:20" x14ac:dyDescent="0.2">
      <c r="A692" s="23" t="s">
        <v>1605</v>
      </c>
      <c r="I692" s="18" t="s">
        <v>1587</v>
      </c>
      <c r="K692" s="18" t="s">
        <v>981</v>
      </c>
      <c r="L692" s="18" t="s">
        <v>1604</v>
      </c>
      <c r="M692" s="23"/>
      <c r="N692" s="18"/>
      <c r="O692" s="18"/>
      <c r="P692" s="18"/>
      <c r="Q692" s="20"/>
      <c r="R692" s="18"/>
      <c r="S692" s="18"/>
      <c r="T692" s="18"/>
    </row>
    <row r="693" spans="1:20" x14ac:dyDescent="0.2">
      <c r="A693" s="23" t="s">
        <v>1603</v>
      </c>
      <c r="I693" s="18" t="s">
        <v>1587</v>
      </c>
      <c r="K693" s="18" t="s">
        <v>981</v>
      </c>
      <c r="L693" s="18" t="s">
        <v>1602</v>
      </c>
      <c r="M693" s="23"/>
      <c r="N693" s="18"/>
      <c r="O693" s="18"/>
      <c r="P693" s="18"/>
      <c r="Q693" s="20"/>
      <c r="R693" s="18"/>
      <c r="S693" s="18"/>
      <c r="T693" s="18"/>
    </row>
    <row r="694" spans="1:20" x14ac:dyDescent="0.2">
      <c r="A694" s="23" t="s">
        <v>1601</v>
      </c>
      <c r="I694" s="18" t="s">
        <v>1588</v>
      </c>
      <c r="K694" s="18" t="s">
        <v>981</v>
      </c>
      <c r="L694" s="18" t="s">
        <v>1228</v>
      </c>
      <c r="M694" s="23"/>
      <c r="N694" s="18"/>
      <c r="O694" s="18"/>
      <c r="P694" s="18"/>
      <c r="Q694" s="20"/>
      <c r="R694" s="18"/>
      <c r="S694" s="18"/>
      <c r="T694" s="18"/>
    </row>
    <row r="695" spans="1:20" x14ac:dyDescent="0.2">
      <c r="A695" s="23" t="s">
        <v>1600</v>
      </c>
      <c r="I695" s="18" t="s">
        <v>1587</v>
      </c>
      <c r="K695" s="18" t="s">
        <v>981</v>
      </c>
      <c r="L695" s="18" t="s">
        <v>1599</v>
      </c>
      <c r="M695" s="23"/>
      <c r="N695" s="18"/>
      <c r="O695" s="18"/>
      <c r="P695" s="18"/>
      <c r="Q695" s="20"/>
      <c r="R695" s="18"/>
      <c r="S695" s="18"/>
      <c r="T695" s="18"/>
    </row>
    <row r="696" spans="1:20" x14ac:dyDescent="0.2">
      <c r="A696" s="23" t="s">
        <v>1598</v>
      </c>
      <c r="I696" s="18" t="s">
        <v>1588</v>
      </c>
      <c r="K696" s="18" t="s">
        <v>981</v>
      </c>
      <c r="L696" s="18" t="s">
        <v>1597</v>
      </c>
      <c r="M696" s="23"/>
      <c r="N696" s="18"/>
      <c r="O696" s="18"/>
      <c r="P696" s="18"/>
      <c r="Q696" s="20"/>
      <c r="R696" s="18"/>
      <c r="S696" s="18"/>
      <c r="T696" s="18"/>
    </row>
    <row r="697" spans="1:20" x14ac:dyDescent="0.2">
      <c r="A697" s="23" t="s">
        <v>1596</v>
      </c>
      <c r="I697" s="18" t="s">
        <v>1588</v>
      </c>
      <c r="K697" s="18" t="s">
        <v>981</v>
      </c>
      <c r="L697" s="18" t="s">
        <v>1595</v>
      </c>
      <c r="M697" s="23"/>
      <c r="N697" s="18"/>
      <c r="O697" s="18"/>
      <c r="P697" s="18"/>
      <c r="Q697" s="20"/>
      <c r="R697" s="18"/>
      <c r="S697" s="18"/>
      <c r="T697" s="18"/>
    </row>
    <row r="698" spans="1:20" x14ac:dyDescent="0.2">
      <c r="A698" s="23" t="s">
        <v>1923</v>
      </c>
      <c r="I698" s="18" t="s">
        <v>2020</v>
      </c>
      <c r="K698" s="18" t="s">
        <v>981</v>
      </c>
      <c r="L698" s="18" t="s">
        <v>2019</v>
      </c>
      <c r="M698" s="23" t="s">
        <v>1923</v>
      </c>
      <c r="Q698" s="20"/>
      <c r="R698" s="18"/>
      <c r="S698" s="18"/>
      <c r="T698" s="18"/>
    </row>
    <row r="699" spans="1:20" x14ac:dyDescent="0.2">
      <c r="A699" s="23" t="s">
        <v>1924</v>
      </c>
      <c r="I699" s="18" t="s">
        <v>1965</v>
      </c>
      <c r="K699" s="18" t="s">
        <v>1040</v>
      </c>
      <c r="L699" s="18" t="s">
        <v>1774</v>
      </c>
      <c r="M699" s="23"/>
      <c r="N699" s="18"/>
      <c r="O699" s="18"/>
      <c r="P699" s="18"/>
      <c r="Q699" s="20" t="s">
        <v>1924</v>
      </c>
    </row>
    <row r="700" spans="1:20" x14ac:dyDescent="0.2">
      <c r="A700" s="23" t="s">
        <v>1925</v>
      </c>
      <c r="I700" s="18" t="s">
        <v>2021</v>
      </c>
      <c r="K700" s="18" t="s">
        <v>981</v>
      </c>
      <c r="L700" s="18" t="s">
        <v>1993</v>
      </c>
      <c r="M700" s="23" t="s">
        <v>1925</v>
      </c>
      <c r="Q700" s="20"/>
      <c r="T700" s="18"/>
    </row>
    <row r="701" spans="1:20" x14ac:dyDescent="0.2">
      <c r="A701" s="23" t="s">
        <v>1926</v>
      </c>
      <c r="I701" s="18" t="s">
        <v>1965</v>
      </c>
      <c r="K701" s="18" t="s">
        <v>981</v>
      </c>
      <c r="L701" s="18" t="s">
        <v>1964</v>
      </c>
      <c r="Q701" s="20" t="s">
        <v>1926</v>
      </c>
    </row>
    <row r="702" spans="1:20" x14ac:dyDescent="0.2">
      <c r="A702" s="23" t="s">
        <v>1927</v>
      </c>
      <c r="I702" s="18" t="s">
        <v>1965</v>
      </c>
      <c r="K702" s="18" t="s">
        <v>981</v>
      </c>
      <c r="L702" s="18" t="s">
        <v>2029</v>
      </c>
      <c r="Q702" s="20" t="s">
        <v>1927</v>
      </c>
    </row>
    <row r="703" spans="1:20" x14ac:dyDescent="0.2">
      <c r="A703" s="23" t="s">
        <v>1928</v>
      </c>
      <c r="I703" s="18" t="s">
        <v>1965</v>
      </c>
      <c r="K703" s="18" t="s">
        <v>981</v>
      </c>
      <c r="L703" s="18" t="s">
        <v>2119</v>
      </c>
      <c r="Q703" s="20" t="s">
        <v>1928</v>
      </c>
    </row>
    <row r="704" spans="1:20" x14ac:dyDescent="0.2">
      <c r="A704" s="23" t="s">
        <v>1929</v>
      </c>
      <c r="I704" s="18" t="s">
        <v>1965</v>
      </c>
      <c r="K704" s="18" t="s">
        <v>981</v>
      </c>
      <c r="L704" s="18" t="s">
        <v>1737</v>
      </c>
      <c r="Q704" s="20" t="s">
        <v>1929</v>
      </c>
    </row>
    <row r="705" spans="1:20" x14ac:dyDescent="0.2">
      <c r="A705" s="23" t="s">
        <v>1930</v>
      </c>
      <c r="I705" s="18" t="s">
        <v>1965</v>
      </c>
      <c r="K705" s="18" t="s">
        <v>981</v>
      </c>
      <c r="L705" s="18" t="s">
        <v>2135</v>
      </c>
      <c r="Q705" s="20" t="s">
        <v>1930</v>
      </c>
    </row>
    <row r="706" spans="1:20" x14ac:dyDescent="0.2">
      <c r="A706" s="23" t="s">
        <v>1931</v>
      </c>
      <c r="I706" s="18" t="s">
        <v>1965</v>
      </c>
      <c r="K706" s="18" t="s">
        <v>981</v>
      </c>
      <c r="L706" s="18" t="s">
        <v>2136</v>
      </c>
      <c r="Q706" s="20" t="s">
        <v>1931</v>
      </c>
    </row>
    <row r="707" spans="1:20" x14ac:dyDescent="0.2">
      <c r="A707" s="23" t="s">
        <v>1932</v>
      </c>
      <c r="I707" s="18" t="s">
        <v>1965</v>
      </c>
      <c r="K707" s="18" t="s">
        <v>981</v>
      </c>
      <c r="L707" s="18" t="s">
        <v>1698</v>
      </c>
      <c r="Q707" s="20" t="s">
        <v>1932</v>
      </c>
    </row>
    <row r="708" spans="1:20" x14ac:dyDescent="0.2">
      <c r="A708" s="23" t="s">
        <v>1933</v>
      </c>
      <c r="I708" s="18" t="s">
        <v>1965</v>
      </c>
      <c r="K708" s="18" t="s">
        <v>981</v>
      </c>
      <c r="L708" s="18" t="s">
        <v>1824</v>
      </c>
      <c r="Q708" s="20" t="s">
        <v>1933</v>
      </c>
    </row>
    <row r="709" spans="1:20" x14ac:dyDescent="0.2">
      <c r="A709" s="23" t="s">
        <v>1934</v>
      </c>
      <c r="I709" s="18" t="s">
        <v>1965</v>
      </c>
      <c r="K709" s="18" t="s">
        <v>981</v>
      </c>
      <c r="L709" s="18" t="s">
        <v>2137</v>
      </c>
      <c r="Q709" s="20" t="s">
        <v>1934</v>
      </c>
    </row>
    <row r="710" spans="1:20" x14ac:dyDescent="0.2">
      <c r="A710" s="23" t="s">
        <v>1935</v>
      </c>
      <c r="I710" s="18" t="s">
        <v>1965</v>
      </c>
      <c r="K710" s="18" t="s">
        <v>981</v>
      </c>
      <c r="L710" s="18" t="s">
        <v>1810</v>
      </c>
      <c r="Q710" s="20" t="s">
        <v>1935</v>
      </c>
    </row>
    <row r="711" spans="1:20" x14ac:dyDescent="0.2">
      <c r="A711" s="23" t="s">
        <v>1936</v>
      </c>
      <c r="I711" s="18" t="s">
        <v>1965</v>
      </c>
      <c r="K711" s="18" t="s">
        <v>981</v>
      </c>
      <c r="L711" s="25" t="s">
        <v>2138</v>
      </c>
      <c r="Q711" s="20" t="s">
        <v>1936</v>
      </c>
    </row>
    <row r="712" spans="1:20" x14ac:dyDescent="0.2">
      <c r="A712" s="23" t="s">
        <v>1937</v>
      </c>
      <c r="I712" s="18" t="s">
        <v>1965</v>
      </c>
      <c r="K712" s="18" t="s">
        <v>981</v>
      </c>
      <c r="L712" s="18" t="s">
        <v>2128</v>
      </c>
      <c r="Q712" s="20" t="s">
        <v>1937</v>
      </c>
    </row>
    <row r="713" spans="1:20" x14ac:dyDescent="0.2">
      <c r="A713" s="23" t="s">
        <v>1938</v>
      </c>
      <c r="I713" s="18" t="s">
        <v>1975</v>
      </c>
      <c r="K713" s="18" t="s">
        <v>981</v>
      </c>
      <c r="L713" s="18" t="s">
        <v>2022</v>
      </c>
      <c r="M713" s="23" t="s">
        <v>1938</v>
      </c>
      <c r="Q713" s="20"/>
      <c r="R713" s="18"/>
      <c r="S713" s="18"/>
      <c r="T713" s="18"/>
    </row>
    <row r="714" spans="1:20" x14ac:dyDescent="0.2">
      <c r="A714" s="23" t="s">
        <v>1939</v>
      </c>
      <c r="I714" s="18" t="s">
        <v>1975</v>
      </c>
      <c r="K714" s="18" t="s">
        <v>981</v>
      </c>
      <c r="L714" s="18" t="s">
        <v>2023</v>
      </c>
      <c r="M714" s="23" t="s">
        <v>1939</v>
      </c>
      <c r="Q714" s="20"/>
      <c r="R714" s="18"/>
      <c r="S714" s="18"/>
      <c r="T714" s="18"/>
    </row>
    <row r="715" spans="1:20" x14ac:dyDescent="0.2">
      <c r="A715" s="23" t="s">
        <v>1594</v>
      </c>
      <c r="B715" s="14"/>
      <c r="C715" s="14"/>
      <c r="D715" s="14"/>
      <c r="E715" s="14"/>
      <c r="F715" s="14"/>
      <c r="G715" s="14"/>
      <c r="H715" s="14"/>
      <c r="I715" s="24"/>
      <c r="J715" s="14"/>
      <c r="Q715" s="20"/>
      <c r="R715" s="18"/>
      <c r="S715" s="18"/>
      <c r="T715" s="18"/>
    </row>
    <row r="716" spans="1:20" x14ac:dyDescent="0.2">
      <c r="A716" s="23" t="s">
        <v>1593</v>
      </c>
      <c r="B716" s="14"/>
      <c r="C716" s="14"/>
      <c r="D716" s="14"/>
      <c r="E716" s="14"/>
      <c r="F716" s="14"/>
      <c r="G716" s="14"/>
      <c r="H716" s="14"/>
      <c r="I716" s="24"/>
      <c r="J716" s="14"/>
      <c r="Q716" s="20"/>
      <c r="R716" s="18"/>
      <c r="S716" s="18"/>
      <c r="T716" s="18"/>
    </row>
    <row r="717" spans="1:20" x14ac:dyDescent="0.2">
      <c r="A717" s="23" t="s">
        <v>2024</v>
      </c>
      <c r="B717" s="24"/>
      <c r="C717" s="14"/>
      <c r="D717" s="14"/>
      <c r="E717" s="14"/>
      <c r="F717" s="14"/>
      <c r="G717" s="14"/>
      <c r="H717" s="14"/>
      <c r="I717" s="18" t="s">
        <v>1975</v>
      </c>
      <c r="J717" s="14"/>
      <c r="K717" s="18" t="s">
        <v>981</v>
      </c>
      <c r="L717" s="18" t="s">
        <v>2025</v>
      </c>
      <c r="M717" s="23" t="s">
        <v>2024</v>
      </c>
      <c r="Q717" s="20"/>
      <c r="R717" s="18"/>
      <c r="S717" s="18"/>
      <c r="T717" s="18"/>
    </row>
    <row r="718" spans="1:20" x14ac:dyDescent="0.2">
      <c r="A718" s="23" t="s">
        <v>2026</v>
      </c>
      <c r="B718" s="24"/>
      <c r="C718" s="14"/>
      <c r="D718" s="14"/>
      <c r="E718" s="14"/>
      <c r="F718" s="14"/>
      <c r="G718" s="14"/>
      <c r="H718" s="14"/>
      <c r="I718" s="18" t="s">
        <v>1975</v>
      </c>
      <c r="J718" s="14"/>
      <c r="K718" s="18" t="s">
        <v>1040</v>
      </c>
      <c r="L718" s="18" t="s">
        <v>1671</v>
      </c>
      <c r="M718" s="23" t="s">
        <v>2026</v>
      </c>
      <c r="Q718" s="20"/>
      <c r="R718" s="18"/>
      <c r="S718" s="18"/>
      <c r="T718" s="18"/>
    </row>
    <row r="719" spans="1:20" x14ac:dyDescent="0.2">
      <c r="A719" s="23" t="s">
        <v>2027</v>
      </c>
      <c r="B719" s="24"/>
      <c r="C719" s="14"/>
      <c r="D719" s="14"/>
      <c r="E719" s="14"/>
      <c r="F719" s="14"/>
      <c r="G719" s="14"/>
      <c r="H719" s="14"/>
      <c r="I719" s="18" t="s">
        <v>1975</v>
      </c>
      <c r="J719" s="14"/>
      <c r="K719" s="18" t="s">
        <v>1040</v>
      </c>
      <c r="L719" s="18" t="s">
        <v>1819</v>
      </c>
      <c r="M719" s="23" t="s">
        <v>2027</v>
      </c>
      <c r="Q719" s="20"/>
      <c r="R719" s="18"/>
      <c r="S719" s="18"/>
      <c r="T719" s="18"/>
    </row>
    <row r="720" spans="1:20" x14ac:dyDescent="0.2">
      <c r="A720" s="23" t="s">
        <v>1591</v>
      </c>
      <c r="B720" s="14"/>
      <c r="C720" s="14"/>
      <c r="D720" s="14"/>
      <c r="E720" s="14"/>
      <c r="F720" s="14"/>
      <c r="G720" s="14"/>
      <c r="H720" s="14"/>
      <c r="I720" s="14"/>
      <c r="J720" s="14"/>
      <c r="K720" s="24"/>
      <c r="Q720" s="20"/>
      <c r="R720" s="18"/>
      <c r="S720" s="18"/>
      <c r="T720" s="18"/>
    </row>
    <row r="721" spans="1:20" x14ac:dyDescent="0.2">
      <c r="A721" s="23" t="s">
        <v>2102</v>
      </c>
      <c r="B721" s="14"/>
      <c r="C721" s="14"/>
      <c r="D721" s="14"/>
      <c r="E721" s="14"/>
      <c r="F721" s="14"/>
      <c r="G721" s="14"/>
      <c r="H721" s="14"/>
      <c r="I721" s="18" t="s">
        <v>1965</v>
      </c>
      <c r="J721" s="14"/>
      <c r="K721" s="18" t="s">
        <v>981</v>
      </c>
      <c r="L721" s="18" t="s">
        <v>2122</v>
      </c>
      <c r="Q721" s="20" t="s">
        <v>2102</v>
      </c>
    </row>
    <row r="722" spans="1:20" x14ac:dyDescent="0.2">
      <c r="A722" s="23" t="s">
        <v>2028</v>
      </c>
      <c r="I722" s="18" t="s">
        <v>1978</v>
      </c>
      <c r="K722" s="18" t="s">
        <v>1040</v>
      </c>
      <c r="L722" s="18" t="s">
        <v>2029</v>
      </c>
      <c r="M722" s="23" t="s">
        <v>2028</v>
      </c>
      <c r="Q722" s="20"/>
      <c r="R722" s="18"/>
      <c r="S722" s="18"/>
      <c r="T722" s="18"/>
    </row>
    <row r="723" spans="1:20" x14ac:dyDescent="0.2">
      <c r="A723" s="23" t="s">
        <v>2030</v>
      </c>
      <c r="I723" s="18" t="s">
        <v>1978</v>
      </c>
      <c r="K723" s="18" t="s">
        <v>981</v>
      </c>
      <c r="L723" s="18" t="s">
        <v>2031</v>
      </c>
      <c r="M723" s="23" t="s">
        <v>2030</v>
      </c>
      <c r="Q723" s="20"/>
      <c r="R723" s="18"/>
      <c r="S723" s="18"/>
      <c r="T723" s="18"/>
    </row>
    <row r="724" spans="1:20" x14ac:dyDescent="0.2">
      <c r="A724" s="23" t="s">
        <v>2032</v>
      </c>
      <c r="I724" s="18" t="s">
        <v>1978</v>
      </c>
      <c r="K724" s="18" t="s">
        <v>981</v>
      </c>
      <c r="L724" s="18" t="s">
        <v>1988</v>
      </c>
      <c r="M724" s="23" t="s">
        <v>2032</v>
      </c>
      <c r="Q724" s="20"/>
      <c r="R724" s="18"/>
      <c r="S724" s="18"/>
      <c r="T724" s="18"/>
    </row>
    <row r="725" spans="1:20" x14ac:dyDescent="0.2">
      <c r="A725" s="23" t="s">
        <v>2033</v>
      </c>
      <c r="I725" s="18" t="s">
        <v>2035</v>
      </c>
      <c r="K725" s="18" t="s">
        <v>981</v>
      </c>
      <c r="L725" s="18" t="s">
        <v>2034</v>
      </c>
      <c r="M725" s="23" t="s">
        <v>2033</v>
      </c>
      <c r="Q725" s="20"/>
      <c r="R725" s="18"/>
      <c r="S725" s="18"/>
      <c r="T725" s="18"/>
    </row>
    <row r="726" spans="1:20" x14ac:dyDescent="0.2">
      <c r="A726" s="23" t="s">
        <v>2103</v>
      </c>
      <c r="I726" s="18" t="s">
        <v>1965</v>
      </c>
      <c r="K726" s="18" t="s">
        <v>981</v>
      </c>
      <c r="L726" s="18" t="s">
        <v>1964</v>
      </c>
      <c r="Q726" s="20" t="s">
        <v>2103</v>
      </c>
    </row>
    <row r="727" spans="1:20" x14ac:dyDescent="0.2">
      <c r="A727" s="23" t="s">
        <v>2104</v>
      </c>
      <c r="I727" s="18" t="s">
        <v>1965</v>
      </c>
      <c r="K727" s="18" t="s">
        <v>981</v>
      </c>
      <c r="L727" s="18" t="s">
        <v>2139</v>
      </c>
      <c r="Q727" s="20" t="s">
        <v>2104</v>
      </c>
    </row>
    <row r="728" spans="1:20" x14ac:dyDescent="0.2">
      <c r="A728" s="23" t="s">
        <v>2105</v>
      </c>
      <c r="I728" s="18" t="s">
        <v>1965</v>
      </c>
      <c r="K728" s="18" t="s">
        <v>981</v>
      </c>
      <c r="L728" s="18" t="s">
        <v>1821</v>
      </c>
      <c r="Q728" s="20" t="s">
        <v>2105</v>
      </c>
    </row>
    <row r="729" spans="1:20" x14ac:dyDescent="0.2">
      <c r="A729" s="23" t="s">
        <v>2106</v>
      </c>
      <c r="I729" s="18" t="s">
        <v>1965</v>
      </c>
      <c r="K729" s="18" t="s">
        <v>981</v>
      </c>
      <c r="L729" s="18" t="s">
        <v>1850</v>
      </c>
      <c r="Q729" s="20" t="s">
        <v>2106</v>
      </c>
    </row>
    <row r="730" spans="1:20" x14ac:dyDescent="0.2">
      <c r="A730" s="23" t="s">
        <v>2107</v>
      </c>
      <c r="I730" s="18" t="s">
        <v>1965</v>
      </c>
      <c r="K730" s="18" t="s">
        <v>981</v>
      </c>
      <c r="L730" s="18" t="s">
        <v>2140</v>
      </c>
      <c r="Q730" s="20" t="s">
        <v>2107</v>
      </c>
    </row>
    <row r="731" spans="1:20" x14ac:dyDescent="0.2">
      <c r="A731" s="23" t="s">
        <v>2108</v>
      </c>
      <c r="I731" s="18" t="s">
        <v>1965</v>
      </c>
      <c r="K731" s="18" t="s">
        <v>981</v>
      </c>
      <c r="L731" s="18" t="s">
        <v>2141</v>
      </c>
      <c r="Q731" s="20" t="s">
        <v>2108</v>
      </c>
    </row>
    <row r="732" spans="1:20" x14ac:dyDescent="0.2">
      <c r="A732" s="23" t="s">
        <v>2109</v>
      </c>
      <c r="I732" s="18" t="s">
        <v>1965</v>
      </c>
      <c r="K732" s="18" t="s">
        <v>981</v>
      </c>
      <c r="L732" s="18" t="s">
        <v>1998</v>
      </c>
      <c r="Q732" s="20" t="s">
        <v>2109</v>
      </c>
    </row>
    <row r="733" spans="1:20" x14ac:dyDescent="0.2">
      <c r="A733" s="23" t="s">
        <v>2110</v>
      </c>
      <c r="I733" s="18" t="s">
        <v>1965</v>
      </c>
      <c r="K733" s="18" t="s">
        <v>981</v>
      </c>
      <c r="L733" s="18" t="s">
        <v>2142</v>
      </c>
      <c r="Q733" s="20" t="s">
        <v>2110</v>
      </c>
    </row>
    <row r="734" spans="1:20" x14ac:dyDescent="0.2">
      <c r="A734" s="23" t="s">
        <v>2111</v>
      </c>
      <c r="I734" s="18" t="s">
        <v>1965</v>
      </c>
      <c r="K734" s="18" t="s">
        <v>981</v>
      </c>
      <c r="L734" s="18" t="s">
        <v>1779</v>
      </c>
      <c r="Q734" s="20" t="s">
        <v>2111</v>
      </c>
    </row>
    <row r="735" spans="1:20" x14ac:dyDescent="0.2">
      <c r="A735" s="23" t="s">
        <v>2112</v>
      </c>
      <c r="I735" s="18" t="s">
        <v>1965</v>
      </c>
      <c r="K735" s="18" t="s">
        <v>981</v>
      </c>
      <c r="L735" s="18" t="s">
        <v>2143</v>
      </c>
      <c r="Q735" s="20" t="s">
        <v>2112</v>
      </c>
    </row>
    <row r="736" spans="1:20" x14ac:dyDescent="0.2">
      <c r="A736" s="23" t="s">
        <v>2036</v>
      </c>
      <c r="I736" s="18" t="s">
        <v>1975</v>
      </c>
      <c r="K736" s="18" t="s">
        <v>981</v>
      </c>
      <c r="L736" s="18" t="s">
        <v>1651</v>
      </c>
      <c r="M736" s="23" t="s">
        <v>2036</v>
      </c>
      <c r="Q736" s="20"/>
      <c r="R736" s="18"/>
      <c r="S736" s="18"/>
      <c r="T736" s="18"/>
    </row>
    <row r="737" spans="1:20" x14ac:dyDescent="0.2">
      <c r="A737" s="23" t="s">
        <v>2037</v>
      </c>
      <c r="I737" s="18" t="s">
        <v>1975</v>
      </c>
      <c r="K737" s="18" t="s">
        <v>981</v>
      </c>
      <c r="L737" s="18" t="s">
        <v>2038</v>
      </c>
      <c r="M737" s="23" t="s">
        <v>2037</v>
      </c>
      <c r="Q737" s="20"/>
      <c r="R737" s="18"/>
      <c r="S737" s="18"/>
      <c r="T737" s="18"/>
    </row>
    <row r="738" spans="1:20" x14ac:dyDescent="0.2">
      <c r="A738" s="23" t="s">
        <v>1590</v>
      </c>
      <c r="Q738" s="20"/>
      <c r="R738" s="18"/>
      <c r="S738" s="18"/>
      <c r="T738" s="18"/>
    </row>
    <row r="739" spans="1:20" x14ac:dyDescent="0.2">
      <c r="A739" s="23" t="s">
        <v>1589</v>
      </c>
      <c r="Q739" s="20"/>
      <c r="R739" s="18"/>
      <c r="S739" s="18"/>
      <c r="T739" s="18"/>
    </row>
    <row r="740" spans="1:20" x14ac:dyDescent="0.2">
      <c r="A740" s="23" t="s">
        <v>2039</v>
      </c>
      <c r="I740" s="18" t="s">
        <v>1975</v>
      </c>
      <c r="K740" s="18" t="s">
        <v>1040</v>
      </c>
      <c r="L740" s="18" t="s">
        <v>2003</v>
      </c>
      <c r="Q740" s="20"/>
      <c r="R740" s="18"/>
      <c r="S740" s="18"/>
      <c r="T740" s="18"/>
    </row>
    <row r="741" spans="1:20" x14ac:dyDescent="0.2">
      <c r="Q741" s="20"/>
      <c r="R741" s="18"/>
      <c r="S741" s="18"/>
      <c r="T741" s="18"/>
    </row>
    <row r="742" spans="1:20" x14ac:dyDescent="0.2">
      <c r="A742" s="23" t="s">
        <v>2040</v>
      </c>
      <c r="I742" s="18" t="s">
        <v>1975</v>
      </c>
      <c r="K742" s="18" t="s">
        <v>1040</v>
      </c>
      <c r="L742" s="18" t="s">
        <v>2041</v>
      </c>
      <c r="Q742" s="20"/>
      <c r="R742" s="18"/>
      <c r="S742" s="18"/>
      <c r="T742" s="18"/>
    </row>
    <row r="743" spans="1:20" x14ac:dyDescent="0.2">
      <c r="A743" s="23" t="s">
        <v>2042</v>
      </c>
      <c r="I743" s="18" t="s">
        <v>1975</v>
      </c>
      <c r="K743" s="18" t="s">
        <v>1040</v>
      </c>
      <c r="L743" s="18" t="s">
        <v>2043</v>
      </c>
      <c r="Q743" s="20"/>
      <c r="R743" s="18"/>
      <c r="S743" s="18"/>
      <c r="T743" s="18"/>
    </row>
    <row r="744" spans="1:20" x14ac:dyDescent="0.2">
      <c r="A744" s="23" t="s">
        <v>2044</v>
      </c>
      <c r="I744" s="18" t="s">
        <v>1978</v>
      </c>
      <c r="K744" s="18" t="s">
        <v>981</v>
      </c>
      <c r="L744" s="18" t="s">
        <v>2045</v>
      </c>
      <c r="Q744" s="20"/>
      <c r="R744" s="18"/>
      <c r="S744" s="18"/>
      <c r="T744" s="18"/>
    </row>
    <row r="745" spans="1:20" x14ac:dyDescent="0.2">
      <c r="A745" s="23" t="s">
        <v>2046</v>
      </c>
      <c r="I745" s="18" t="s">
        <v>1978</v>
      </c>
      <c r="K745" s="18" t="s">
        <v>981</v>
      </c>
      <c r="L745" s="18" t="s">
        <v>2047</v>
      </c>
      <c r="Q745" s="20"/>
      <c r="R745" s="18"/>
      <c r="S745" s="18"/>
      <c r="T745" s="18"/>
    </row>
    <row r="746" spans="1:20" x14ac:dyDescent="0.2">
      <c r="A746" s="23" t="s">
        <v>2048</v>
      </c>
      <c r="I746" s="18" t="s">
        <v>1975</v>
      </c>
      <c r="K746" s="18" t="s">
        <v>1040</v>
      </c>
      <c r="L746" s="18" t="s">
        <v>1595</v>
      </c>
      <c r="Q746" s="20"/>
      <c r="R746" s="18"/>
      <c r="S746" s="18"/>
      <c r="T746" s="18"/>
    </row>
    <row r="747" spans="1:20" x14ac:dyDescent="0.2">
      <c r="A747" s="23" t="s">
        <v>2049</v>
      </c>
      <c r="I747" s="18" t="s">
        <v>1978</v>
      </c>
      <c r="K747" s="18" t="s">
        <v>981</v>
      </c>
      <c r="L747" s="18" t="s">
        <v>1986</v>
      </c>
      <c r="Q747" s="20"/>
      <c r="R747" s="18"/>
      <c r="S747" s="18"/>
      <c r="T747" s="18"/>
    </row>
    <row r="748" spans="1:20" x14ac:dyDescent="0.2">
      <c r="A748" s="23" t="s">
        <v>2050</v>
      </c>
      <c r="I748" s="18" t="s">
        <v>1978</v>
      </c>
      <c r="K748" s="18" t="s">
        <v>981</v>
      </c>
      <c r="L748" s="18" t="s">
        <v>2006</v>
      </c>
      <c r="Q748" s="20"/>
      <c r="R748" s="18"/>
      <c r="S748" s="18"/>
      <c r="T748" s="18"/>
    </row>
    <row r="749" spans="1:20" x14ac:dyDescent="0.2">
      <c r="A749" s="23" t="s">
        <v>2051</v>
      </c>
      <c r="I749" s="18" t="s">
        <v>1975</v>
      </c>
      <c r="K749" s="18" t="s">
        <v>1040</v>
      </c>
      <c r="L749" s="18" t="s">
        <v>2052</v>
      </c>
      <c r="Q749" s="20"/>
      <c r="R749" s="18"/>
      <c r="S749" s="18"/>
      <c r="T749" s="18"/>
    </row>
    <row r="750" spans="1:20" x14ac:dyDescent="0.2">
      <c r="A750" s="20" t="s">
        <v>2144</v>
      </c>
      <c r="I750" s="18" t="s">
        <v>1965</v>
      </c>
      <c r="K750" s="18" t="s">
        <v>981</v>
      </c>
      <c r="L750" s="18" t="s">
        <v>1889</v>
      </c>
    </row>
    <row r="751" spans="1:20" x14ac:dyDescent="0.2">
      <c r="A751" s="20" t="s">
        <v>2145</v>
      </c>
      <c r="I751" s="18" t="s">
        <v>1965</v>
      </c>
      <c r="K751" s="18" t="s">
        <v>981</v>
      </c>
      <c r="L751" s="18" t="s">
        <v>1882</v>
      </c>
    </row>
    <row r="752" spans="1:20" x14ac:dyDescent="0.2">
      <c r="A752" s="20" t="s">
        <v>2146</v>
      </c>
      <c r="I752" s="18" t="s">
        <v>1965</v>
      </c>
      <c r="K752" s="18" t="s">
        <v>981</v>
      </c>
      <c r="L752" s="18" t="s">
        <v>1629</v>
      </c>
    </row>
    <row r="753" spans="1:12" x14ac:dyDescent="0.2">
      <c r="A753" s="20" t="s">
        <v>2147</v>
      </c>
      <c r="I753" s="18" t="s">
        <v>1965</v>
      </c>
      <c r="K753" s="18" t="s">
        <v>981</v>
      </c>
      <c r="L753" s="18" t="s">
        <v>1737</v>
      </c>
    </row>
    <row r="754" spans="1:12" x14ac:dyDescent="0.2">
      <c r="A754" s="20" t="s">
        <v>2148</v>
      </c>
      <c r="I754" s="18" t="s">
        <v>1965</v>
      </c>
      <c r="K754" s="18" t="s">
        <v>981</v>
      </c>
      <c r="L754" s="18" t="s">
        <v>1993</v>
      </c>
    </row>
    <row r="755" spans="1:12" x14ac:dyDescent="0.2">
      <c r="A755" s="20" t="s">
        <v>2149</v>
      </c>
      <c r="I755" s="18" t="s">
        <v>1965</v>
      </c>
      <c r="K755" s="18" t="s">
        <v>981</v>
      </c>
      <c r="L755" s="18" t="s">
        <v>1659</v>
      </c>
    </row>
    <row r="756" spans="1:12" x14ac:dyDescent="0.2">
      <c r="A756" s="20" t="s">
        <v>2150</v>
      </c>
      <c r="I756" s="18" t="s">
        <v>1965</v>
      </c>
      <c r="K756" s="18" t="s">
        <v>981</v>
      </c>
      <c r="L756" s="18" t="s">
        <v>2135</v>
      </c>
    </row>
    <row r="757" spans="1:12" x14ac:dyDescent="0.2">
      <c r="A757" s="20" t="s">
        <v>2151</v>
      </c>
      <c r="I757" s="18" t="s">
        <v>1965</v>
      </c>
      <c r="K757" s="18" t="s">
        <v>981</v>
      </c>
      <c r="L757" s="18" t="s">
        <v>1701</v>
      </c>
    </row>
    <row r="758" spans="1:12" x14ac:dyDescent="0.2">
      <c r="A758" s="20" t="s">
        <v>2152</v>
      </c>
      <c r="I758" s="18" t="s">
        <v>1965</v>
      </c>
      <c r="K758" s="18" t="s">
        <v>981</v>
      </c>
      <c r="L758" s="18" t="s">
        <v>2139</v>
      </c>
    </row>
    <row r="759" spans="1:12" x14ac:dyDescent="0.2">
      <c r="A759" s="20" t="s">
        <v>2153</v>
      </c>
      <c r="I759" s="18" t="s">
        <v>1965</v>
      </c>
      <c r="K759" s="18" t="s">
        <v>981</v>
      </c>
      <c r="L759" s="18" t="s">
        <v>2154</v>
      </c>
    </row>
    <row r="760" spans="1:12" x14ac:dyDescent="0.2">
      <c r="A760" s="20" t="s">
        <v>2155</v>
      </c>
      <c r="I760" s="18" t="s">
        <v>1965</v>
      </c>
      <c r="K760" s="18" t="s">
        <v>981</v>
      </c>
      <c r="L760" s="18" t="s">
        <v>2156</v>
      </c>
    </row>
    <row r="761" spans="1:12" x14ac:dyDescent="0.2">
      <c r="A761" s="20" t="s">
        <v>2157</v>
      </c>
      <c r="I761" s="18" t="s">
        <v>1965</v>
      </c>
      <c r="K761" s="18" t="s">
        <v>981</v>
      </c>
      <c r="L761" s="18" t="s">
        <v>2006</v>
      </c>
    </row>
    <row r="762" spans="1:12" x14ac:dyDescent="0.2">
      <c r="A762" s="20" t="s">
        <v>2158</v>
      </c>
      <c r="I762" s="18" t="s">
        <v>1965</v>
      </c>
      <c r="K762" s="18" t="s">
        <v>981</v>
      </c>
      <c r="L762" s="18" t="s">
        <v>2120</v>
      </c>
    </row>
    <row r="763" spans="1:12" x14ac:dyDescent="0.2">
      <c r="A763" s="20" t="s">
        <v>2159</v>
      </c>
      <c r="I763" s="18" t="s">
        <v>1965</v>
      </c>
      <c r="K763" s="18" t="s">
        <v>981</v>
      </c>
      <c r="L763" s="18" t="s">
        <v>1791</v>
      </c>
    </row>
    <row r="764" spans="1:12" x14ac:dyDescent="0.2">
      <c r="A764" s="20" t="s">
        <v>2160</v>
      </c>
      <c r="I764" s="18" t="s">
        <v>1965</v>
      </c>
      <c r="K764" s="18" t="s">
        <v>981</v>
      </c>
      <c r="L764" s="18" t="s">
        <v>2052</v>
      </c>
    </row>
    <row r="765" spans="1:12" x14ac:dyDescent="0.2">
      <c r="A765" s="20" t="s">
        <v>2161</v>
      </c>
      <c r="I765" s="18" t="s">
        <v>1965</v>
      </c>
      <c r="K765" s="18" t="s">
        <v>981</v>
      </c>
      <c r="L765" s="18" t="s">
        <v>2136</v>
      </c>
    </row>
    <row r="766" spans="1:12" x14ac:dyDescent="0.2">
      <c r="A766" s="20" t="s">
        <v>2162</v>
      </c>
      <c r="I766" s="18" t="s">
        <v>1965</v>
      </c>
      <c r="K766" s="18" t="s">
        <v>981</v>
      </c>
      <c r="L766" s="18" t="s">
        <v>2129</v>
      </c>
    </row>
    <row r="767" spans="1:12" x14ac:dyDescent="0.2">
      <c r="A767" s="20" t="s">
        <v>2163</v>
      </c>
      <c r="I767" s="18" t="s">
        <v>1965</v>
      </c>
      <c r="K767" s="18" t="s">
        <v>981</v>
      </c>
      <c r="L767" s="18" t="s">
        <v>2134</v>
      </c>
    </row>
    <row r="768" spans="1:12" x14ac:dyDescent="0.2">
      <c r="A768" s="20" t="s">
        <v>2164</v>
      </c>
      <c r="I768" s="18" t="s">
        <v>1965</v>
      </c>
      <c r="K768" s="18" t="s">
        <v>981</v>
      </c>
      <c r="L768" s="18" t="s">
        <v>2165</v>
      </c>
    </row>
    <row r="769" spans="1:12" x14ac:dyDescent="0.2">
      <c r="A769" s="20" t="s">
        <v>2166</v>
      </c>
      <c r="I769" s="18" t="s">
        <v>1965</v>
      </c>
      <c r="K769" s="18" t="s">
        <v>981</v>
      </c>
      <c r="L769" s="18" t="s">
        <v>2122</v>
      </c>
    </row>
    <row r="770" spans="1:12" x14ac:dyDescent="0.2">
      <c r="A770" s="20" t="s">
        <v>2167</v>
      </c>
      <c r="I770" s="18" t="s">
        <v>1965</v>
      </c>
      <c r="K770" s="18" t="s">
        <v>981</v>
      </c>
      <c r="L770" s="18" t="s">
        <v>2168</v>
      </c>
    </row>
    <row r="771" spans="1:12" x14ac:dyDescent="0.2">
      <c r="A771" s="20" t="s">
        <v>2169</v>
      </c>
      <c r="I771" s="18" t="s">
        <v>1965</v>
      </c>
      <c r="K771" s="18" t="s">
        <v>981</v>
      </c>
      <c r="L771" s="18" t="s">
        <v>2031</v>
      </c>
    </row>
    <row r="772" spans="1:12" x14ac:dyDescent="0.2">
      <c r="A772" s="20" t="s">
        <v>2170</v>
      </c>
      <c r="I772" s="18" t="s">
        <v>1965</v>
      </c>
      <c r="K772" s="18" t="s">
        <v>981</v>
      </c>
      <c r="L772" s="18" t="s">
        <v>2121</v>
      </c>
    </row>
    <row r="773" spans="1:12" x14ac:dyDescent="0.2">
      <c r="A773" s="20" t="s">
        <v>2171</v>
      </c>
      <c r="I773" s="18" t="s">
        <v>1965</v>
      </c>
      <c r="K773" s="18" t="s">
        <v>981</v>
      </c>
      <c r="L773" s="18" t="s">
        <v>2172</v>
      </c>
    </row>
    <row r="774" spans="1:12" x14ac:dyDescent="0.2">
      <c r="A774" s="20" t="s">
        <v>2173</v>
      </c>
      <c r="I774" s="18" t="s">
        <v>1965</v>
      </c>
      <c r="K774" s="18" t="s">
        <v>981</v>
      </c>
      <c r="L774" s="18" t="s">
        <v>2154</v>
      </c>
    </row>
    <row r="775" spans="1:12" x14ac:dyDescent="0.2">
      <c r="A775" s="20" t="s">
        <v>2174</v>
      </c>
      <c r="I775" s="18" t="s">
        <v>1965</v>
      </c>
      <c r="K775" s="18" t="s">
        <v>981</v>
      </c>
      <c r="L775" s="18" t="s">
        <v>2175</v>
      </c>
    </row>
    <row r="776" spans="1:12" x14ac:dyDescent="0.2">
      <c r="A776" s="20" t="s">
        <v>2176</v>
      </c>
      <c r="I776" s="18" t="s">
        <v>1965</v>
      </c>
      <c r="K776" s="18" t="s">
        <v>981</v>
      </c>
      <c r="L776" s="18" t="s">
        <v>2114</v>
      </c>
    </row>
    <row r="777" spans="1:12" x14ac:dyDescent="0.2">
      <c r="A777" s="20" t="s">
        <v>2177</v>
      </c>
      <c r="I777" s="18" t="s">
        <v>1965</v>
      </c>
      <c r="K777" s="18" t="s">
        <v>981</v>
      </c>
      <c r="L777" s="18" t="s">
        <v>2154</v>
      </c>
    </row>
    <row r="778" spans="1:12" x14ac:dyDescent="0.2">
      <c r="A778" s="20" t="s">
        <v>2178</v>
      </c>
      <c r="I778" s="18" t="s">
        <v>1965</v>
      </c>
      <c r="K778" s="18" t="s">
        <v>981</v>
      </c>
      <c r="L778" s="18" t="s">
        <v>1669</v>
      </c>
    </row>
    <row r="779" spans="1:12" x14ac:dyDescent="0.2">
      <c r="A779" s="20" t="s">
        <v>2179</v>
      </c>
      <c r="I779" s="18" t="s">
        <v>1965</v>
      </c>
      <c r="K779" s="18" t="s">
        <v>981</v>
      </c>
      <c r="L779" s="18" t="s">
        <v>2117</v>
      </c>
    </row>
    <row r="780" spans="1:12" x14ac:dyDescent="0.2">
      <c r="A780" s="20" t="s">
        <v>2180</v>
      </c>
      <c r="I780" s="18" t="s">
        <v>1965</v>
      </c>
      <c r="K780" s="18" t="s">
        <v>981</v>
      </c>
      <c r="L780" s="18" t="s">
        <v>2052</v>
      </c>
    </row>
    <row r="781" spans="1:12" x14ac:dyDescent="0.2">
      <c r="A781" s="20" t="s">
        <v>2181</v>
      </c>
      <c r="I781" s="18" t="s">
        <v>1965</v>
      </c>
      <c r="K781" s="18" t="s">
        <v>981</v>
      </c>
      <c r="L781" s="18" t="s">
        <v>2034</v>
      </c>
    </row>
    <row r="782" spans="1:12" x14ac:dyDescent="0.2">
      <c r="A782" s="20" t="s">
        <v>2182</v>
      </c>
      <c r="I782" s="18" t="s">
        <v>1965</v>
      </c>
      <c r="K782" s="18" t="s">
        <v>981</v>
      </c>
      <c r="L782" s="18" t="s">
        <v>2183</v>
      </c>
    </row>
    <row r="783" spans="1:12" x14ac:dyDescent="0.2">
      <c r="A783" s="20" t="s">
        <v>2184</v>
      </c>
      <c r="I783" s="18" t="s">
        <v>1965</v>
      </c>
      <c r="K783" s="18" t="s">
        <v>981</v>
      </c>
      <c r="L783" s="18" t="s">
        <v>2003</v>
      </c>
    </row>
    <row r="784" spans="1:12" x14ac:dyDescent="0.2">
      <c r="A784" s="20" t="s">
        <v>2185</v>
      </c>
      <c r="I784" s="18" t="s">
        <v>1965</v>
      </c>
      <c r="K784" s="18" t="s">
        <v>1040</v>
      </c>
      <c r="L784" s="18" t="s">
        <v>1974</v>
      </c>
    </row>
    <row r="785" spans="1:12" x14ac:dyDescent="0.2">
      <c r="A785" s="20" t="s">
        <v>2186</v>
      </c>
      <c r="I785" s="18" t="s">
        <v>1965</v>
      </c>
      <c r="K785" s="18" t="s">
        <v>981</v>
      </c>
      <c r="L785" s="18" t="s">
        <v>2187</v>
      </c>
    </row>
    <row r="786" spans="1:12" x14ac:dyDescent="0.2">
      <c r="A786" s="20" t="s">
        <v>2188</v>
      </c>
      <c r="I786" s="18" t="s">
        <v>1965</v>
      </c>
      <c r="K786" s="18" t="s">
        <v>981</v>
      </c>
      <c r="L786" s="18" t="s">
        <v>1791</v>
      </c>
    </row>
    <row r="787" spans="1:12" x14ac:dyDescent="0.2">
      <c r="A787" s="20" t="s">
        <v>2189</v>
      </c>
      <c r="I787" s="18" t="s">
        <v>1965</v>
      </c>
      <c r="K787" s="18" t="s">
        <v>981</v>
      </c>
      <c r="L787" s="18" t="s">
        <v>1988</v>
      </c>
    </row>
    <row r="788" spans="1:12" x14ac:dyDescent="0.2">
      <c r="A788" s="20" t="s">
        <v>2190</v>
      </c>
      <c r="I788" s="18" t="s">
        <v>1965</v>
      </c>
      <c r="K788" s="18" t="s">
        <v>981</v>
      </c>
      <c r="L788" s="18" t="s">
        <v>2045</v>
      </c>
    </row>
    <row r="789" spans="1:12" x14ac:dyDescent="0.2">
      <c r="A789" s="20" t="s">
        <v>2191</v>
      </c>
      <c r="I789" s="18" t="s">
        <v>1965</v>
      </c>
      <c r="K789" s="18" t="s">
        <v>981</v>
      </c>
      <c r="L789" s="18" t="s">
        <v>2192</v>
      </c>
    </row>
    <row r="790" spans="1:12" x14ac:dyDescent="0.2">
      <c r="A790" s="20" t="s">
        <v>2193</v>
      </c>
      <c r="I790" s="18" t="s">
        <v>1965</v>
      </c>
      <c r="K790" s="18" t="s">
        <v>981</v>
      </c>
      <c r="L790" s="18" t="s">
        <v>1832</v>
      </c>
    </row>
    <row r="791" spans="1:12" x14ac:dyDescent="0.2">
      <c r="A791" s="20" t="s">
        <v>2194</v>
      </c>
      <c r="I791" s="18" t="s">
        <v>1965</v>
      </c>
      <c r="K791" s="18" t="s">
        <v>981</v>
      </c>
      <c r="L791" s="18" t="s">
        <v>2195</v>
      </c>
    </row>
    <row r="792" spans="1:12" x14ac:dyDescent="0.2">
      <c r="A792" s="20" t="s">
        <v>2196</v>
      </c>
      <c r="I792" s="18" t="s">
        <v>1965</v>
      </c>
      <c r="K792" s="18" t="s">
        <v>981</v>
      </c>
      <c r="L792" s="18" t="s">
        <v>2141</v>
      </c>
    </row>
    <row r="793" spans="1:12" x14ac:dyDescent="0.2">
      <c r="A793" s="20" t="s">
        <v>2197</v>
      </c>
      <c r="I793" s="18" t="s">
        <v>1965</v>
      </c>
      <c r="K793" s="18" t="s">
        <v>981</v>
      </c>
      <c r="L793" s="18" t="s">
        <v>2198</v>
      </c>
    </row>
    <row r="811" spans="17:21" x14ac:dyDescent="0.2">
      <c r="Q811" s="24"/>
      <c r="R811" s="24"/>
      <c r="S811" s="24"/>
      <c r="T811" s="24"/>
      <c r="U811" s="14"/>
    </row>
    <row r="812" spans="17:21" x14ac:dyDescent="0.2">
      <c r="Q812" s="24"/>
      <c r="R812" s="24"/>
      <c r="S812" s="24"/>
      <c r="T812" s="24"/>
      <c r="U812" s="14"/>
    </row>
    <row r="813" spans="17:21" x14ac:dyDescent="0.2">
      <c r="Q813" s="14"/>
      <c r="R813" s="14"/>
      <c r="S813" s="14"/>
      <c r="T813" s="14"/>
      <c r="U813" s="14"/>
    </row>
    <row r="814" spans="17:21" x14ac:dyDescent="0.2">
      <c r="Q814" s="24"/>
      <c r="R814" s="24"/>
      <c r="S814" s="24"/>
      <c r="T814" s="24"/>
      <c r="U814" s="14"/>
    </row>
    <row r="815" spans="17:21" x14ac:dyDescent="0.2">
      <c r="Q815" s="14"/>
      <c r="R815" s="14"/>
      <c r="S815" s="14"/>
      <c r="T815" s="14"/>
      <c r="U815" s="14"/>
    </row>
    <row r="816" spans="17:21" x14ac:dyDescent="0.2">
      <c r="Q816" s="14"/>
      <c r="R816" s="14"/>
      <c r="S816" s="14"/>
      <c r="T816" s="14"/>
      <c r="U816" s="14"/>
    </row>
  </sheetData>
  <conditionalFormatting sqref="J2:K236 J413:K436 J1 J411:J412 J237:J409">
    <cfRule type="duplicateValues" dxfId="1" priority="20"/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workbookViewId="0">
      <selection activeCell="N12" sqref="N12"/>
    </sheetView>
  </sheetViews>
  <sheetFormatPr baseColWidth="10" defaultRowHeight="15" x14ac:dyDescent="0.2"/>
  <cols>
    <col min="5" max="5" width="11.5" bestFit="1" customWidth="1"/>
  </cols>
  <sheetData>
    <row r="1" spans="1:14" ht="42" x14ac:dyDescent="0.2">
      <c r="A1" s="31" t="s">
        <v>2</v>
      </c>
      <c r="B1" s="31" t="s">
        <v>2199</v>
      </c>
      <c r="C1" s="31" t="s">
        <v>2200</v>
      </c>
      <c r="D1" s="31" t="s">
        <v>2201</v>
      </c>
      <c r="E1" s="32" t="s">
        <v>2202</v>
      </c>
      <c r="F1" s="31" t="s">
        <v>2203</v>
      </c>
      <c r="G1" s="31" t="s">
        <v>388</v>
      </c>
      <c r="H1" s="31" t="s">
        <v>390</v>
      </c>
      <c r="I1" s="31" t="s">
        <v>5</v>
      </c>
      <c r="J1" s="31" t="s">
        <v>2204</v>
      </c>
      <c r="K1" s="33" t="s">
        <v>2205</v>
      </c>
      <c r="L1" s="33" t="s">
        <v>7</v>
      </c>
      <c r="M1" s="34" t="s">
        <v>2206</v>
      </c>
      <c r="N1" s="34" t="s">
        <v>11</v>
      </c>
    </row>
    <row r="2" spans="1:14" ht="21" x14ac:dyDescent="0.25">
      <c r="A2" s="35">
        <v>42951</v>
      </c>
      <c r="B2" s="36" t="s">
        <v>2207</v>
      </c>
      <c r="C2" s="37">
        <v>51.458010999999999</v>
      </c>
      <c r="D2" s="37">
        <v>-2.6018520000000001</v>
      </c>
      <c r="E2" s="38" t="s">
        <v>2208</v>
      </c>
      <c r="F2" s="36" t="s">
        <v>2209</v>
      </c>
      <c r="G2" s="36" t="s">
        <v>2210</v>
      </c>
      <c r="H2" s="36" t="s">
        <v>971</v>
      </c>
      <c r="I2" s="36" t="s">
        <v>2211</v>
      </c>
      <c r="J2" s="34" t="s">
        <v>2212</v>
      </c>
      <c r="K2" s="39">
        <v>5.8999999999999997E-2</v>
      </c>
      <c r="L2" s="39"/>
      <c r="M2" s="39">
        <v>6.8419999999999996</v>
      </c>
      <c r="N2" s="39">
        <v>22.500999999999998</v>
      </c>
    </row>
    <row r="3" spans="1:14" ht="21" x14ac:dyDescent="0.25">
      <c r="A3" s="35">
        <v>42951</v>
      </c>
      <c r="B3" s="36" t="s">
        <v>2207</v>
      </c>
      <c r="C3" s="37">
        <v>51.458010999999999</v>
      </c>
      <c r="D3" s="37">
        <v>-2.6018520000000001</v>
      </c>
      <c r="E3" s="38" t="s">
        <v>2213</v>
      </c>
      <c r="F3" s="36" t="s">
        <v>2209</v>
      </c>
      <c r="G3" s="36" t="s">
        <v>2210</v>
      </c>
      <c r="H3" s="36" t="s">
        <v>971</v>
      </c>
      <c r="I3" s="36" t="s">
        <v>2211</v>
      </c>
      <c r="J3" s="34" t="s">
        <v>2212</v>
      </c>
      <c r="K3" s="39">
        <v>5.8000000000000003E-2</v>
      </c>
      <c r="L3" s="39"/>
      <c r="M3" s="39">
        <v>6.2519999999999998</v>
      </c>
      <c r="N3" s="39">
        <v>20.067999999999998</v>
      </c>
    </row>
    <row r="4" spans="1:14" ht="21" x14ac:dyDescent="0.25">
      <c r="A4" s="35">
        <v>42951</v>
      </c>
      <c r="B4" s="36" t="s">
        <v>2207</v>
      </c>
      <c r="C4" s="37">
        <v>51.458010999999999</v>
      </c>
      <c r="D4" s="37">
        <v>-2.6018520000000001</v>
      </c>
      <c r="E4" s="38" t="s">
        <v>2214</v>
      </c>
      <c r="F4" s="36" t="s">
        <v>2209</v>
      </c>
      <c r="G4" s="36" t="s">
        <v>2210</v>
      </c>
      <c r="H4" s="36" t="s">
        <v>971</v>
      </c>
      <c r="I4" s="36" t="s">
        <v>2211</v>
      </c>
      <c r="J4" s="34" t="s">
        <v>2212</v>
      </c>
      <c r="K4" s="39">
        <v>5.7000000000000002E-2</v>
      </c>
      <c r="L4" s="39"/>
      <c r="M4" s="39">
        <v>5.37</v>
      </c>
      <c r="N4" s="39">
        <v>18.552</v>
      </c>
    </row>
    <row r="5" spans="1:14" ht="21" x14ac:dyDescent="0.25">
      <c r="A5" s="40">
        <v>42958</v>
      </c>
      <c r="B5" s="36" t="s">
        <v>2207</v>
      </c>
      <c r="C5" s="37">
        <v>51.458010999999999</v>
      </c>
      <c r="D5" s="37">
        <v>-2.6018520000000001</v>
      </c>
      <c r="E5" s="38" t="s">
        <v>2215</v>
      </c>
      <c r="F5" s="34" t="s">
        <v>2209</v>
      </c>
      <c r="G5" s="34" t="s">
        <v>2210</v>
      </c>
      <c r="H5" s="34" t="s">
        <v>971</v>
      </c>
      <c r="I5" s="34" t="s">
        <v>2211</v>
      </c>
      <c r="J5" s="34" t="s">
        <v>2212</v>
      </c>
      <c r="K5" s="39">
        <v>0.06</v>
      </c>
      <c r="L5" s="39"/>
      <c r="M5" s="39">
        <v>6.5170000000000003</v>
      </c>
      <c r="N5" s="39">
        <v>22.35</v>
      </c>
    </row>
    <row r="6" spans="1:14" ht="21" x14ac:dyDescent="0.25">
      <c r="A6" s="40">
        <v>42958</v>
      </c>
      <c r="B6" s="36" t="s">
        <v>2207</v>
      </c>
      <c r="C6" s="37">
        <v>51.458010999999999</v>
      </c>
      <c r="D6" s="37">
        <v>-2.6018520000000001</v>
      </c>
      <c r="E6" s="38" t="s">
        <v>2216</v>
      </c>
      <c r="F6" s="34" t="s">
        <v>2209</v>
      </c>
      <c r="G6" s="34" t="s">
        <v>2210</v>
      </c>
      <c r="H6" s="34" t="s">
        <v>971</v>
      </c>
      <c r="I6" s="34" t="s">
        <v>2211</v>
      </c>
      <c r="J6" s="34" t="s">
        <v>2212</v>
      </c>
      <c r="K6" s="39">
        <v>5.8000000000000003E-2</v>
      </c>
      <c r="L6" s="39"/>
      <c r="M6" s="39">
        <v>6.1449999999999996</v>
      </c>
      <c r="N6" s="39">
        <v>18.956</v>
      </c>
    </row>
    <row r="7" spans="1:14" ht="21" x14ac:dyDescent="0.25">
      <c r="A7" s="40">
        <v>42958</v>
      </c>
      <c r="B7" s="36" t="s">
        <v>2207</v>
      </c>
      <c r="C7" s="37">
        <v>51.457596000000002</v>
      </c>
      <c r="D7" s="37">
        <v>-2.601337</v>
      </c>
      <c r="E7" s="38" t="s">
        <v>2217</v>
      </c>
      <c r="F7" s="34" t="s">
        <v>2209</v>
      </c>
      <c r="G7" s="34" t="s">
        <v>2210</v>
      </c>
      <c r="H7" s="34" t="s">
        <v>971</v>
      </c>
      <c r="I7" s="34" t="s">
        <v>2211</v>
      </c>
      <c r="J7" s="34" t="s">
        <v>2212</v>
      </c>
      <c r="K7" s="39">
        <v>0.06</v>
      </c>
      <c r="L7" s="39"/>
      <c r="M7" s="39">
        <v>5.9930000000000003</v>
      </c>
      <c r="N7" s="39">
        <v>20.747</v>
      </c>
    </row>
    <row r="8" spans="1:14" ht="21" x14ac:dyDescent="0.25">
      <c r="A8" s="40">
        <v>42962</v>
      </c>
      <c r="B8" s="34" t="s">
        <v>2218</v>
      </c>
      <c r="C8" s="34">
        <v>51.479655999999999</v>
      </c>
      <c r="D8" s="34">
        <v>-2.6235019999999998</v>
      </c>
      <c r="E8" s="38" t="s">
        <v>2219</v>
      </c>
      <c r="F8" s="34" t="s">
        <v>2209</v>
      </c>
      <c r="G8" s="34" t="s">
        <v>2210</v>
      </c>
      <c r="H8" s="34" t="s">
        <v>971</v>
      </c>
      <c r="I8" s="34" t="s">
        <v>2211</v>
      </c>
      <c r="J8" s="34" t="s">
        <v>2212</v>
      </c>
      <c r="K8" s="39">
        <v>5.8000000000000003E-2</v>
      </c>
      <c r="L8" s="39"/>
      <c r="M8" s="39">
        <v>5.9870000000000001</v>
      </c>
      <c r="N8" s="39">
        <v>20.691000000000003</v>
      </c>
    </row>
    <row r="9" spans="1:14" ht="21" x14ac:dyDescent="0.25">
      <c r="A9" s="35">
        <v>42951</v>
      </c>
      <c r="B9" s="36" t="s">
        <v>2207</v>
      </c>
      <c r="C9" s="37">
        <v>51.458010999999999</v>
      </c>
      <c r="D9" s="37">
        <v>-2.6018520000000001</v>
      </c>
      <c r="E9" s="38" t="s">
        <v>2220</v>
      </c>
      <c r="F9" s="36" t="s">
        <v>2209</v>
      </c>
      <c r="G9" s="36" t="s">
        <v>2210</v>
      </c>
      <c r="H9" s="36" t="s">
        <v>971</v>
      </c>
      <c r="I9" s="36" t="s">
        <v>2211</v>
      </c>
      <c r="J9" s="34" t="s">
        <v>2221</v>
      </c>
      <c r="K9" s="39">
        <v>5.8999999999999997E-2</v>
      </c>
      <c r="L9" s="39"/>
      <c r="M9" s="39">
        <v>5.0599999999999996</v>
      </c>
      <c r="N9" s="39">
        <v>17.127000000000002</v>
      </c>
    </row>
    <row r="10" spans="1:14" ht="21" x14ac:dyDescent="0.25">
      <c r="A10" s="35">
        <v>42951</v>
      </c>
      <c r="B10" s="36" t="s">
        <v>2207</v>
      </c>
      <c r="C10" s="37">
        <v>51.458010999999999</v>
      </c>
      <c r="D10" s="37">
        <v>-2.6018520000000001</v>
      </c>
      <c r="E10" s="38" t="s">
        <v>2222</v>
      </c>
      <c r="F10" s="36" t="s">
        <v>2209</v>
      </c>
      <c r="G10" s="36" t="s">
        <v>2210</v>
      </c>
      <c r="H10" s="36" t="s">
        <v>971</v>
      </c>
      <c r="I10" s="36" t="s">
        <v>2211</v>
      </c>
      <c r="J10" s="34" t="s">
        <v>2221</v>
      </c>
      <c r="K10" s="39">
        <v>5.8999999999999997E-2</v>
      </c>
      <c r="L10" s="39"/>
      <c r="M10" s="39">
        <v>5.5220000000000002</v>
      </c>
      <c r="N10" s="39">
        <v>17.865000000000002</v>
      </c>
    </row>
    <row r="11" spans="1:14" ht="21" x14ac:dyDescent="0.25">
      <c r="A11" s="35">
        <v>42951</v>
      </c>
      <c r="B11" s="36" t="s">
        <v>2207</v>
      </c>
      <c r="C11" s="37">
        <v>51.458010999999999</v>
      </c>
      <c r="D11" s="37">
        <v>-2.6018520000000001</v>
      </c>
      <c r="E11" s="38" t="s">
        <v>2223</v>
      </c>
      <c r="F11" s="36" t="s">
        <v>2209</v>
      </c>
      <c r="G11" s="36" t="s">
        <v>2210</v>
      </c>
      <c r="H11" s="36" t="s">
        <v>971</v>
      </c>
      <c r="I11" s="36" t="s">
        <v>2211</v>
      </c>
      <c r="J11" s="34" t="s">
        <v>2221</v>
      </c>
      <c r="K11" s="39">
        <v>5.7000000000000002E-2</v>
      </c>
      <c r="L11" s="39"/>
      <c r="M11" s="39">
        <v>5.4029999999999996</v>
      </c>
      <c r="N11" s="39">
        <v>18.163</v>
      </c>
    </row>
    <row r="12" spans="1:14" ht="21" x14ac:dyDescent="0.2">
      <c r="A12" s="35">
        <v>42951</v>
      </c>
      <c r="B12" s="36" t="s">
        <v>2207</v>
      </c>
      <c r="C12" s="37">
        <v>51.458010999999999</v>
      </c>
      <c r="D12" s="37">
        <v>-2.6018520000000001</v>
      </c>
      <c r="E12" s="32" t="s">
        <v>2224</v>
      </c>
      <c r="F12" s="36" t="s">
        <v>2209</v>
      </c>
      <c r="G12" s="36" t="s">
        <v>2210</v>
      </c>
      <c r="H12" s="36" t="s">
        <v>971</v>
      </c>
      <c r="I12" s="36" t="s">
        <v>2211</v>
      </c>
      <c r="J12" s="34" t="s">
        <v>2221</v>
      </c>
      <c r="K12" s="39">
        <v>5.8000000000000003E-2</v>
      </c>
      <c r="L12" s="39"/>
      <c r="M12" s="39">
        <v>5.452</v>
      </c>
      <c r="N12" s="39">
        <v>16.143000000000001</v>
      </c>
    </row>
    <row r="13" spans="1:14" ht="21" x14ac:dyDescent="0.25">
      <c r="A13" s="35">
        <v>42951</v>
      </c>
      <c r="B13" s="36" t="s">
        <v>2207</v>
      </c>
      <c r="C13" s="37">
        <v>51.458010999999999</v>
      </c>
      <c r="D13" s="37">
        <v>-2.6018520000000001</v>
      </c>
      <c r="E13" s="38" t="s">
        <v>2225</v>
      </c>
      <c r="F13" s="36" t="s">
        <v>2209</v>
      </c>
      <c r="G13" s="36" t="s">
        <v>2210</v>
      </c>
      <c r="H13" s="36" t="s">
        <v>971</v>
      </c>
      <c r="I13" s="36" t="s">
        <v>2211</v>
      </c>
      <c r="J13" s="34" t="s">
        <v>2221</v>
      </c>
      <c r="K13" s="39">
        <v>5.8999999999999997E-2</v>
      </c>
      <c r="L13" s="39"/>
      <c r="M13" s="39">
        <v>5.1470000000000002</v>
      </c>
      <c r="N13" s="39">
        <v>16.832000000000001</v>
      </c>
    </row>
    <row r="14" spans="1:14" ht="21" x14ac:dyDescent="0.25">
      <c r="A14" s="35">
        <v>42951</v>
      </c>
      <c r="B14" s="36" t="s">
        <v>2207</v>
      </c>
      <c r="C14" s="37">
        <v>51.458010999999999</v>
      </c>
      <c r="D14" s="37">
        <v>-2.6018520000000001</v>
      </c>
      <c r="E14" s="38" t="s">
        <v>2226</v>
      </c>
      <c r="F14" s="36" t="s">
        <v>2209</v>
      </c>
      <c r="G14" s="36" t="s">
        <v>2210</v>
      </c>
      <c r="H14" s="36" t="s">
        <v>971</v>
      </c>
      <c r="I14" s="36" t="s">
        <v>2211</v>
      </c>
      <c r="J14" s="34" t="s">
        <v>2221</v>
      </c>
      <c r="K14" s="39">
        <v>0.06</v>
      </c>
      <c r="L14" s="39"/>
      <c r="M14" s="39">
        <v>5.6719999999999997</v>
      </c>
      <c r="N14" s="39">
        <v>17.116</v>
      </c>
    </row>
    <row r="15" spans="1:14" ht="21" x14ac:dyDescent="0.25">
      <c r="A15" s="35">
        <v>42951</v>
      </c>
      <c r="B15" s="36" t="s">
        <v>2207</v>
      </c>
      <c r="C15" s="37">
        <v>51.458010999999999</v>
      </c>
      <c r="D15" s="37">
        <v>-2.6018520000000001</v>
      </c>
      <c r="E15" s="38" t="s">
        <v>2227</v>
      </c>
      <c r="F15" s="36" t="s">
        <v>2209</v>
      </c>
      <c r="G15" s="36" t="s">
        <v>2210</v>
      </c>
      <c r="H15" s="36" t="s">
        <v>971</v>
      </c>
      <c r="I15" s="36" t="s">
        <v>2211</v>
      </c>
      <c r="J15" s="34" t="s">
        <v>2221</v>
      </c>
      <c r="K15" s="39">
        <v>5.8000000000000003E-2</v>
      </c>
      <c r="L15" s="39"/>
      <c r="M15" s="39">
        <v>5.4859999999999998</v>
      </c>
      <c r="N15" s="39">
        <v>17.742999999999999</v>
      </c>
    </row>
    <row r="16" spans="1:14" ht="21" x14ac:dyDescent="0.25">
      <c r="A16" s="40">
        <v>42958</v>
      </c>
      <c r="B16" s="36" t="s">
        <v>2207</v>
      </c>
      <c r="C16" s="37">
        <v>51.458010999999999</v>
      </c>
      <c r="D16" s="37">
        <v>-2.6018520000000001</v>
      </c>
      <c r="E16" s="38" t="s">
        <v>2228</v>
      </c>
      <c r="F16" s="34" t="s">
        <v>2209</v>
      </c>
      <c r="G16" s="34" t="s">
        <v>2210</v>
      </c>
      <c r="H16" s="34" t="s">
        <v>971</v>
      </c>
      <c r="I16" s="34" t="s">
        <v>2211</v>
      </c>
      <c r="J16" s="34" t="s">
        <v>2221</v>
      </c>
      <c r="K16" s="39">
        <v>5.8999999999999997E-2</v>
      </c>
      <c r="L16" s="39"/>
      <c r="M16" s="39">
        <v>5.024</v>
      </c>
      <c r="N16" s="39">
        <v>15.565</v>
      </c>
    </row>
    <row r="17" spans="1:14" ht="21" x14ac:dyDescent="0.25">
      <c r="A17" s="40">
        <v>42958</v>
      </c>
      <c r="B17" s="36" t="s">
        <v>2207</v>
      </c>
      <c r="C17" s="37">
        <v>51.457596000000002</v>
      </c>
      <c r="D17" s="37">
        <v>-2.601337</v>
      </c>
      <c r="E17" s="38" t="s">
        <v>2229</v>
      </c>
      <c r="F17" s="34" t="s">
        <v>2209</v>
      </c>
      <c r="G17" s="34" t="s">
        <v>2210</v>
      </c>
      <c r="H17" s="34" t="s">
        <v>971</v>
      </c>
      <c r="I17" s="34" t="s">
        <v>2230</v>
      </c>
      <c r="J17" s="34" t="s">
        <v>2212</v>
      </c>
      <c r="K17" s="39">
        <v>5.8999999999999997E-2</v>
      </c>
      <c r="L17" s="39"/>
      <c r="M17" s="39">
        <v>7.63</v>
      </c>
      <c r="N17" s="39">
        <v>23.152000000000001</v>
      </c>
    </row>
    <row r="18" spans="1:14" ht="21" x14ac:dyDescent="0.25">
      <c r="A18" s="40">
        <v>42958</v>
      </c>
      <c r="B18" s="36" t="s">
        <v>2207</v>
      </c>
      <c r="C18" s="37">
        <v>51.457596000000002</v>
      </c>
      <c r="D18" s="37">
        <v>-2.601337</v>
      </c>
      <c r="E18" s="38" t="s">
        <v>2231</v>
      </c>
      <c r="F18" s="34" t="s">
        <v>2209</v>
      </c>
      <c r="G18" s="34" t="s">
        <v>2210</v>
      </c>
      <c r="H18" s="34" t="s">
        <v>971</v>
      </c>
      <c r="I18" s="34" t="s">
        <v>2230</v>
      </c>
      <c r="J18" s="34" t="s">
        <v>2212</v>
      </c>
      <c r="K18" s="39">
        <v>5.8999999999999997E-2</v>
      </c>
      <c r="L18" s="39"/>
      <c r="M18" s="39">
        <v>7.37</v>
      </c>
      <c r="N18" s="39">
        <v>22.554000000000002</v>
      </c>
    </row>
    <row r="19" spans="1:14" ht="21" x14ac:dyDescent="0.25">
      <c r="A19" s="40">
        <v>42958</v>
      </c>
      <c r="B19" s="36" t="s">
        <v>2207</v>
      </c>
      <c r="C19" s="37">
        <v>51.458010999999999</v>
      </c>
      <c r="D19" s="37">
        <v>-2.6018520000000001</v>
      </c>
      <c r="E19" s="38" t="s">
        <v>2232</v>
      </c>
      <c r="F19" s="34" t="s">
        <v>2209</v>
      </c>
      <c r="G19" s="34" t="s">
        <v>2210</v>
      </c>
      <c r="H19" s="34" t="s">
        <v>971</v>
      </c>
      <c r="I19" s="34" t="s">
        <v>2230</v>
      </c>
      <c r="J19" s="34" t="s">
        <v>2212</v>
      </c>
      <c r="K19" s="39">
        <v>5.8000000000000003E-2</v>
      </c>
      <c r="L19" s="39"/>
      <c r="M19" s="39">
        <v>6.8109999999999999</v>
      </c>
      <c r="N19" s="39">
        <v>22.384999999999998</v>
      </c>
    </row>
    <row r="20" spans="1:14" ht="21" x14ac:dyDescent="0.25">
      <c r="A20" s="40">
        <v>42962</v>
      </c>
      <c r="B20" s="34" t="s">
        <v>2218</v>
      </c>
      <c r="C20" s="34">
        <v>51.479655999999999</v>
      </c>
      <c r="D20" s="34">
        <v>-2.6235019999999998</v>
      </c>
      <c r="E20" s="38" t="s">
        <v>2233</v>
      </c>
      <c r="F20" s="34" t="s">
        <v>2209</v>
      </c>
      <c r="G20" s="34" t="s">
        <v>2210</v>
      </c>
      <c r="H20" s="34" t="s">
        <v>971</v>
      </c>
      <c r="I20" s="34" t="s">
        <v>2230</v>
      </c>
      <c r="J20" s="34" t="s">
        <v>2212</v>
      </c>
      <c r="K20" s="39">
        <v>5.8999999999999997E-2</v>
      </c>
      <c r="L20" s="39"/>
      <c r="M20" s="39">
        <v>7.335</v>
      </c>
      <c r="N20" s="39">
        <v>23.277000000000001</v>
      </c>
    </row>
    <row r="21" spans="1:14" ht="21" x14ac:dyDescent="0.25">
      <c r="A21" s="40">
        <v>42958</v>
      </c>
      <c r="B21" s="36" t="s">
        <v>2207</v>
      </c>
      <c r="C21" s="37">
        <v>51.458010999999999</v>
      </c>
      <c r="D21" s="37">
        <v>-2.6018520000000001</v>
      </c>
      <c r="E21" s="38" t="s">
        <v>2234</v>
      </c>
      <c r="F21" s="34" t="s">
        <v>2209</v>
      </c>
      <c r="G21" s="34" t="s">
        <v>2210</v>
      </c>
      <c r="H21" s="34" t="s">
        <v>971</v>
      </c>
      <c r="I21" s="34" t="s">
        <v>2235</v>
      </c>
      <c r="J21" s="34" t="s">
        <v>2212</v>
      </c>
      <c r="K21" s="39">
        <v>0.06</v>
      </c>
      <c r="L21" s="39"/>
      <c r="M21" s="39">
        <v>5.0940000000000003</v>
      </c>
      <c r="N21" s="39">
        <v>14.888</v>
      </c>
    </row>
    <row r="22" spans="1:14" ht="21" x14ac:dyDescent="0.25">
      <c r="A22" s="40">
        <v>42962</v>
      </c>
      <c r="B22" s="34" t="s">
        <v>2218</v>
      </c>
      <c r="C22" s="34">
        <v>51.479655999999999</v>
      </c>
      <c r="D22" s="34">
        <v>-2.6235019999999998</v>
      </c>
      <c r="E22" s="38" t="s">
        <v>2236</v>
      </c>
      <c r="F22" s="34" t="s">
        <v>2209</v>
      </c>
      <c r="G22" s="34" t="s">
        <v>2210</v>
      </c>
      <c r="H22" s="34" t="s">
        <v>971</v>
      </c>
      <c r="I22" s="34" t="s">
        <v>2235</v>
      </c>
      <c r="J22" s="34" t="s">
        <v>2212</v>
      </c>
      <c r="K22" s="39">
        <v>5.8999999999999997E-2</v>
      </c>
      <c r="L22" s="39"/>
      <c r="M22" s="39">
        <v>5.9109999999999996</v>
      </c>
      <c r="N22" s="39">
        <v>16.337</v>
      </c>
    </row>
    <row r="23" spans="1:14" ht="21" x14ac:dyDescent="0.25">
      <c r="A23" s="40">
        <v>42958</v>
      </c>
      <c r="B23" s="36" t="s">
        <v>2207</v>
      </c>
      <c r="C23" s="37">
        <v>51.457596000000002</v>
      </c>
      <c r="D23" s="37">
        <v>-2.601337</v>
      </c>
      <c r="E23" s="38" t="s">
        <v>2237</v>
      </c>
      <c r="F23" s="34" t="s">
        <v>2209</v>
      </c>
      <c r="G23" s="34" t="s">
        <v>2210</v>
      </c>
      <c r="H23" s="34" t="s">
        <v>971</v>
      </c>
      <c r="I23" s="34" t="s">
        <v>2235</v>
      </c>
      <c r="J23" s="34" t="s">
        <v>2221</v>
      </c>
      <c r="K23" s="39">
        <v>5.8000000000000003E-2</v>
      </c>
      <c r="L23" s="39"/>
      <c r="M23" s="39">
        <v>4.7759999999999998</v>
      </c>
      <c r="N23" s="39">
        <v>16.615000000000002</v>
      </c>
    </row>
    <row r="24" spans="1:14" ht="21" x14ac:dyDescent="0.25">
      <c r="A24" s="40">
        <v>42958</v>
      </c>
      <c r="B24" s="36" t="s">
        <v>2207</v>
      </c>
      <c r="C24" s="37">
        <v>51.457596000000002</v>
      </c>
      <c r="D24" s="37">
        <v>-2.601337</v>
      </c>
      <c r="E24" s="38" t="s">
        <v>2238</v>
      </c>
      <c r="F24" s="34" t="s">
        <v>2209</v>
      </c>
      <c r="G24" s="34" t="s">
        <v>2210</v>
      </c>
      <c r="H24" s="34" t="s">
        <v>971</v>
      </c>
      <c r="I24" s="34" t="s">
        <v>2235</v>
      </c>
      <c r="J24" s="34" t="s">
        <v>2221</v>
      </c>
      <c r="K24" s="39">
        <v>5.8999999999999997E-2</v>
      </c>
      <c r="L24" s="39"/>
      <c r="M24" s="39">
        <v>5.1909999999999998</v>
      </c>
      <c r="N24" s="39">
        <v>15.617000000000001</v>
      </c>
    </row>
    <row r="25" spans="1:14" ht="21" x14ac:dyDescent="0.25">
      <c r="A25" s="40">
        <v>42958</v>
      </c>
      <c r="B25" s="36" t="s">
        <v>2207</v>
      </c>
      <c r="C25" s="37">
        <v>51.457596000000002</v>
      </c>
      <c r="D25" s="37">
        <v>-2.601337</v>
      </c>
      <c r="E25" s="38" t="s">
        <v>2239</v>
      </c>
      <c r="F25" s="34" t="s">
        <v>2209</v>
      </c>
      <c r="G25" s="34" t="s">
        <v>2210</v>
      </c>
      <c r="H25" s="34" t="s">
        <v>971</v>
      </c>
      <c r="I25" s="34" t="s">
        <v>2235</v>
      </c>
      <c r="J25" s="34" t="s">
        <v>2221</v>
      </c>
      <c r="K25" s="39">
        <v>0.06</v>
      </c>
      <c r="L25" s="39"/>
      <c r="M25" s="39">
        <v>5.383</v>
      </c>
      <c r="N25" s="39">
        <v>17.939</v>
      </c>
    </row>
    <row r="26" spans="1:14" ht="21" x14ac:dyDescent="0.25">
      <c r="A26" s="40">
        <v>42962</v>
      </c>
      <c r="B26" s="34" t="s">
        <v>2218</v>
      </c>
      <c r="C26" s="34">
        <v>51.479655999999999</v>
      </c>
      <c r="D26" s="34">
        <v>-2.6235019999999998</v>
      </c>
      <c r="E26" s="38" t="s">
        <v>2240</v>
      </c>
      <c r="F26" s="34" t="s">
        <v>2209</v>
      </c>
      <c r="G26" s="34" t="s">
        <v>2210</v>
      </c>
      <c r="H26" s="34" t="s">
        <v>971</v>
      </c>
      <c r="I26" s="34" t="s">
        <v>2235</v>
      </c>
      <c r="J26" s="34" t="s">
        <v>2221</v>
      </c>
      <c r="K26" s="39">
        <v>5.8999999999999997E-2</v>
      </c>
      <c r="L26" s="39"/>
      <c r="M26" s="39">
        <v>5.4720000000000004</v>
      </c>
      <c r="N26" s="39">
        <v>18.22</v>
      </c>
    </row>
    <row r="27" spans="1:14" ht="21" x14ac:dyDescent="0.25">
      <c r="A27" s="40">
        <v>42962</v>
      </c>
      <c r="B27" s="34" t="s">
        <v>2218</v>
      </c>
      <c r="C27" s="34">
        <v>51.479655999999999</v>
      </c>
      <c r="D27" s="34">
        <v>-2.6235019999999998</v>
      </c>
      <c r="E27" s="38" t="s">
        <v>2241</v>
      </c>
      <c r="F27" s="34" t="s">
        <v>2209</v>
      </c>
      <c r="G27" s="34" t="s">
        <v>2210</v>
      </c>
      <c r="H27" s="34" t="s">
        <v>971</v>
      </c>
      <c r="I27" s="34" t="s">
        <v>2235</v>
      </c>
      <c r="J27" s="34" t="s">
        <v>2221</v>
      </c>
      <c r="K27" s="39">
        <v>0.06</v>
      </c>
      <c r="L27" s="39"/>
      <c r="M27" s="39">
        <v>7.1239999999999997</v>
      </c>
      <c r="N27" s="39">
        <v>23.716999999999999</v>
      </c>
    </row>
    <row r="28" spans="1:14" ht="21" x14ac:dyDescent="0.25">
      <c r="A28" s="40">
        <v>42962</v>
      </c>
      <c r="B28" s="34" t="s">
        <v>2218</v>
      </c>
      <c r="C28" s="34">
        <v>51.479655999999999</v>
      </c>
      <c r="D28" s="34">
        <v>-2.6235019999999998</v>
      </c>
      <c r="E28" s="38" t="s">
        <v>2242</v>
      </c>
      <c r="F28" s="34" t="s">
        <v>2209</v>
      </c>
      <c r="G28" s="34" t="s">
        <v>2210</v>
      </c>
      <c r="H28" s="34" t="s">
        <v>971</v>
      </c>
      <c r="I28" s="34" t="s">
        <v>2235</v>
      </c>
      <c r="J28" s="34" t="s">
        <v>2221</v>
      </c>
      <c r="K28" s="39">
        <v>5.7000000000000002E-2</v>
      </c>
      <c r="L28" s="39"/>
      <c r="M28" s="39">
        <v>5.3920000000000003</v>
      </c>
      <c r="N28" s="39">
        <v>15.608000000000001</v>
      </c>
    </row>
    <row r="29" spans="1:14" ht="21" x14ac:dyDescent="0.25">
      <c r="A29" s="40">
        <v>42962</v>
      </c>
      <c r="B29" s="34" t="s">
        <v>2218</v>
      </c>
      <c r="C29" s="34">
        <v>51.479655999999999</v>
      </c>
      <c r="D29" s="34">
        <v>-2.6235019999999998</v>
      </c>
      <c r="E29" s="38" t="s">
        <v>2243</v>
      </c>
      <c r="F29" s="34" t="s">
        <v>2209</v>
      </c>
      <c r="G29" s="34" t="s">
        <v>2210</v>
      </c>
      <c r="H29" s="34" t="s">
        <v>971</v>
      </c>
      <c r="I29" s="34" t="s">
        <v>2235</v>
      </c>
      <c r="J29" s="34" t="s">
        <v>2221</v>
      </c>
      <c r="K29" s="39">
        <v>5.8999999999999997E-2</v>
      </c>
      <c r="L29" s="39"/>
      <c r="M29" s="39">
        <v>4.859</v>
      </c>
      <c r="N29" s="39">
        <v>16.86</v>
      </c>
    </row>
    <row r="30" spans="1:14" ht="21" x14ac:dyDescent="0.25">
      <c r="A30" s="40">
        <v>42962</v>
      </c>
      <c r="B30" s="34" t="s">
        <v>2218</v>
      </c>
      <c r="C30" s="34">
        <v>51.479655999999999</v>
      </c>
      <c r="D30" s="34">
        <v>-2.6235019999999998</v>
      </c>
      <c r="E30" s="38" t="s">
        <v>2244</v>
      </c>
      <c r="F30" s="34" t="s">
        <v>2209</v>
      </c>
      <c r="G30" s="34" t="s">
        <v>2210</v>
      </c>
      <c r="H30" s="34" t="s">
        <v>971</v>
      </c>
      <c r="I30" s="34" t="s">
        <v>2235</v>
      </c>
      <c r="J30" s="34" t="s">
        <v>2221</v>
      </c>
      <c r="K30" s="39">
        <v>5.8999999999999997E-2</v>
      </c>
      <c r="L30" s="39"/>
      <c r="M30" s="39">
        <v>6.0250000000000004</v>
      </c>
      <c r="N30" s="39">
        <v>19.184000000000001</v>
      </c>
    </row>
    <row r="31" spans="1:14" ht="21" x14ac:dyDescent="0.25">
      <c r="A31" s="40">
        <v>42962</v>
      </c>
      <c r="B31" s="34" t="s">
        <v>2218</v>
      </c>
      <c r="C31" s="34">
        <v>51.479655999999999</v>
      </c>
      <c r="D31" s="34">
        <v>-2.6235019999999998</v>
      </c>
      <c r="E31" s="38" t="s">
        <v>2245</v>
      </c>
      <c r="F31" s="34" t="s">
        <v>2209</v>
      </c>
      <c r="G31" s="34" t="s">
        <v>2210</v>
      </c>
      <c r="H31" s="34" t="s">
        <v>971</v>
      </c>
      <c r="I31" s="34" t="s">
        <v>2235</v>
      </c>
      <c r="J31" s="34" t="s">
        <v>2221</v>
      </c>
      <c r="K31" s="39">
        <v>0.06</v>
      </c>
      <c r="L31" s="39"/>
      <c r="M31" s="39">
        <v>5.5330000000000004</v>
      </c>
      <c r="N31" s="39">
        <v>17.664000000000001</v>
      </c>
    </row>
    <row r="32" spans="1:14" ht="21" x14ac:dyDescent="0.25">
      <c r="A32" s="35">
        <v>42951</v>
      </c>
      <c r="B32" s="36" t="s">
        <v>2207</v>
      </c>
      <c r="C32" s="37">
        <v>51.458010999999999</v>
      </c>
      <c r="D32" s="37">
        <v>-2.6018520000000001</v>
      </c>
      <c r="E32" s="38" t="s">
        <v>2246</v>
      </c>
      <c r="F32" s="36" t="s">
        <v>2209</v>
      </c>
      <c r="G32" s="36" t="s">
        <v>2210</v>
      </c>
      <c r="H32" s="36" t="s">
        <v>971</v>
      </c>
      <c r="I32" s="34" t="s">
        <v>2247</v>
      </c>
      <c r="J32" s="34" t="s">
        <v>2221</v>
      </c>
      <c r="K32" s="39">
        <v>0.06</v>
      </c>
      <c r="L32" s="39"/>
      <c r="M32" s="39">
        <v>7.3780000000000001</v>
      </c>
      <c r="N32" s="39">
        <v>22.832000000000001</v>
      </c>
    </row>
    <row r="33" spans="1:14" ht="21" x14ac:dyDescent="0.25">
      <c r="A33" s="35">
        <v>42951</v>
      </c>
      <c r="B33" s="36" t="s">
        <v>2207</v>
      </c>
      <c r="C33" s="37">
        <v>51.458010999999999</v>
      </c>
      <c r="D33" s="37">
        <v>-2.6018520000000001</v>
      </c>
      <c r="E33" s="38" t="s">
        <v>2248</v>
      </c>
      <c r="F33" s="36" t="s">
        <v>2209</v>
      </c>
      <c r="G33" s="36" t="s">
        <v>2210</v>
      </c>
      <c r="H33" s="36" t="s">
        <v>971</v>
      </c>
      <c r="I33" s="34" t="s">
        <v>2247</v>
      </c>
      <c r="J33" s="34" t="s">
        <v>2221</v>
      </c>
      <c r="K33" s="39">
        <v>5.7000000000000002E-2</v>
      </c>
      <c r="L33" s="39"/>
      <c r="M33" s="39">
        <v>7.3869999999999996</v>
      </c>
      <c r="N33" s="39">
        <v>23.386000000000003</v>
      </c>
    </row>
    <row r="34" spans="1:14" ht="21" x14ac:dyDescent="0.25">
      <c r="A34" s="35">
        <v>42951</v>
      </c>
      <c r="B34" s="36" t="s">
        <v>2207</v>
      </c>
      <c r="C34" s="37">
        <v>51.458010999999999</v>
      </c>
      <c r="D34" s="37">
        <v>-2.6018520000000001</v>
      </c>
      <c r="E34" s="38" t="s">
        <v>2249</v>
      </c>
      <c r="F34" s="34" t="s">
        <v>2209</v>
      </c>
      <c r="G34" s="34" t="s">
        <v>2210</v>
      </c>
      <c r="H34" s="34" t="s">
        <v>971</v>
      </c>
      <c r="I34" s="34" t="s">
        <v>2247</v>
      </c>
      <c r="J34" s="34" t="s">
        <v>2221</v>
      </c>
      <c r="K34" s="39">
        <v>5.8000000000000003E-2</v>
      </c>
      <c r="L34" s="39"/>
      <c r="M34" s="39">
        <v>7.6079999999999997</v>
      </c>
      <c r="N34" s="39">
        <v>22.006999999999998</v>
      </c>
    </row>
    <row r="35" spans="1:14" ht="21" x14ac:dyDescent="0.25">
      <c r="A35" s="35">
        <v>42951</v>
      </c>
      <c r="B35" s="36" t="s">
        <v>2207</v>
      </c>
      <c r="C35" s="37">
        <v>51.458010999999999</v>
      </c>
      <c r="D35" s="37">
        <v>-2.6018520000000001</v>
      </c>
      <c r="E35" s="38" t="s">
        <v>2250</v>
      </c>
      <c r="F35" s="36" t="s">
        <v>2209</v>
      </c>
      <c r="G35" s="36" t="s">
        <v>2210</v>
      </c>
      <c r="H35" s="36" t="s">
        <v>971</v>
      </c>
      <c r="I35" s="34" t="s">
        <v>2247</v>
      </c>
      <c r="J35" s="34" t="s">
        <v>2221</v>
      </c>
      <c r="K35" s="39">
        <v>5.8000000000000003E-2</v>
      </c>
      <c r="L35" s="39"/>
      <c r="M35" s="39">
        <v>7.8220000000000001</v>
      </c>
      <c r="N35" s="39">
        <v>22.936</v>
      </c>
    </row>
    <row r="36" spans="1:14" ht="21" x14ac:dyDescent="0.25">
      <c r="A36" s="35">
        <v>42951</v>
      </c>
      <c r="B36" s="36" t="s">
        <v>2207</v>
      </c>
      <c r="C36" s="37">
        <v>51.458010999999999</v>
      </c>
      <c r="D36" s="37">
        <v>-2.6018520000000001</v>
      </c>
      <c r="E36" s="38" t="s">
        <v>2251</v>
      </c>
      <c r="F36" s="36" t="s">
        <v>2209</v>
      </c>
      <c r="G36" s="36" t="s">
        <v>2210</v>
      </c>
      <c r="H36" s="36" t="s">
        <v>971</v>
      </c>
      <c r="I36" s="34" t="s">
        <v>2247</v>
      </c>
      <c r="J36" s="34" t="s">
        <v>2221</v>
      </c>
      <c r="K36" s="39">
        <v>5.8000000000000003E-2</v>
      </c>
      <c r="L36" s="39"/>
      <c r="M36" s="39">
        <v>6.0049999999999999</v>
      </c>
      <c r="N36" s="39">
        <v>17.814999999999998</v>
      </c>
    </row>
    <row r="37" spans="1:14" ht="21" x14ac:dyDescent="0.25">
      <c r="A37" s="35">
        <v>42951</v>
      </c>
      <c r="B37" s="36" t="s">
        <v>2207</v>
      </c>
      <c r="C37" s="37">
        <v>51.458010999999999</v>
      </c>
      <c r="D37" s="37">
        <v>-2.6018520000000001</v>
      </c>
      <c r="E37" s="38" t="s">
        <v>2252</v>
      </c>
      <c r="F37" s="36" t="s">
        <v>2209</v>
      </c>
      <c r="G37" s="36" t="s">
        <v>2210</v>
      </c>
      <c r="H37" s="36" t="s">
        <v>971</v>
      </c>
      <c r="I37" s="34" t="s">
        <v>2247</v>
      </c>
      <c r="J37" s="34" t="s">
        <v>2221</v>
      </c>
      <c r="K37" s="39">
        <v>5.8999999999999997E-2</v>
      </c>
      <c r="L37" s="39"/>
      <c r="M37" s="39">
        <v>5.2770000000000001</v>
      </c>
      <c r="N37" s="39">
        <v>17.347000000000001</v>
      </c>
    </row>
    <row r="38" spans="1:14" ht="21" x14ac:dyDescent="0.25">
      <c r="A38" s="35">
        <v>42951</v>
      </c>
      <c r="B38" s="36" t="s">
        <v>2207</v>
      </c>
      <c r="C38" s="37">
        <v>51.458010999999999</v>
      </c>
      <c r="D38" s="37">
        <v>-2.6018520000000001</v>
      </c>
      <c r="E38" s="38" t="s">
        <v>2253</v>
      </c>
      <c r="F38" s="36" t="s">
        <v>2209</v>
      </c>
      <c r="G38" s="36" t="s">
        <v>2210</v>
      </c>
      <c r="H38" s="36" t="s">
        <v>971</v>
      </c>
      <c r="I38" s="34" t="s">
        <v>2247</v>
      </c>
      <c r="J38" s="34" t="s">
        <v>2221</v>
      </c>
      <c r="K38" s="39">
        <v>5.8999999999999997E-2</v>
      </c>
      <c r="L38" s="39"/>
      <c r="M38" s="39">
        <v>7.7640000000000002</v>
      </c>
      <c r="N38" s="39">
        <v>23.116999999999997</v>
      </c>
    </row>
    <row r="39" spans="1:14" ht="21" x14ac:dyDescent="0.25">
      <c r="A39" s="40">
        <v>42958</v>
      </c>
      <c r="B39" s="36" t="s">
        <v>2207</v>
      </c>
      <c r="C39" s="37">
        <v>51.457596000000002</v>
      </c>
      <c r="D39" s="37">
        <v>-2.601337</v>
      </c>
      <c r="E39" s="38" t="s">
        <v>2254</v>
      </c>
      <c r="F39" s="34" t="s">
        <v>2209</v>
      </c>
      <c r="G39" s="34" t="s">
        <v>2210</v>
      </c>
      <c r="H39" s="34" t="s">
        <v>971</v>
      </c>
      <c r="I39" s="34" t="s">
        <v>2247</v>
      </c>
      <c r="J39" s="34" t="s">
        <v>2221</v>
      </c>
      <c r="K39" s="39">
        <v>5.8000000000000003E-2</v>
      </c>
      <c r="L39" s="39"/>
      <c r="M39" s="39">
        <v>7.327</v>
      </c>
      <c r="N39" s="39">
        <v>21.612000000000002</v>
      </c>
    </row>
    <row r="40" spans="1:14" ht="21" x14ac:dyDescent="0.25">
      <c r="A40" s="40">
        <v>42958</v>
      </c>
      <c r="B40" s="36" t="s">
        <v>2207</v>
      </c>
      <c r="C40" s="37">
        <v>51.458010999999999</v>
      </c>
      <c r="D40" s="37">
        <v>-2.6018520000000001</v>
      </c>
      <c r="E40" s="38" t="s">
        <v>2255</v>
      </c>
      <c r="F40" s="34" t="s">
        <v>2209</v>
      </c>
      <c r="G40" s="34" t="s">
        <v>2210</v>
      </c>
      <c r="H40" s="34" t="s">
        <v>971</v>
      </c>
      <c r="I40" s="34" t="s">
        <v>2247</v>
      </c>
      <c r="J40" s="34" t="s">
        <v>2221</v>
      </c>
      <c r="K40" s="39">
        <v>5.8000000000000003E-2</v>
      </c>
      <c r="L40" s="39"/>
      <c r="M40" s="39">
        <v>7.0410000000000004</v>
      </c>
      <c r="N40" s="39">
        <v>22.558</v>
      </c>
    </row>
    <row r="41" spans="1:14" ht="21" x14ac:dyDescent="0.25">
      <c r="A41" s="40">
        <v>42958</v>
      </c>
      <c r="B41" s="36" t="s">
        <v>2207</v>
      </c>
      <c r="C41" s="37">
        <v>51.458010999999999</v>
      </c>
      <c r="D41" s="37">
        <v>-2.6018520000000001</v>
      </c>
      <c r="E41" s="38" t="s">
        <v>2256</v>
      </c>
      <c r="F41" s="34" t="s">
        <v>2209</v>
      </c>
      <c r="G41" s="34" t="s">
        <v>2210</v>
      </c>
      <c r="H41" s="34" t="s">
        <v>971</v>
      </c>
      <c r="I41" s="34" t="s">
        <v>2247</v>
      </c>
      <c r="J41" s="34" t="s">
        <v>2221</v>
      </c>
      <c r="K41" s="39">
        <v>5.8000000000000003E-2</v>
      </c>
      <c r="L41" s="39"/>
      <c r="M41" s="39">
        <v>6.6310000000000002</v>
      </c>
      <c r="N41" s="39">
        <v>18.850000000000001</v>
      </c>
    </row>
    <row r="42" spans="1:14" ht="21" x14ac:dyDescent="0.25">
      <c r="A42" s="40">
        <v>42958</v>
      </c>
      <c r="B42" s="36" t="s">
        <v>2207</v>
      </c>
      <c r="C42" s="37">
        <v>51.458010999999999</v>
      </c>
      <c r="D42" s="37">
        <v>-2.6018520000000001</v>
      </c>
      <c r="E42" s="38" t="s">
        <v>2257</v>
      </c>
      <c r="F42" s="34" t="s">
        <v>2209</v>
      </c>
      <c r="G42" s="34" t="s">
        <v>2210</v>
      </c>
      <c r="H42" s="34" t="s">
        <v>971</v>
      </c>
      <c r="I42" s="34" t="s">
        <v>2247</v>
      </c>
      <c r="J42" s="34" t="s">
        <v>2221</v>
      </c>
      <c r="K42" s="39">
        <v>5.8000000000000003E-2</v>
      </c>
      <c r="L42" s="39"/>
      <c r="M42" s="39">
        <v>7.0339999999999998</v>
      </c>
      <c r="N42" s="39">
        <v>21.222000000000001</v>
      </c>
    </row>
    <row r="43" spans="1:14" ht="21" x14ac:dyDescent="0.25">
      <c r="A43" s="40">
        <v>42958</v>
      </c>
      <c r="B43" s="36" t="s">
        <v>2207</v>
      </c>
      <c r="C43" s="37">
        <v>51.458010999999999</v>
      </c>
      <c r="D43" s="37">
        <v>-2.6018520000000001</v>
      </c>
      <c r="E43" s="38" t="s">
        <v>2258</v>
      </c>
      <c r="F43" s="34" t="s">
        <v>2209</v>
      </c>
      <c r="G43" s="34" t="s">
        <v>2210</v>
      </c>
      <c r="H43" s="34" t="s">
        <v>971</v>
      </c>
      <c r="I43" s="34" t="s">
        <v>2247</v>
      </c>
      <c r="J43" s="34" t="s">
        <v>2221</v>
      </c>
      <c r="K43" s="39">
        <v>5.8000000000000003E-2</v>
      </c>
      <c r="L43" s="39"/>
      <c r="M43" s="39">
        <v>8.1820000000000004</v>
      </c>
      <c r="N43" s="39">
        <v>23.864000000000001</v>
      </c>
    </row>
    <row r="44" spans="1:14" ht="21" x14ac:dyDescent="0.25">
      <c r="A44" s="40">
        <v>42958</v>
      </c>
      <c r="B44" s="36" t="s">
        <v>2207</v>
      </c>
      <c r="C44" s="37">
        <v>51.458010999999999</v>
      </c>
      <c r="D44" s="37">
        <v>-2.6018520000000001</v>
      </c>
      <c r="E44" s="38" t="s">
        <v>2259</v>
      </c>
      <c r="F44" s="34" t="s">
        <v>2209</v>
      </c>
      <c r="G44" s="34" t="s">
        <v>2210</v>
      </c>
      <c r="H44" s="34" t="s">
        <v>971</v>
      </c>
      <c r="I44" s="34" t="s">
        <v>2247</v>
      </c>
      <c r="J44" s="34" t="s">
        <v>2221</v>
      </c>
      <c r="K44" s="39">
        <v>5.7000000000000002E-2</v>
      </c>
      <c r="L44" s="39"/>
      <c r="M44" s="39">
        <v>6.7670000000000003</v>
      </c>
      <c r="N44" s="39">
        <v>20.152000000000001</v>
      </c>
    </row>
    <row r="45" spans="1:14" ht="21" x14ac:dyDescent="0.25">
      <c r="A45" s="40">
        <v>42958</v>
      </c>
      <c r="B45" s="36" t="s">
        <v>2207</v>
      </c>
      <c r="C45" s="37">
        <v>51.457596000000002</v>
      </c>
      <c r="D45" s="37">
        <v>-2.601337</v>
      </c>
      <c r="E45" s="38" t="s">
        <v>2260</v>
      </c>
      <c r="F45" s="34" t="s">
        <v>2209</v>
      </c>
      <c r="G45" s="34" t="s">
        <v>2210</v>
      </c>
      <c r="H45" s="34" t="s">
        <v>971</v>
      </c>
      <c r="I45" s="34" t="s">
        <v>2247</v>
      </c>
      <c r="J45" s="34" t="s">
        <v>2221</v>
      </c>
      <c r="K45" s="39">
        <v>0.06</v>
      </c>
      <c r="L45" s="39"/>
      <c r="M45" s="39">
        <v>8.1760000000000002</v>
      </c>
      <c r="N45" s="39">
        <v>24.164000000000001</v>
      </c>
    </row>
    <row r="46" spans="1:14" ht="21" x14ac:dyDescent="0.25">
      <c r="A46" s="40">
        <v>42958</v>
      </c>
      <c r="B46" s="36" t="s">
        <v>2207</v>
      </c>
      <c r="C46" s="37">
        <v>51.458010999999999</v>
      </c>
      <c r="D46" s="37">
        <v>-2.6018520000000001</v>
      </c>
      <c r="E46" s="38" t="s">
        <v>2261</v>
      </c>
      <c r="F46" s="34" t="s">
        <v>2209</v>
      </c>
      <c r="G46" s="34" t="s">
        <v>2210</v>
      </c>
      <c r="H46" s="34" t="s">
        <v>971</v>
      </c>
      <c r="I46" s="34" t="s">
        <v>2247</v>
      </c>
      <c r="J46" s="34" t="s">
        <v>2221</v>
      </c>
      <c r="K46" s="39">
        <v>5.8000000000000003E-2</v>
      </c>
      <c r="L46" s="39"/>
      <c r="M46" s="39">
        <v>7.3689999999999998</v>
      </c>
      <c r="N46" s="39">
        <v>23.309000000000001</v>
      </c>
    </row>
    <row r="47" spans="1:14" ht="21" x14ac:dyDescent="0.25">
      <c r="A47" s="40">
        <v>42958</v>
      </c>
      <c r="B47" s="36" t="s">
        <v>2207</v>
      </c>
      <c r="C47" s="37">
        <v>51.458010999999999</v>
      </c>
      <c r="D47" s="37">
        <v>-2.6018520000000001</v>
      </c>
      <c r="E47" s="38" t="s">
        <v>2262</v>
      </c>
      <c r="F47" s="34" t="s">
        <v>2209</v>
      </c>
      <c r="G47" s="34" t="s">
        <v>2210</v>
      </c>
      <c r="H47" s="34" t="s">
        <v>971</v>
      </c>
      <c r="I47" s="34" t="s">
        <v>2247</v>
      </c>
      <c r="J47" s="34" t="s">
        <v>2221</v>
      </c>
      <c r="K47" s="39">
        <v>0.06</v>
      </c>
      <c r="L47" s="39"/>
      <c r="M47" s="39">
        <v>8.1820000000000004</v>
      </c>
      <c r="N47" s="39">
        <v>23.908000000000001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2"/>
  <sheetViews>
    <sheetView workbookViewId="0">
      <selection activeCell="H40" sqref="H40"/>
    </sheetView>
  </sheetViews>
  <sheetFormatPr baseColWidth="10" defaultColWidth="8.83203125" defaultRowHeight="15" x14ac:dyDescent="0.2"/>
  <sheetData>
    <row r="1" spans="1:12" x14ac:dyDescent="0.2">
      <c r="A1" t="s">
        <v>451</v>
      </c>
      <c r="B1" t="s">
        <v>452</v>
      </c>
      <c r="E1" t="s">
        <v>453</v>
      </c>
      <c r="F1" t="s">
        <v>454</v>
      </c>
      <c r="G1" t="s">
        <v>455</v>
      </c>
      <c r="H1" t="s">
        <v>456</v>
      </c>
      <c r="I1" t="s">
        <v>457</v>
      </c>
      <c r="J1" t="s">
        <v>387</v>
      </c>
      <c r="K1" t="s">
        <v>386</v>
      </c>
      <c r="L1" t="s">
        <v>458</v>
      </c>
    </row>
    <row r="2" spans="1:12" x14ac:dyDescent="0.2">
      <c r="A2" s="14" t="s">
        <v>459</v>
      </c>
      <c r="B2" t="s">
        <v>460</v>
      </c>
      <c r="D2">
        <v>1</v>
      </c>
      <c r="E2" s="1">
        <v>42816</v>
      </c>
      <c r="F2" s="1">
        <v>43017</v>
      </c>
      <c r="G2">
        <f t="shared" ref="G2:G9" si="0">F2-E2</f>
        <v>201</v>
      </c>
      <c r="H2" t="s">
        <v>461</v>
      </c>
      <c r="I2" t="s">
        <v>462</v>
      </c>
      <c r="J2">
        <v>-26.284722200000001</v>
      </c>
      <c r="K2">
        <v>136.09805556000001</v>
      </c>
      <c r="L2" t="s">
        <v>463</v>
      </c>
    </row>
    <row r="3" spans="1:12" x14ac:dyDescent="0.2">
      <c r="A3" s="14" t="s">
        <v>464</v>
      </c>
      <c r="B3" t="s">
        <v>465</v>
      </c>
      <c r="C3" t="s">
        <v>466</v>
      </c>
      <c r="D3">
        <v>1</v>
      </c>
      <c r="E3" s="1">
        <v>42816</v>
      </c>
      <c r="F3" s="1">
        <v>43017</v>
      </c>
      <c r="G3">
        <f t="shared" si="0"/>
        <v>201</v>
      </c>
      <c r="H3" t="s">
        <v>461</v>
      </c>
      <c r="I3" t="s">
        <v>462</v>
      </c>
      <c r="J3">
        <v>-26.284722200000001</v>
      </c>
      <c r="K3">
        <v>136.09805556000001</v>
      </c>
      <c r="L3" t="s">
        <v>463</v>
      </c>
    </row>
    <row r="4" spans="1:12" x14ac:dyDescent="0.2">
      <c r="A4" s="14" t="s">
        <v>467</v>
      </c>
      <c r="B4" t="s">
        <v>465</v>
      </c>
      <c r="C4" t="s">
        <v>466</v>
      </c>
      <c r="D4">
        <v>1</v>
      </c>
      <c r="E4" s="1">
        <v>42816</v>
      </c>
      <c r="F4" s="1">
        <v>43017</v>
      </c>
      <c r="G4">
        <f t="shared" si="0"/>
        <v>201</v>
      </c>
      <c r="H4" t="s">
        <v>461</v>
      </c>
      <c r="I4" t="s">
        <v>462</v>
      </c>
      <c r="J4">
        <v>-26.284722200000001</v>
      </c>
      <c r="K4">
        <v>136.09805556000001</v>
      </c>
      <c r="L4" t="s">
        <v>463</v>
      </c>
    </row>
    <row r="5" spans="1:12" x14ac:dyDescent="0.2">
      <c r="A5" s="14" t="s">
        <v>468</v>
      </c>
      <c r="B5" t="s">
        <v>469</v>
      </c>
      <c r="D5">
        <v>8</v>
      </c>
      <c r="E5" s="1">
        <v>42815</v>
      </c>
      <c r="F5" s="1">
        <v>43017</v>
      </c>
      <c r="G5">
        <f t="shared" si="0"/>
        <v>202</v>
      </c>
      <c r="H5" t="s">
        <v>461</v>
      </c>
      <c r="I5" t="s">
        <v>470</v>
      </c>
      <c r="J5">
        <v>-26.458888890000001</v>
      </c>
      <c r="K5">
        <v>135.41277778</v>
      </c>
      <c r="L5" t="s">
        <v>463</v>
      </c>
    </row>
    <row r="6" spans="1:12" x14ac:dyDescent="0.2">
      <c r="A6" s="14" t="s">
        <v>471</v>
      </c>
      <c r="B6" t="s">
        <v>469</v>
      </c>
      <c r="D6">
        <v>8</v>
      </c>
      <c r="E6" s="1">
        <v>42815</v>
      </c>
      <c r="F6" s="1">
        <v>43017</v>
      </c>
      <c r="G6">
        <f t="shared" si="0"/>
        <v>202</v>
      </c>
      <c r="H6" t="s">
        <v>461</v>
      </c>
      <c r="I6" t="s">
        <v>470</v>
      </c>
      <c r="J6">
        <v>-26.458888890000001</v>
      </c>
      <c r="K6">
        <v>135.41277778</v>
      </c>
      <c r="L6" t="s">
        <v>463</v>
      </c>
    </row>
    <row r="7" spans="1:12" x14ac:dyDescent="0.2">
      <c r="A7" s="14" t="s">
        <v>472</v>
      </c>
      <c r="B7" t="s">
        <v>465</v>
      </c>
      <c r="C7" t="s">
        <v>466</v>
      </c>
      <c r="D7">
        <v>1</v>
      </c>
      <c r="E7" s="1">
        <v>42816</v>
      </c>
      <c r="F7" s="1">
        <v>43017</v>
      </c>
      <c r="G7">
        <f t="shared" si="0"/>
        <v>201</v>
      </c>
      <c r="H7" t="s">
        <v>461</v>
      </c>
      <c r="I7" t="s">
        <v>462</v>
      </c>
      <c r="J7">
        <v>-26.284722200000001</v>
      </c>
      <c r="K7">
        <v>136.09805556000001</v>
      </c>
      <c r="L7" t="s">
        <v>463</v>
      </c>
    </row>
    <row r="8" spans="1:12" x14ac:dyDescent="0.2">
      <c r="A8" s="14" t="s">
        <v>473</v>
      </c>
      <c r="B8" t="s">
        <v>460</v>
      </c>
      <c r="D8">
        <v>1</v>
      </c>
      <c r="E8" s="1">
        <v>42816</v>
      </c>
      <c r="F8" s="1">
        <v>43017</v>
      </c>
      <c r="G8">
        <f t="shared" si="0"/>
        <v>201</v>
      </c>
      <c r="H8" t="s">
        <v>461</v>
      </c>
      <c r="I8" t="s">
        <v>462</v>
      </c>
      <c r="J8">
        <v>-26.284722200000001</v>
      </c>
      <c r="K8">
        <v>136.09805556000001</v>
      </c>
      <c r="L8" t="s">
        <v>463</v>
      </c>
    </row>
    <row r="9" spans="1:12" x14ac:dyDescent="0.2">
      <c r="A9" s="14" t="s">
        <v>474</v>
      </c>
      <c r="B9" t="s">
        <v>460</v>
      </c>
      <c r="C9" t="s">
        <v>475</v>
      </c>
      <c r="D9" s="15">
        <v>1</v>
      </c>
      <c r="E9" s="1">
        <v>42816</v>
      </c>
      <c r="F9" s="1">
        <v>43017</v>
      </c>
      <c r="G9">
        <f t="shared" si="0"/>
        <v>201</v>
      </c>
      <c r="H9" t="s">
        <v>461</v>
      </c>
      <c r="I9" t="s">
        <v>462</v>
      </c>
      <c r="J9">
        <v>-26.284722200000001</v>
      </c>
      <c r="K9">
        <v>136.09805556000001</v>
      </c>
      <c r="L9" t="s">
        <v>463</v>
      </c>
    </row>
    <row r="10" spans="1:12" x14ac:dyDescent="0.2">
      <c r="A10" s="2" t="s">
        <v>476</v>
      </c>
      <c r="B10" s="2"/>
      <c r="C10" s="2"/>
      <c r="D10" s="2"/>
      <c r="E10" s="2" t="s">
        <v>44</v>
      </c>
      <c r="F10" s="2" t="s">
        <v>44</v>
      </c>
      <c r="G10" s="2" t="s">
        <v>44</v>
      </c>
      <c r="H10" s="2" t="s">
        <v>44</v>
      </c>
      <c r="I10" s="2" t="s">
        <v>44</v>
      </c>
      <c r="J10" s="2" t="s">
        <v>44</v>
      </c>
      <c r="K10" s="2" t="s">
        <v>44</v>
      </c>
      <c r="L10" s="2" t="s">
        <v>44</v>
      </c>
    </row>
    <row r="11" spans="1:12" x14ac:dyDescent="0.2">
      <c r="A11" s="2" t="s">
        <v>477</v>
      </c>
      <c r="B11" s="2"/>
      <c r="C11" s="2"/>
      <c r="D11" s="2"/>
      <c r="E11" s="2" t="s">
        <v>44</v>
      </c>
      <c r="F11" s="2" t="s">
        <v>44</v>
      </c>
      <c r="G11" s="2" t="s">
        <v>44</v>
      </c>
      <c r="H11" s="2" t="s">
        <v>44</v>
      </c>
      <c r="I11" s="2" t="s">
        <v>44</v>
      </c>
      <c r="J11" s="2" t="s">
        <v>44</v>
      </c>
      <c r="K11" s="2" t="s">
        <v>44</v>
      </c>
      <c r="L11" s="2" t="s">
        <v>44</v>
      </c>
    </row>
    <row r="12" spans="1:12" x14ac:dyDescent="0.2">
      <c r="A12" s="14" t="s">
        <v>478</v>
      </c>
      <c r="B12" t="s">
        <v>465</v>
      </c>
      <c r="C12" t="s">
        <v>466</v>
      </c>
      <c r="D12">
        <v>1</v>
      </c>
      <c r="E12" s="1">
        <v>42816</v>
      </c>
      <c r="F12" s="1">
        <v>43017</v>
      </c>
      <c r="G12">
        <f t="shared" ref="G12:G23" si="1">F12-E12</f>
        <v>201</v>
      </c>
      <c r="H12" t="s">
        <v>461</v>
      </c>
      <c r="I12" t="s">
        <v>462</v>
      </c>
      <c r="J12">
        <v>-26.284722200000001</v>
      </c>
      <c r="K12">
        <v>136.09805556000001</v>
      </c>
      <c r="L12" t="s">
        <v>463</v>
      </c>
    </row>
    <row r="13" spans="1:12" x14ac:dyDescent="0.2">
      <c r="A13" s="14" t="s">
        <v>479</v>
      </c>
      <c r="B13" t="s">
        <v>469</v>
      </c>
      <c r="D13">
        <v>8</v>
      </c>
      <c r="E13" s="1">
        <v>42815</v>
      </c>
      <c r="F13" s="1">
        <v>43017</v>
      </c>
      <c r="G13">
        <f t="shared" si="1"/>
        <v>202</v>
      </c>
      <c r="H13" t="s">
        <v>461</v>
      </c>
      <c r="I13" t="s">
        <v>470</v>
      </c>
      <c r="J13">
        <v>-26.458888890000001</v>
      </c>
      <c r="K13">
        <v>135.41277778</v>
      </c>
      <c r="L13" t="s">
        <v>463</v>
      </c>
    </row>
    <row r="14" spans="1:12" x14ac:dyDescent="0.2">
      <c r="A14" s="14" t="s">
        <v>480</v>
      </c>
      <c r="B14" t="s">
        <v>465</v>
      </c>
      <c r="D14">
        <v>1</v>
      </c>
      <c r="E14" s="1">
        <v>42816</v>
      </c>
      <c r="F14" s="1">
        <v>43017</v>
      </c>
      <c r="G14">
        <f t="shared" si="1"/>
        <v>201</v>
      </c>
      <c r="H14" t="s">
        <v>461</v>
      </c>
      <c r="I14" t="s">
        <v>462</v>
      </c>
      <c r="J14">
        <v>-26.284722200000001</v>
      </c>
      <c r="K14">
        <v>136.09805556000001</v>
      </c>
      <c r="L14" t="s">
        <v>463</v>
      </c>
    </row>
    <row r="15" spans="1:12" x14ac:dyDescent="0.2">
      <c r="A15" s="14" t="s">
        <v>481</v>
      </c>
      <c r="B15" t="s">
        <v>465</v>
      </c>
      <c r="C15" t="s">
        <v>466</v>
      </c>
      <c r="D15">
        <v>1</v>
      </c>
      <c r="E15" s="1">
        <v>42816</v>
      </c>
      <c r="F15" s="1">
        <v>43017</v>
      </c>
      <c r="G15">
        <f t="shared" si="1"/>
        <v>201</v>
      </c>
      <c r="H15" t="s">
        <v>461</v>
      </c>
      <c r="I15" t="s">
        <v>462</v>
      </c>
      <c r="J15">
        <v>-26.284722200000001</v>
      </c>
      <c r="K15">
        <v>136.09805556000001</v>
      </c>
      <c r="L15" t="s">
        <v>463</v>
      </c>
    </row>
    <row r="16" spans="1:12" x14ac:dyDescent="0.2">
      <c r="A16" s="14" t="s">
        <v>482</v>
      </c>
      <c r="B16" t="s">
        <v>460</v>
      </c>
      <c r="D16">
        <v>1</v>
      </c>
      <c r="E16" s="1">
        <v>42816</v>
      </c>
      <c r="F16" s="1">
        <v>43017</v>
      </c>
      <c r="G16">
        <f t="shared" si="1"/>
        <v>201</v>
      </c>
      <c r="H16" t="s">
        <v>461</v>
      </c>
      <c r="I16" t="s">
        <v>462</v>
      </c>
      <c r="J16">
        <v>-26.284722200000001</v>
      </c>
      <c r="K16">
        <v>136.09805556000001</v>
      </c>
      <c r="L16" t="s">
        <v>463</v>
      </c>
    </row>
    <row r="17" spans="1:12" x14ac:dyDescent="0.2">
      <c r="A17" s="14" t="s">
        <v>483</v>
      </c>
      <c r="B17" t="s">
        <v>460</v>
      </c>
      <c r="D17">
        <v>1</v>
      </c>
      <c r="E17" s="1">
        <v>42816</v>
      </c>
      <c r="F17" s="1">
        <v>43017</v>
      </c>
      <c r="G17">
        <f t="shared" si="1"/>
        <v>201</v>
      </c>
      <c r="H17" t="s">
        <v>461</v>
      </c>
      <c r="I17" t="s">
        <v>462</v>
      </c>
      <c r="J17">
        <v>-26.284722200000001</v>
      </c>
      <c r="K17">
        <v>136.09805556000001</v>
      </c>
      <c r="L17" t="s">
        <v>463</v>
      </c>
    </row>
    <row r="18" spans="1:12" x14ac:dyDescent="0.2">
      <c r="A18" s="14" t="s">
        <v>484</v>
      </c>
      <c r="B18" t="s">
        <v>460</v>
      </c>
      <c r="C18" t="s">
        <v>475</v>
      </c>
      <c r="D18" s="15">
        <v>1</v>
      </c>
      <c r="E18" s="1">
        <v>42816</v>
      </c>
      <c r="F18" s="1">
        <v>43017</v>
      </c>
      <c r="G18">
        <f t="shared" si="1"/>
        <v>201</v>
      </c>
      <c r="H18" t="s">
        <v>461</v>
      </c>
      <c r="I18" t="s">
        <v>462</v>
      </c>
      <c r="J18">
        <v>-26.284722200000001</v>
      </c>
      <c r="K18">
        <v>136.09805556000001</v>
      </c>
      <c r="L18" t="s">
        <v>463</v>
      </c>
    </row>
    <row r="19" spans="1:12" x14ac:dyDescent="0.2">
      <c r="A19" s="14" t="s">
        <v>485</v>
      </c>
      <c r="B19" t="s">
        <v>465</v>
      </c>
      <c r="C19" t="s">
        <v>466</v>
      </c>
      <c r="D19">
        <v>1</v>
      </c>
      <c r="E19" s="1">
        <v>42816</v>
      </c>
      <c r="F19" s="1">
        <v>43017</v>
      </c>
      <c r="G19">
        <f t="shared" si="1"/>
        <v>201</v>
      </c>
      <c r="H19" t="s">
        <v>461</v>
      </c>
      <c r="I19" t="s">
        <v>462</v>
      </c>
      <c r="J19">
        <v>-26.284722200000001</v>
      </c>
      <c r="K19">
        <v>136.09805556000001</v>
      </c>
      <c r="L19" t="s">
        <v>463</v>
      </c>
    </row>
    <row r="20" spans="1:12" x14ac:dyDescent="0.2">
      <c r="A20" s="14" t="s">
        <v>486</v>
      </c>
      <c r="B20" t="s">
        <v>460</v>
      </c>
      <c r="C20" t="s">
        <v>475</v>
      </c>
      <c r="D20" s="15">
        <v>1</v>
      </c>
      <c r="E20" s="1">
        <v>42816</v>
      </c>
      <c r="F20" s="1">
        <v>43017</v>
      </c>
      <c r="G20">
        <f t="shared" si="1"/>
        <v>201</v>
      </c>
      <c r="H20" t="s">
        <v>461</v>
      </c>
      <c r="I20" t="s">
        <v>462</v>
      </c>
      <c r="J20">
        <v>-26.284722200000001</v>
      </c>
      <c r="K20">
        <v>136.09805556000001</v>
      </c>
      <c r="L20" t="s">
        <v>463</v>
      </c>
    </row>
    <row r="21" spans="1:12" x14ac:dyDescent="0.2">
      <c r="A21" s="14" t="s">
        <v>487</v>
      </c>
      <c r="B21" t="s">
        <v>460</v>
      </c>
      <c r="D21">
        <v>1</v>
      </c>
      <c r="E21" s="1">
        <v>42816</v>
      </c>
      <c r="F21" s="1">
        <v>43017</v>
      </c>
      <c r="G21">
        <f t="shared" si="1"/>
        <v>201</v>
      </c>
      <c r="H21" t="s">
        <v>461</v>
      </c>
      <c r="I21" t="s">
        <v>462</v>
      </c>
      <c r="J21">
        <v>-26.284722200000001</v>
      </c>
      <c r="K21">
        <v>136.09805556000001</v>
      </c>
      <c r="L21" t="s">
        <v>463</v>
      </c>
    </row>
    <row r="22" spans="1:12" x14ac:dyDescent="0.2">
      <c r="A22" s="14" t="s">
        <v>488</v>
      </c>
      <c r="B22" t="s">
        <v>465</v>
      </c>
      <c r="C22" t="s">
        <v>466</v>
      </c>
      <c r="D22" s="14">
        <v>1</v>
      </c>
      <c r="E22" s="1">
        <v>42816</v>
      </c>
      <c r="F22" s="1">
        <v>43017</v>
      </c>
      <c r="G22">
        <f t="shared" si="1"/>
        <v>201</v>
      </c>
      <c r="H22" t="s">
        <v>461</v>
      </c>
      <c r="I22" t="s">
        <v>462</v>
      </c>
      <c r="J22">
        <v>-26.284722200000001</v>
      </c>
      <c r="K22">
        <v>136.09805556000001</v>
      </c>
      <c r="L22" t="s">
        <v>463</v>
      </c>
    </row>
    <row r="23" spans="1:12" x14ac:dyDescent="0.2">
      <c r="A23" s="14" t="s">
        <v>489</v>
      </c>
      <c r="B23" t="s">
        <v>465</v>
      </c>
      <c r="C23" t="s">
        <v>466</v>
      </c>
      <c r="D23">
        <v>1</v>
      </c>
      <c r="E23" s="1">
        <v>42816</v>
      </c>
      <c r="F23" s="1">
        <v>43017</v>
      </c>
      <c r="G23">
        <f t="shared" si="1"/>
        <v>201</v>
      </c>
      <c r="H23" t="s">
        <v>461</v>
      </c>
      <c r="I23" t="s">
        <v>462</v>
      </c>
      <c r="J23">
        <v>-26.284722200000001</v>
      </c>
      <c r="K23">
        <v>136.09805556000001</v>
      </c>
      <c r="L23" t="s">
        <v>463</v>
      </c>
    </row>
    <row r="24" spans="1:12" x14ac:dyDescent="0.2">
      <c r="A24" s="2" t="s">
        <v>490</v>
      </c>
      <c r="B24" s="2"/>
      <c r="C24" s="2"/>
      <c r="D24" s="2"/>
      <c r="E24" s="2" t="s">
        <v>44</v>
      </c>
      <c r="F24" s="2" t="s">
        <v>44</v>
      </c>
      <c r="G24" s="2" t="s">
        <v>44</v>
      </c>
      <c r="H24" s="2" t="s">
        <v>44</v>
      </c>
      <c r="I24" s="2" t="s">
        <v>44</v>
      </c>
      <c r="J24" s="2" t="s">
        <v>44</v>
      </c>
      <c r="K24" s="2" t="s">
        <v>44</v>
      </c>
      <c r="L24" s="2" t="s">
        <v>44</v>
      </c>
    </row>
    <row r="25" spans="1:12" x14ac:dyDescent="0.2">
      <c r="A25" s="14" t="s">
        <v>491</v>
      </c>
      <c r="B25" t="s">
        <v>460</v>
      </c>
      <c r="D25">
        <v>1</v>
      </c>
      <c r="E25" s="1">
        <v>42816</v>
      </c>
      <c r="F25" s="1">
        <v>43017</v>
      </c>
      <c r="G25">
        <f t="shared" ref="G25:G58" si="2">F25-E25</f>
        <v>201</v>
      </c>
      <c r="H25" t="s">
        <v>461</v>
      </c>
      <c r="I25" t="s">
        <v>462</v>
      </c>
      <c r="J25">
        <v>-26.284722200000001</v>
      </c>
      <c r="K25">
        <v>136.09805556000001</v>
      </c>
      <c r="L25" t="s">
        <v>463</v>
      </c>
    </row>
    <row r="26" spans="1:12" x14ac:dyDescent="0.2">
      <c r="A26" s="14" t="s">
        <v>492</v>
      </c>
      <c r="B26" t="s">
        <v>460</v>
      </c>
      <c r="D26">
        <v>1</v>
      </c>
      <c r="E26" s="1">
        <v>42816</v>
      </c>
      <c r="F26" s="1">
        <v>43017</v>
      </c>
      <c r="G26">
        <f t="shared" si="2"/>
        <v>201</v>
      </c>
      <c r="H26" t="s">
        <v>461</v>
      </c>
      <c r="I26" t="s">
        <v>462</v>
      </c>
      <c r="J26">
        <v>-26.284722200000001</v>
      </c>
      <c r="K26">
        <v>136.09805556000001</v>
      </c>
      <c r="L26" t="s">
        <v>463</v>
      </c>
    </row>
    <row r="27" spans="1:12" x14ac:dyDescent="0.2">
      <c r="A27" s="14" t="s">
        <v>493</v>
      </c>
      <c r="B27" t="s">
        <v>460</v>
      </c>
      <c r="D27">
        <v>1</v>
      </c>
      <c r="E27" s="1">
        <v>42816</v>
      </c>
      <c r="F27" s="1">
        <v>43017</v>
      </c>
      <c r="G27">
        <f t="shared" si="2"/>
        <v>201</v>
      </c>
      <c r="H27" t="s">
        <v>461</v>
      </c>
      <c r="I27" t="s">
        <v>462</v>
      </c>
      <c r="J27">
        <v>-26.284722200000001</v>
      </c>
      <c r="K27">
        <v>136.09805556000001</v>
      </c>
      <c r="L27" t="s">
        <v>463</v>
      </c>
    </row>
    <row r="28" spans="1:12" x14ac:dyDescent="0.2">
      <c r="A28" s="14" t="s">
        <v>494</v>
      </c>
      <c r="B28" t="s">
        <v>460</v>
      </c>
      <c r="D28">
        <v>1</v>
      </c>
      <c r="E28" s="1">
        <v>42816</v>
      </c>
      <c r="F28" s="1">
        <v>43017</v>
      </c>
      <c r="G28">
        <f t="shared" si="2"/>
        <v>201</v>
      </c>
      <c r="H28" t="s">
        <v>461</v>
      </c>
      <c r="I28" t="s">
        <v>462</v>
      </c>
      <c r="J28">
        <v>-26.284722200000001</v>
      </c>
      <c r="K28">
        <v>136.09805556000001</v>
      </c>
      <c r="L28" t="s">
        <v>463</v>
      </c>
    </row>
    <row r="29" spans="1:12" x14ac:dyDescent="0.2">
      <c r="A29" s="14" t="s">
        <v>495</v>
      </c>
      <c r="B29" t="s">
        <v>460</v>
      </c>
      <c r="D29">
        <v>1</v>
      </c>
      <c r="E29" s="1">
        <v>42816</v>
      </c>
      <c r="F29" s="1">
        <v>43017</v>
      </c>
      <c r="G29">
        <f t="shared" si="2"/>
        <v>201</v>
      </c>
      <c r="H29" t="s">
        <v>461</v>
      </c>
      <c r="I29" t="s">
        <v>462</v>
      </c>
      <c r="J29">
        <v>-26.284722200000001</v>
      </c>
      <c r="K29">
        <v>136.09805556000001</v>
      </c>
      <c r="L29" t="s">
        <v>463</v>
      </c>
    </row>
    <row r="30" spans="1:12" x14ac:dyDescent="0.2">
      <c r="A30" s="14" t="s">
        <v>496</v>
      </c>
      <c r="B30" t="s">
        <v>460</v>
      </c>
      <c r="D30">
        <v>1</v>
      </c>
      <c r="E30" s="1">
        <v>42816</v>
      </c>
      <c r="F30" s="1">
        <v>43017</v>
      </c>
      <c r="G30">
        <f t="shared" si="2"/>
        <v>201</v>
      </c>
      <c r="H30" t="s">
        <v>461</v>
      </c>
      <c r="I30" t="s">
        <v>462</v>
      </c>
      <c r="J30">
        <v>-26.284722200000001</v>
      </c>
      <c r="K30">
        <v>136.09805556000001</v>
      </c>
      <c r="L30" t="s">
        <v>463</v>
      </c>
    </row>
    <row r="31" spans="1:12" x14ac:dyDescent="0.2">
      <c r="A31" s="14" t="s">
        <v>497</v>
      </c>
      <c r="B31" t="s">
        <v>460</v>
      </c>
      <c r="D31">
        <v>1</v>
      </c>
      <c r="E31" s="1">
        <v>42816</v>
      </c>
      <c r="F31" s="1">
        <v>43017</v>
      </c>
      <c r="G31">
        <f t="shared" si="2"/>
        <v>201</v>
      </c>
      <c r="H31" t="s">
        <v>461</v>
      </c>
      <c r="I31" t="s">
        <v>462</v>
      </c>
      <c r="J31">
        <v>-26.284722200000001</v>
      </c>
      <c r="K31">
        <v>136.09805556000001</v>
      </c>
      <c r="L31" t="s">
        <v>463</v>
      </c>
    </row>
    <row r="32" spans="1:12" x14ac:dyDescent="0.2">
      <c r="A32" s="14" t="s">
        <v>498</v>
      </c>
      <c r="B32" t="s">
        <v>460</v>
      </c>
      <c r="D32">
        <v>1</v>
      </c>
      <c r="E32" s="1">
        <v>42816</v>
      </c>
      <c r="F32" s="1">
        <v>43017</v>
      </c>
      <c r="G32">
        <f t="shared" si="2"/>
        <v>201</v>
      </c>
      <c r="H32" t="s">
        <v>461</v>
      </c>
      <c r="I32" t="s">
        <v>462</v>
      </c>
      <c r="J32">
        <v>-26.284722200000001</v>
      </c>
      <c r="K32">
        <v>136.09805556000001</v>
      </c>
      <c r="L32" t="s">
        <v>463</v>
      </c>
    </row>
    <row r="33" spans="1:12" x14ac:dyDescent="0.2">
      <c r="A33" s="14" t="s">
        <v>499</v>
      </c>
      <c r="B33" t="s">
        <v>460</v>
      </c>
      <c r="D33">
        <v>1</v>
      </c>
      <c r="E33" s="1">
        <v>42816</v>
      </c>
      <c r="F33" s="1">
        <v>43017</v>
      </c>
      <c r="G33">
        <f t="shared" si="2"/>
        <v>201</v>
      </c>
      <c r="H33" t="s">
        <v>461</v>
      </c>
      <c r="I33" t="s">
        <v>462</v>
      </c>
      <c r="J33">
        <v>-26.284722200000001</v>
      </c>
      <c r="K33">
        <v>136.09805556000001</v>
      </c>
      <c r="L33" t="s">
        <v>463</v>
      </c>
    </row>
    <row r="34" spans="1:12" x14ac:dyDescent="0.2">
      <c r="A34" s="14" t="s">
        <v>500</v>
      </c>
      <c r="B34" t="s">
        <v>460</v>
      </c>
      <c r="D34">
        <v>1</v>
      </c>
      <c r="E34" s="1">
        <v>42816</v>
      </c>
      <c r="F34" s="1">
        <v>43017</v>
      </c>
      <c r="G34">
        <f t="shared" si="2"/>
        <v>201</v>
      </c>
      <c r="H34" t="s">
        <v>461</v>
      </c>
      <c r="I34" t="s">
        <v>462</v>
      </c>
      <c r="J34">
        <v>-26.284722200000001</v>
      </c>
      <c r="K34">
        <v>136.09805556000001</v>
      </c>
      <c r="L34" t="s">
        <v>463</v>
      </c>
    </row>
    <row r="35" spans="1:12" x14ac:dyDescent="0.2">
      <c r="A35" s="14" t="s">
        <v>501</v>
      </c>
      <c r="B35" t="s">
        <v>502</v>
      </c>
      <c r="D35">
        <v>9</v>
      </c>
      <c r="E35" s="1">
        <v>42809</v>
      </c>
      <c r="F35" s="1">
        <v>43017</v>
      </c>
      <c r="G35">
        <f t="shared" si="2"/>
        <v>208</v>
      </c>
      <c r="H35" t="s">
        <v>461</v>
      </c>
      <c r="I35" t="s">
        <v>503</v>
      </c>
      <c r="J35">
        <v>-26.12194444</v>
      </c>
      <c r="K35">
        <v>135.20888889</v>
      </c>
      <c r="L35" t="s">
        <v>463</v>
      </c>
    </row>
    <row r="36" spans="1:12" x14ac:dyDescent="0.2">
      <c r="A36" s="14" t="s">
        <v>504</v>
      </c>
      <c r="B36" t="s">
        <v>505</v>
      </c>
      <c r="D36">
        <v>2</v>
      </c>
      <c r="E36" s="1">
        <v>42815</v>
      </c>
      <c r="F36" s="1">
        <v>43017</v>
      </c>
      <c r="G36">
        <f t="shared" si="2"/>
        <v>202</v>
      </c>
      <c r="H36" t="s">
        <v>506</v>
      </c>
      <c r="I36" t="s">
        <v>507</v>
      </c>
      <c r="J36">
        <v>-25.754722220000001</v>
      </c>
      <c r="K36">
        <v>135.26305556</v>
      </c>
      <c r="L36" t="s">
        <v>463</v>
      </c>
    </row>
    <row r="37" spans="1:12" x14ac:dyDescent="0.2">
      <c r="A37" s="14" t="s">
        <v>508</v>
      </c>
      <c r="B37" t="s">
        <v>509</v>
      </c>
      <c r="D37">
        <v>3</v>
      </c>
      <c r="E37" s="1">
        <v>42816</v>
      </c>
      <c r="F37" s="1">
        <v>43017</v>
      </c>
      <c r="G37">
        <f t="shared" si="2"/>
        <v>201</v>
      </c>
      <c r="H37" t="s">
        <v>461</v>
      </c>
      <c r="I37" t="s">
        <v>510</v>
      </c>
      <c r="J37">
        <v>-26.423333299999999</v>
      </c>
      <c r="K37">
        <v>135.51333299999999</v>
      </c>
      <c r="L37" t="s">
        <v>463</v>
      </c>
    </row>
    <row r="38" spans="1:12" x14ac:dyDescent="0.2">
      <c r="A38" s="14" t="s">
        <v>511</v>
      </c>
      <c r="B38" t="s">
        <v>505</v>
      </c>
      <c r="D38">
        <v>2</v>
      </c>
      <c r="E38" s="1">
        <v>42815</v>
      </c>
      <c r="F38" s="1">
        <v>43017</v>
      </c>
      <c r="G38">
        <f t="shared" si="2"/>
        <v>202</v>
      </c>
      <c r="H38" t="s">
        <v>506</v>
      </c>
      <c r="I38" t="s">
        <v>507</v>
      </c>
      <c r="J38">
        <v>-25.754722220000001</v>
      </c>
      <c r="K38">
        <v>135.26305556</v>
      </c>
      <c r="L38" t="s">
        <v>463</v>
      </c>
    </row>
    <row r="39" spans="1:12" x14ac:dyDescent="0.2">
      <c r="A39" s="14" t="s">
        <v>512</v>
      </c>
      <c r="B39" t="s">
        <v>505</v>
      </c>
      <c r="D39">
        <v>2</v>
      </c>
      <c r="E39" s="1">
        <v>42815</v>
      </c>
      <c r="F39" s="1">
        <v>43017</v>
      </c>
      <c r="G39">
        <f t="shared" si="2"/>
        <v>202</v>
      </c>
      <c r="H39" t="s">
        <v>506</v>
      </c>
      <c r="I39" t="s">
        <v>507</v>
      </c>
      <c r="J39">
        <v>-25.754722220000001</v>
      </c>
      <c r="K39">
        <v>135.26305556</v>
      </c>
      <c r="L39" t="s">
        <v>463</v>
      </c>
    </row>
    <row r="40" spans="1:12" x14ac:dyDescent="0.2">
      <c r="A40" s="14" t="s">
        <v>513</v>
      </c>
      <c r="B40" t="s">
        <v>505</v>
      </c>
      <c r="D40">
        <v>2</v>
      </c>
      <c r="E40" s="1">
        <v>42815</v>
      </c>
      <c r="F40" s="1">
        <v>43017</v>
      </c>
      <c r="G40">
        <f t="shared" si="2"/>
        <v>202</v>
      </c>
      <c r="H40" t="s">
        <v>506</v>
      </c>
      <c r="I40" t="s">
        <v>507</v>
      </c>
      <c r="J40">
        <v>-25.754722220000001</v>
      </c>
      <c r="K40">
        <v>135.26305556</v>
      </c>
      <c r="L40" t="s">
        <v>463</v>
      </c>
    </row>
    <row r="41" spans="1:12" x14ac:dyDescent="0.2">
      <c r="A41" s="14" t="s">
        <v>514</v>
      </c>
      <c r="B41" t="s">
        <v>505</v>
      </c>
      <c r="D41">
        <v>2</v>
      </c>
      <c r="E41" s="1">
        <v>42815</v>
      </c>
      <c r="F41" s="1">
        <v>43017</v>
      </c>
      <c r="G41">
        <f t="shared" si="2"/>
        <v>202</v>
      </c>
      <c r="H41" t="s">
        <v>506</v>
      </c>
      <c r="I41" t="s">
        <v>507</v>
      </c>
      <c r="J41">
        <v>-25.754722220000001</v>
      </c>
      <c r="K41">
        <v>135.26305556</v>
      </c>
      <c r="L41" t="s">
        <v>463</v>
      </c>
    </row>
    <row r="42" spans="1:12" x14ac:dyDescent="0.2">
      <c r="A42" s="14" t="s">
        <v>515</v>
      </c>
      <c r="B42" t="s">
        <v>505</v>
      </c>
      <c r="D42">
        <v>2</v>
      </c>
      <c r="E42" s="1">
        <v>42815</v>
      </c>
      <c r="F42" s="1">
        <v>43017</v>
      </c>
      <c r="G42">
        <f t="shared" si="2"/>
        <v>202</v>
      </c>
      <c r="H42" t="s">
        <v>506</v>
      </c>
      <c r="I42" t="s">
        <v>507</v>
      </c>
      <c r="J42">
        <v>-25.754722220000001</v>
      </c>
      <c r="K42">
        <v>135.26305556</v>
      </c>
      <c r="L42" t="s">
        <v>463</v>
      </c>
    </row>
    <row r="43" spans="1:12" x14ac:dyDescent="0.2">
      <c r="A43" s="14" t="s">
        <v>516</v>
      </c>
      <c r="B43" t="s">
        <v>466</v>
      </c>
      <c r="D43">
        <v>1</v>
      </c>
      <c r="E43" s="1">
        <v>42816</v>
      </c>
      <c r="F43" s="1">
        <v>43017</v>
      </c>
      <c r="G43">
        <f t="shared" si="2"/>
        <v>201</v>
      </c>
      <c r="H43" t="s">
        <v>461</v>
      </c>
      <c r="I43" t="s">
        <v>462</v>
      </c>
      <c r="J43">
        <v>-26.284722200000001</v>
      </c>
      <c r="K43">
        <v>136.09805556000001</v>
      </c>
      <c r="L43" t="s">
        <v>463</v>
      </c>
    </row>
    <row r="44" spans="1:12" x14ac:dyDescent="0.2">
      <c r="A44" s="14" t="s">
        <v>517</v>
      </c>
      <c r="B44" t="s">
        <v>466</v>
      </c>
      <c r="D44">
        <v>1</v>
      </c>
      <c r="E44" s="1">
        <v>42816</v>
      </c>
      <c r="F44" s="1">
        <v>43017</v>
      </c>
      <c r="G44">
        <f t="shared" si="2"/>
        <v>201</v>
      </c>
      <c r="H44" t="s">
        <v>461</v>
      </c>
      <c r="I44" t="s">
        <v>462</v>
      </c>
      <c r="J44">
        <v>-26.284722200000001</v>
      </c>
      <c r="K44">
        <v>136.09805556000001</v>
      </c>
      <c r="L44" t="s">
        <v>463</v>
      </c>
    </row>
    <row r="45" spans="1:12" x14ac:dyDescent="0.2">
      <c r="A45" s="14" t="s">
        <v>518</v>
      </c>
      <c r="B45" t="s">
        <v>466</v>
      </c>
      <c r="D45">
        <v>1</v>
      </c>
      <c r="E45" s="1">
        <v>42816</v>
      </c>
      <c r="F45" s="1">
        <v>43017</v>
      </c>
      <c r="G45">
        <f t="shared" si="2"/>
        <v>201</v>
      </c>
      <c r="H45" t="s">
        <v>461</v>
      </c>
      <c r="I45" t="s">
        <v>462</v>
      </c>
      <c r="J45">
        <v>-26.284722200000001</v>
      </c>
      <c r="K45">
        <v>136.09805556000001</v>
      </c>
      <c r="L45" t="s">
        <v>463</v>
      </c>
    </row>
    <row r="46" spans="1:12" x14ac:dyDescent="0.2">
      <c r="A46" s="14" t="s">
        <v>519</v>
      </c>
      <c r="B46" t="s">
        <v>466</v>
      </c>
      <c r="D46">
        <v>1</v>
      </c>
      <c r="E46" s="1">
        <v>42816</v>
      </c>
      <c r="F46" s="1">
        <v>43017</v>
      </c>
      <c r="G46">
        <f t="shared" si="2"/>
        <v>201</v>
      </c>
      <c r="H46" t="s">
        <v>461</v>
      </c>
      <c r="I46" t="s">
        <v>462</v>
      </c>
      <c r="J46">
        <v>-26.284722200000001</v>
      </c>
      <c r="K46">
        <v>136.09805556000001</v>
      </c>
      <c r="L46" t="s">
        <v>463</v>
      </c>
    </row>
    <row r="47" spans="1:12" x14ac:dyDescent="0.2">
      <c r="A47" s="14" t="s">
        <v>520</v>
      </c>
      <c r="B47" t="s">
        <v>466</v>
      </c>
      <c r="D47">
        <v>1</v>
      </c>
      <c r="E47" s="1">
        <v>42816</v>
      </c>
      <c r="F47" s="1">
        <v>43017</v>
      </c>
      <c r="G47">
        <f t="shared" si="2"/>
        <v>201</v>
      </c>
      <c r="H47" t="s">
        <v>461</v>
      </c>
      <c r="I47" t="s">
        <v>462</v>
      </c>
      <c r="J47">
        <v>-26.284722200000001</v>
      </c>
      <c r="K47">
        <v>136.09805556000001</v>
      </c>
      <c r="L47" t="s">
        <v>463</v>
      </c>
    </row>
    <row r="48" spans="1:12" x14ac:dyDescent="0.2">
      <c r="A48" s="14" t="s">
        <v>521</v>
      </c>
      <c r="B48" t="s">
        <v>466</v>
      </c>
      <c r="D48">
        <v>1</v>
      </c>
      <c r="E48" s="1">
        <v>42816</v>
      </c>
      <c r="F48" s="1">
        <v>43017</v>
      </c>
      <c r="G48">
        <f t="shared" si="2"/>
        <v>201</v>
      </c>
      <c r="H48" t="s">
        <v>461</v>
      </c>
      <c r="I48" t="s">
        <v>462</v>
      </c>
      <c r="J48">
        <v>-26.284722200000001</v>
      </c>
      <c r="K48">
        <v>136.09805556000001</v>
      </c>
      <c r="L48" t="s">
        <v>463</v>
      </c>
    </row>
    <row r="49" spans="1:12" x14ac:dyDescent="0.2">
      <c r="A49" s="14" t="s">
        <v>522</v>
      </c>
      <c r="B49" t="s">
        <v>509</v>
      </c>
      <c r="D49">
        <v>3</v>
      </c>
      <c r="E49" s="1">
        <v>42816</v>
      </c>
      <c r="F49" s="1">
        <v>43017</v>
      </c>
      <c r="G49">
        <f t="shared" si="2"/>
        <v>201</v>
      </c>
      <c r="H49" t="s">
        <v>461</v>
      </c>
      <c r="I49" t="s">
        <v>510</v>
      </c>
      <c r="J49">
        <v>-26.423333299999999</v>
      </c>
      <c r="K49">
        <v>135.51333299999999</v>
      </c>
      <c r="L49" t="s">
        <v>463</v>
      </c>
    </row>
    <row r="50" spans="1:12" x14ac:dyDescent="0.2">
      <c r="A50" s="14" t="s">
        <v>523</v>
      </c>
      <c r="B50" t="s">
        <v>509</v>
      </c>
      <c r="D50">
        <v>3</v>
      </c>
      <c r="E50" s="1">
        <v>42816</v>
      </c>
      <c r="F50" s="1">
        <v>43017</v>
      </c>
      <c r="G50">
        <f t="shared" si="2"/>
        <v>201</v>
      </c>
      <c r="H50" t="s">
        <v>461</v>
      </c>
      <c r="I50" t="s">
        <v>510</v>
      </c>
      <c r="J50">
        <v>-26.423333299999999</v>
      </c>
      <c r="K50">
        <v>135.51333299999999</v>
      </c>
      <c r="L50" t="s">
        <v>463</v>
      </c>
    </row>
    <row r="51" spans="1:12" x14ac:dyDescent="0.2">
      <c r="A51" s="14" t="s">
        <v>524</v>
      </c>
      <c r="B51" t="s">
        <v>509</v>
      </c>
      <c r="D51">
        <v>3</v>
      </c>
      <c r="E51" s="1">
        <v>42816</v>
      </c>
      <c r="F51" s="1">
        <v>43017</v>
      </c>
      <c r="G51">
        <f t="shared" si="2"/>
        <v>201</v>
      </c>
      <c r="H51" t="s">
        <v>461</v>
      </c>
      <c r="I51" t="s">
        <v>510</v>
      </c>
      <c r="J51">
        <v>-26.423333299999999</v>
      </c>
      <c r="K51">
        <v>135.51333299999999</v>
      </c>
      <c r="L51" t="s">
        <v>463</v>
      </c>
    </row>
    <row r="52" spans="1:12" x14ac:dyDescent="0.2">
      <c r="A52" s="14" t="s">
        <v>525</v>
      </c>
      <c r="B52" t="s">
        <v>509</v>
      </c>
      <c r="D52">
        <v>3</v>
      </c>
      <c r="E52" s="1">
        <v>42816</v>
      </c>
      <c r="F52" s="1">
        <v>43017</v>
      </c>
      <c r="G52">
        <f t="shared" si="2"/>
        <v>201</v>
      </c>
      <c r="H52" t="s">
        <v>461</v>
      </c>
      <c r="I52" t="s">
        <v>510</v>
      </c>
      <c r="J52">
        <v>-26.423333299999999</v>
      </c>
      <c r="K52">
        <v>135.51333299999999</v>
      </c>
      <c r="L52" t="s">
        <v>463</v>
      </c>
    </row>
    <row r="53" spans="1:12" x14ac:dyDescent="0.2">
      <c r="A53" s="14" t="s">
        <v>526</v>
      </c>
      <c r="B53" t="s">
        <v>509</v>
      </c>
      <c r="D53">
        <v>3</v>
      </c>
      <c r="E53" s="1">
        <v>42816</v>
      </c>
      <c r="F53" s="1">
        <v>43017</v>
      </c>
      <c r="G53">
        <f t="shared" si="2"/>
        <v>201</v>
      </c>
      <c r="H53" t="s">
        <v>461</v>
      </c>
      <c r="I53" t="s">
        <v>510</v>
      </c>
      <c r="J53">
        <v>-26.423333299999999</v>
      </c>
      <c r="K53">
        <v>135.51333299999999</v>
      </c>
      <c r="L53" t="s">
        <v>463</v>
      </c>
    </row>
    <row r="54" spans="1:12" x14ac:dyDescent="0.2">
      <c r="A54" s="14" t="s">
        <v>527</v>
      </c>
      <c r="B54" t="s">
        <v>509</v>
      </c>
      <c r="D54">
        <v>3</v>
      </c>
      <c r="E54" s="1">
        <v>42816</v>
      </c>
      <c r="F54" s="1">
        <v>43017</v>
      </c>
      <c r="G54">
        <f t="shared" si="2"/>
        <v>201</v>
      </c>
      <c r="H54" t="s">
        <v>461</v>
      </c>
      <c r="I54" t="s">
        <v>510</v>
      </c>
      <c r="J54">
        <v>-26.423333299999999</v>
      </c>
      <c r="K54">
        <v>135.51333299999999</v>
      </c>
      <c r="L54" t="s">
        <v>463</v>
      </c>
    </row>
    <row r="55" spans="1:12" x14ac:dyDescent="0.2">
      <c r="A55" s="14" t="s">
        <v>528</v>
      </c>
      <c r="B55" t="s">
        <v>509</v>
      </c>
      <c r="D55">
        <v>3</v>
      </c>
      <c r="E55" s="1">
        <v>42816</v>
      </c>
      <c r="F55" s="1">
        <v>43017</v>
      </c>
      <c r="G55">
        <f t="shared" si="2"/>
        <v>201</v>
      </c>
      <c r="H55" t="s">
        <v>461</v>
      </c>
      <c r="I55" t="s">
        <v>510</v>
      </c>
      <c r="J55">
        <v>-26.423333299999999</v>
      </c>
      <c r="K55">
        <v>135.51333299999999</v>
      </c>
      <c r="L55" t="s">
        <v>463</v>
      </c>
    </row>
    <row r="56" spans="1:12" x14ac:dyDescent="0.2">
      <c r="A56" s="14" t="s">
        <v>529</v>
      </c>
      <c r="B56" t="s">
        <v>509</v>
      </c>
      <c r="D56">
        <v>3</v>
      </c>
      <c r="E56" s="1">
        <v>42816</v>
      </c>
      <c r="F56" s="1">
        <v>43017</v>
      </c>
      <c r="G56">
        <f t="shared" si="2"/>
        <v>201</v>
      </c>
      <c r="H56" t="s">
        <v>461</v>
      </c>
      <c r="I56" t="s">
        <v>510</v>
      </c>
      <c r="J56">
        <v>-26.423333299999999</v>
      </c>
      <c r="K56">
        <v>135.51333299999999</v>
      </c>
      <c r="L56" t="s">
        <v>463</v>
      </c>
    </row>
    <row r="57" spans="1:12" x14ac:dyDescent="0.2">
      <c r="A57" s="14" t="s">
        <v>530</v>
      </c>
      <c r="B57" t="s">
        <v>509</v>
      </c>
      <c r="D57">
        <v>3</v>
      </c>
      <c r="E57" s="1">
        <v>42816</v>
      </c>
      <c r="F57" s="1">
        <v>43017</v>
      </c>
      <c r="G57">
        <f t="shared" si="2"/>
        <v>201</v>
      </c>
      <c r="H57" t="s">
        <v>461</v>
      </c>
      <c r="I57" t="s">
        <v>510</v>
      </c>
      <c r="J57">
        <v>-26.423333299999999</v>
      </c>
      <c r="K57">
        <v>135.51333299999999</v>
      </c>
      <c r="L57" t="s">
        <v>463</v>
      </c>
    </row>
    <row r="58" spans="1:12" x14ac:dyDescent="0.2">
      <c r="A58" s="14" t="s">
        <v>531</v>
      </c>
      <c r="B58" t="s">
        <v>509</v>
      </c>
      <c r="D58">
        <v>3</v>
      </c>
      <c r="E58" s="1">
        <v>42816</v>
      </c>
      <c r="F58" s="1">
        <v>43017</v>
      </c>
      <c r="G58">
        <f t="shared" si="2"/>
        <v>201</v>
      </c>
      <c r="H58" t="s">
        <v>461</v>
      </c>
      <c r="I58" t="s">
        <v>510</v>
      </c>
      <c r="J58">
        <v>-26.423333299999999</v>
      </c>
      <c r="K58">
        <v>135.51333299999999</v>
      </c>
      <c r="L58" t="s">
        <v>463</v>
      </c>
    </row>
    <row r="59" spans="1:12" x14ac:dyDescent="0.2">
      <c r="A59" s="2" t="s">
        <v>532</v>
      </c>
      <c r="B59" s="2"/>
      <c r="C59" s="2"/>
      <c r="D59" s="2"/>
      <c r="E59" s="2" t="s">
        <v>44</v>
      </c>
      <c r="F59" s="3" t="s">
        <v>44</v>
      </c>
      <c r="G59" s="2" t="s">
        <v>44</v>
      </c>
      <c r="H59" s="2" t="s">
        <v>44</v>
      </c>
      <c r="I59" s="2" t="s">
        <v>44</v>
      </c>
      <c r="J59" s="2" t="s">
        <v>44</v>
      </c>
      <c r="K59" s="2" t="s">
        <v>44</v>
      </c>
      <c r="L59" s="2" t="s">
        <v>44</v>
      </c>
    </row>
    <row r="60" spans="1:12" x14ac:dyDescent="0.2">
      <c r="A60" s="14" t="s">
        <v>533</v>
      </c>
      <c r="B60" t="s">
        <v>509</v>
      </c>
      <c r="D60">
        <v>3</v>
      </c>
      <c r="E60" s="1">
        <v>42816</v>
      </c>
      <c r="F60" s="1">
        <v>43017</v>
      </c>
      <c r="G60">
        <f t="shared" ref="G60:G91" si="3">F60-E60</f>
        <v>201</v>
      </c>
      <c r="H60" t="s">
        <v>461</v>
      </c>
      <c r="I60" t="s">
        <v>510</v>
      </c>
      <c r="J60">
        <v>-26.423333299999999</v>
      </c>
      <c r="K60">
        <v>135.51333299999999</v>
      </c>
      <c r="L60" t="s">
        <v>463</v>
      </c>
    </row>
    <row r="61" spans="1:12" x14ac:dyDescent="0.2">
      <c r="A61" s="14" t="s">
        <v>534</v>
      </c>
      <c r="B61" t="s">
        <v>509</v>
      </c>
      <c r="D61">
        <v>3</v>
      </c>
      <c r="E61" s="1">
        <v>42816</v>
      </c>
      <c r="F61" s="1">
        <v>43017</v>
      </c>
      <c r="G61">
        <f t="shared" si="3"/>
        <v>201</v>
      </c>
      <c r="H61" t="s">
        <v>461</v>
      </c>
      <c r="I61" t="s">
        <v>510</v>
      </c>
      <c r="J61">
        <v>-26.423333299999999</v>
      </c>
      <c r="K61">
        <v>135.51333299999999</v>
      </c>
      <c r="L61" t="s">
        <v>463</v>
      </c>
    </row>
    <row r="62" spans="1:12" x14ac:dyDescent="0.2">
      <c r="A62" s="14" t="s">
        <v>535</v>
      </c>
      <c r="B62" t="s">
        <v>509</v>
      </c>
      <c r="D62">
        <v>3</v>
      </c>
      <c r="E62" s="1">
        <v>42816</v>
      </c>
      <c r="F62" s="1">
        <v>43017</v>
      </c>
      <c r="G62">
        <f t="shared" si="3"/>
        <v>201</v>
      </c>
      <c r="H62" t="s">
        <v>461</v>
      </c>
      <c r="I62" t="s">
        <v>510</v>
      </c>
      <c r="J62">
        <v>-26.423333299999999</v>
      </c>
      <c r="K62">
        <v>135.51333299999999</v>
      </c>
      <c r="L62" t="s">
        <v>463</v>
      </c>
    </row>
    <row r="63" spans="1:12" x14ac:dyDescent="0.2">
      <c r="A63" s="14" t="s">
        <v>536</v>
      </c>
      <c r="B63" t="s">
        <v>509</v>
      </c>
      <c r="D63">
        <v>3</v>
      </c>
      <c r="E63" s="1">
        <v>42816</v>
      </c>
      <c r="F63" s="1">
        <v>43017</v>
      </c>
      <c r="G63">
        <f t="shared" si="3"/>
        <v>201</v>
      </c>
      <c r="H63" t="s">
        <v>461</v>
      </c>
      <c r="I63" t="s">
        <v>510</v>
      </c>
      <c r="J63">
        <v>-26.423333299999999</v>
      </c>
      <c r="K63">
        <v>135.51333299999999</v>
      </c>
      <c r="L63" t="s">
        <v>463</v>
      </c>
    </row>
    <row r="64" spans="1:12" x14ac:dyDescent="0.2">
      <c r="A64" s="14" t="s">
        <v>537</v>
      </c>
      <c r="B64" t="s">
        <v>509</v>
      </c>
      <c r="D64">
        <v>3</v>
      </c>
      <c r="E64" s="1">
        <v>42816</v>
      </c>
      <c r="F64" s="1">
        <v>43017</v>
      </c>
      <c r="G64">
        <f t="shared" si="3"/>
        <v>201</v>
      </c>
      <c r="H64" t="s">
        <v>461</v>
      </c>
      <c r="I64" t="s">
        <v>510</v>
      </c>
      <c r="J64">
        <v>-26.423333299999999</v>
      </c>
      <c r="K64">
        <v>135.51333299999999</v>
      </c>
      <c r="L64" t="s">
        <v>463</v>
      </c>
    </row>
    <row r="65" spans="1:12" x14ac:dyDescent="0.2">
      <c r="A65" s="14" t="s">
        <v>538</v>
      </c>
      <c r="B65" t="s">
        <v>509</v>
      </c>
      <c r="D65">
        <v>3</v>
      </c>
      <c r="E65" s="1">
        <v>42816</v>
      </c>
      <c r="F65" s="1">
        <v>43017</v>
      </c>
      <c r="G65">
        <f t="shared" si="3"/>
        <v>201</v>
      </c>
      <c r="H65" t="s">
        <v>461</v>
      </c>
      <c r="I65" t="s">
        <v>510</v>
      </c>
      <c r="J65">
        <v>-26.423333299999999</v>
      </c>
      <c r="K65">
        <v>135.51333299999999</v>
      </c>
      <c r="L65" t="s">
        <v>463</v>
      </c>
    </row>
    <row r="66" spans="1:12" x14ac:dyDescent="0.2">
      <c r="A66" s="14" t="s">
        <v>539</v>
      </c>
      <c r="B66" t="s">
        <v>509</v>
      </c>
      <c r="D66">
        <v>3</v>
      </c>
      <c r="E66" s="1">
        <v>42816</v>
      </c>
      <c r="F66" s="1">
        <v>43017</v>
      </c>
      <c r="G66">
        <f t="shared" si="3"/>
        <v>201</v>
      </c>
      <c r="H66" t="s">
        <v>461</v>
      </c>
      <c r="I66" t="s">
        <v>510</v>
      </c>
      <c r="J66">
        <v>-26.423333299999999</v>
      </c>
      <c r="K66">
        <v>135.51333299999999</v>
      </c>
      <c r="L66" t="s">
        <v>463</v>
      </c>
    </row>
    <row r="67" spans="1:12" x14ac:dyDescent="0.2">
      <c r="A67" s="14" t="s">
        <v>540</v>
      </c>
      <c r="B67" t="s">
        <v>509</v>
      </c>
      <c r="D67">
        <v>3</v>
      </c>
      <c r="E67" s="1">
        <v>42816</v>
      </c>
      <c r="F67" s="1">
        <v>43017</v>
      </c>
      <c r="G67">
        <f t="shared" si="3"/>
        <v>201</v>
      </c>
      <c r="H67" t="s">
        <v>461</v>
      </c>
      <c r="I67" t="s">
        <v>510</v>
      </c>
      <c r="J67">
        <v>-26.423333299999999</v>
      </c>
      <c r="K67">
        <v>135.51333299999999</v>
      </c>
      <c r="L67" t="s">
        <v>463</v>
      </c>
    </row>
    <row r="68" spans="1:12" x14ac:dyDescent="0.2">
      <c r="A68" s="14" t="s">
        <v>541</v>
      </c>
      <c r="B68" t="s">
        <v>509</v>
      </c>
      <c r="D68">
        <v>3</v>
      </c>
      <c r="E68" s="1">
        <v>42816</v>
      </c>
      <c r="F68" s="1">
        <v>43017</v>
      </c>
      <c r="G68">
        <f t="shared" si="3"/>
        <v>201</v>
      </c>
      <c r="H68" t="s">
        <v>461</v>
      </c>
      <c r="I68" t="s">
        <v>510</v>
      </c>
      <c r="J68">
        <v>-26.423333299999999</v>
      </c>
      <c r="K68">
        <v>135.51333299999999</v>
      </c>
      <c r="L68" t="s">
        <v>463</v>
      </c>
    </row>
    <row r="69" spans="1:12" x14ac:dyDescent="0.2">
      <c r="A69" s="14" t="s">
        <v>542</v>
      </c>
      <c r="B69" t="s">
        <v>509</v>
      </c>
      <c r="D69">
        <v>3</v>
      </c>
      <c r="E69" s="1">
        <v>42816</v>
      </c>
      <c r="F69" s="1">
        <v>43017</v>
      </c>
      <c r="G69">
        <f t="shared" si="3"/>
        <v>201</v>
      </c>
      <c r="H69" t="s">
        <v>461</v>
      </c>
      <c r="I69" t="s">
        <v>510</v>
      </c>
      <c r="J69">
        <v>-26.423333299999999</v>
      </c>
      <c r="K69">
        <v>135.51333299999999</v>
      </c>
      <c r="L69" t="s">
        <v>463</v>
      </c>
    </row>
    <row r="70" spans="1:12" x14ac:dyDescent="0.2">
      <c r="A70" s="14" t="s">
        <v>543</v>
      </c>
      <c r="B70" t="s">
        <v>509</v>
      </c>
      <c r="D70">
        <v>3</v>
      </c>
      <c r="E70" s="1">
        <v>42816</v>
      </c>
      <c r="F70" s="1">
        <v>43017</v>
      </c>
      <c r="G70">
        <f t="shared" si="3"/>
        <v>201</v>
      </c>
      <c r="H70" t="s">
        <v>461</v>
      </c>
      <c r="I70" t="s">
        <v>510</v>
      </c>
      <c r="J70">
        <v>-26.423333299999999</v>
      </c>
      <c r="K70">
        <v>135.51333299999999</v>
      </c>
      <c r="L70" t="s">
        <v>463</v>
      </c>
    </row>
    <row r="71" spans="1:12" x14ac:dyDescent="0.2">
      <c r="A71" s="14" t="s">
        <v>544</v>
      </c>
      <c r="B71" t="s">
        <v>509</v>
      </c>
      <c r="D71">
        <v>3</v>
      </c>
      <c r="E71" s="1">
        <v>42816</v>
      </c>
      <c r="F71" s="1">
        <v>43017</v>
      </c>
      <c r="G71">
        <f t="shared" si="3"/>
        <v>201</v>
      </c>
      <c r="H71" t="s">
        <v>461</v>
      </c>
      <c r="I71" t="s">
        <v>510</v>
      </c>
      <c r="J71">
        <v>-26.423333299999999</v>
      </c>
      <c r="K71">
        <v>135.51333299999999</v>
      </c>
      <c r="L71" t="s">
        <v>463</v>
      </c>
    </row>
    <row r="72" spans="1:12" x14ac:dyDescent="0.2">
      <c r="A72" s="14" t="s">
        <v>545</v>
      </c>
      <c r="B72" t="s">
        <v>509</v>
      </c>
      <c r="D72">
        <v>3</v>
      </c>
      <c r="E72" s="1">
        <v>42816</v>
      </c>
      <c r="F72" s="1">
        <v>43017</v>
      </c>
      <c r="G72">
        <f t="shared" si="3"/>
        <v>201</v>
      </c>
      <c r="H72" t="s">
        <v>461</v>
      </c>
      <c r="I72" t="s">
        <v>510</v>
      </c>
      <c r="J72">
        <v>-26.423333299999999</v>
      </c>
      <c r="K72">
        <v>135.51333299999999</v>
      </c>
      <c r="L72" t="s">
        <v>463</v>
      </c>
    </row>
    <row r="73" spans="1:12" x14ac:dyDescent="0.2">
      <c r="A73" s="14" t="s">
        <v>546</v>
      </c>
      <c r="B73" t="s">
        <v>509</v>
      </c>
      <c r="D73">
        <v>3</v>
      </c>
      <c r="E73" s="1">
        <v>42816</v>
      </c>
      <c r="F73" s="1">
        <v>43017</v>
      </c>
      <c r="G73">
        <f t="shared" si="3"/>
        <v>201</v>
      </c>
      <c r="H73" t="s">
        <v>461</v>
      </c>
      <c r="I73" t="s">
        <v>510</v>
      </c>
      <c r="J73">
        <v>-26.423333299999999</v>
      </c>
      <c r="K73">
        <v>135.51333299999999</v>
      </c>
      <c r="L73" t="s">
        <v>463</v>
      </c>
    </row>
    <row r="74" spans="1:12" x14ac:dyDescent="0.2">
      <c r="A74" s="14" t="s">
        <v>547</v>
      </c>
      <c r="B74" t="s">
        <v>509</v>
      </c>
      <c r="D74">
        <v>3</v>
      </c>
      <c r="E74" s="1">
        <v>42816</v>
      </c>
      <c r="F74" s="1">
        <v>43017</v>
      </c>
      <c r="G74">
        <f t="shared" si="3"/>
        <v>201</v>
      </c>
      <c r="H74" t="s">
        <v>461</v>
      </c>
      <c r="I74" t="s">
        <v>510</v>
      </c>
      <c r="J74">
        <v>-26.423333299999999</v>
      </c>
      <c r="K74">
        <v>135.51333299999999</v>
      </c>
      <c r="L74" t="s">
        <v>463</v>
      </c>
    </row>
    <row r="75" spans="1:12" x14ac:dyDescent="0.2">
      <c r="A75" s="14" t="s">
        <v>548</v>
      </c>
      <c r="B75" t="s">
        <v>509</v>
      </c>
      <c r="D75">
        <v>3</v>
      </c>
      <c r="E75" s="1">
        <v>42816</v>
      </c>
      <c r="F75" s="1">
        <v>43017</v>
      </c>
      <c r="G75">
        <f t="shared" si="3"/>
        <v>201</v>
      </c>
      <c r="H75" t="s">
        <v>461</v>
      </c>
      <c r="I75" t="s">
        <v>510</v>
      </c>
      <c r="J75">
        <v>-26.423333299999999</v>
      </c>
      <c r="K75">
        <v>135.51333299999999</v>
      </c>
      <c r="L75" t="s">
        <v>463</v>
      </c>
    </row>
    <row r="76" spans="1:12" x14ac:dyDescent="0.2">
      <c r="A76" s="14" t="s">
        <v>549</v>
      </c>
      <c r="B76" t="s">
        <v>509</v>
      </c>
      <c r="D76">
        <v>3</v>
      </c>
      <c r="E76" s="1">
        <v>42816</v>
      </c>
      <c r="F76" s="1">
        <v>43017</v>
      </c>
      <c r="G76">
        <f t="shared" si="3"/>
        <v>201</v>
      </c>
      <c r="H76" t="s">
        <v>461</v>
      </c>
      <c r="I76" t="s">
        <v>510</v>
      </c>
      <c r="J76">
        <v>-26.423333299999999</v>
      </c>
      <c r="K76">
        <v>135.51333299999999</v>
      </c>
      <c r="L76" t="s">
        <v>463</v>
      </c>
    </row>
    <row r="77" spans="1:12" x14ac:dyDescent="0.2">
      <c r="A77" s="14" t="s">
        <v>550</v>
      </c>
      <c r="B77" t="s">
        <v>509</v>
      </c>
      <c r="D77">
        <v>3</v>
      </c>
      <c r="E77" s="1">
        <v>42816</v>
      </c>
      <c r="F77" s="1">
        <v>43017</v>
      </c>
      <c r="G77">
        <f t="shared" si="3"/>
        <v>201</v>
      </c>
      <c r="H77" t="s">
        <v>461</v>
      </c>
      <c r="I77" t="s">
        <v>510</v>
      </c>
      <c r="J77">
        <v>-26.423333299999999</v>
      </c>
      <c r="K77">
        <v>135.51333299999999</v>
      </c>
      <c r="L77" t="s">
        <v>463</v>
      </c>
    </row>
    <row r="78" spans="1:12" x14ac:dyDescent="0.2">
      <c r="A78" s="14" t="s">
        <v>551</v>
      </c>
      <c r="B78" t="s">
        <v>509</v>
      </c>
      <c r="D78">
        <v>3</v>
      </c>
      <c r="E78" s="1">
        <v>42816</v>
      </c>
      <c r="F78" s="1">
        <v>43017</v>
      </c>
      <c r="G78">
        <f t="shared" si="3"/>
        <v>201</v>
      </c>
      <c r="H78" t="s">
        <v>461</v>
      </c>
      <c r="I78" t="s">
        <v>510</v>
      </c>
      <c r="J78">
        <v>-26.423333299999999</v>
      </c>
      <c r="K78">
        <v>135.51333299999999</v>
      </c>
      <c r="L78" t="s">
        <v>463</v>
      </c>
    </row>
    <row r="79" spans="1:12" x14ac:dyDescent="0.2">
      <c r="A79" s="14" t="s">
        <v>552</v>
      </c>
      <c r="B79" t="s">
        <v>509</v>
      </c>
      <c r="D79">
        <v>3</v>
      </c>
      <c r="E79" s="1">
        <v>42816</v>
      </c>
      <c r="F79" s="1">
        <v>43017</v>
      </c>
      <c r="G79">
        <f t="shared" si="3"/>
        <v>201</v>
      </c>
      <c r="H79" t="s">
        <v>461</v>
      </c>
      <c r="I79" t="s">
        <v>510</v>
      </c>
      <c r="J79">
        <v>-26.423333299999999</v>
      </c>
      <c r="K79">
        <v>135.51333299999999</v>
      </c>
      <c r="L79" t="s">
        <v>463</v>
      </c>
    </row>
    <row r="80" spans="1:12" x14ac:dyDescent="0.2">
      <c r="A80" s="14" t="s">
        <v>553</v>
      </c>
      <c r="B80" t="s">
        <v>509</v>
      </c>
      <c r="D80">
        <v>3</v>
      </c>
      <c r="E80" s="1">
        <v>42816</v>
      </c>
      <c r="F80" s="1">
        <v>43017</v>
      </c>
      <c r="G80">
        <f t="shared" si="3"/>
        <v>201</v>
      </c>
      <c r="H80" t="s">
        <v>461</v>
      </c>
      <c r="I80" t="s">
        <v>510</v>
      </c>
      <c r="J80">
        <v>-26.423333299999999</v>
      </c>
      <c r="K80">
        <v>135.51333299999999</v>
      </c>
      <c r="L80" t="s">
        <v>463</v>
      </c>
    </row>
    <row r="81" spans="1:12" x14ac:dyDescent="0.2">
      <c r="A81" s="14" t="s">
        <v>554</v>
      </c>
      <c r="B81" t="s">
        <v>555</v>
      </c>
      <c r="D81">
        <v>2</v>
      </c>
      <c r="E81" s="1">
        <v>42815</v>
      </c>
      <c r="F81" s="1">
        <v>43017</v>
      </c>
      <c r="G81">
        <f t="shared" si="3"/>
        <v>202</v>
      </c>
      <c r="H81" t="s">
        <v>506</v>
      </c>
      <c r="I81" t="s">
        <v>507</v>
      </c>
      <c r="J81">
        <v>-25.754722220000001</v>
      </c>
      <c r="K81">
        <v>135.26305556</v>
      </c>
      <c r="L81" t="s">
        <v>463</v>
      </c>
    </row>
    <row r="82" spans="1:12" x14ac:dyDescent="0.2">
      <c r="A82" s="14" t="s">
        <v>556</v>
      </c>
      <c r="B82" t="s">
        <v>555</v>
      </c>
      <c r="D82">
        <v>2</v>
      </c>
      <c r="E82" s="1">
        <v>42815</v>
      </c>
      <c r="F82" s="1">
        <v>43017</v>
      </c>
      <c r="G82">
        <f t="shared" si="3"/>
        <v>202</v>
      </c>
      <c r="H82" t="s">
        <v>506</v>
      </c>
      <c r="I82" t="s">
        <v>507</v>
      </c>
      <c r="J82">
        <v>-25.754722220000001</v>
      </c>
      <c r="K82">
        <v>135.26305556</v>
      </c>
      <c r="L82" t="s">
        <v>463</v>
      </c>
    </row>
    <row r="83" spans="1:12" x14ac:dyDescent="0.2">
      <c r="A83" s="14" t="s">
        <v>557</v>
      </c>
      <c r="B83" t="s">
        <v>555</v>
      </c>
      <c r="D83">
        <v>2</v>
      </c>
      <c r="E83" s="1">
        <v>42815</v>
      </c>
      <c r="F83" s="1">
        <v>43017</v>
      </c>
      <c r="G83">
        <f t="shared" si="3"/>
        <v>202</v>
      </c>
      <c r="H83" t="s">
        <v>506</v>
      </c>
      <c r="I83" t="s">
        <v>507</v>
      </c>
      <c r="J83">
        <v>-25.754722220000001</v>
      </c>
      <c r="K83">
        <v>135.26305556</v>
      </c>
      <c r="L83" t="s">
        <v>463</v>
      </c>
    </row>
    <row r="84" spans="1:12" x14ac:dyDescent="0.2">
      <c r="A84" s="14" t="s">
        <v>558</v>
      </c>
      <c r="B84" t="s">
        <v>509</v>
      </c>
      <c r="D84">
        <v>3</v>
      </c>
      <c r="E84" s="1">
        <v>42816</v>
      </c>
      <c r="F84" s="1">
        <v>43017</v>
      </c>
      <c r="G84">
        <f t="shared" si="3"/>
        <v>201</v>
      </c>
      <c r="H84" t="s">
        <v>461</v>
      </c>
      <c r="I84" t="s">
        <v>510</v>
      </c>
      <c r="J84">
        <v>-26.423333299999999</v>
      </c>
      <c r="K84">
        <v>135.51333299999999</v>
      </c>
      <c r="L84" t="s">
        <v>463</v>
      </c>
    </row>
    <row r="85" spans="1:12" x14ac:dyDescent="0.2">
      <c r="A85" s="14" t="s">
        <v>559</v>
      </c>
      <c r="B85" t="s">
        <v>555</v>
      </c>
      <c r="D85">
        <v>2</v>
      </c>
      <c r="E85" s="1">
        <v>42815</v>
      </c>
      <c r="F85" s="1">
        <v>43017</v>
      </c>
      <c r="G85">
        <f t="shared" si="3"/>
        <v>202</v>
      </c>
      <c r="H85" t="s">
        <v>506</v>
      </c>
      <c r="I85" t="s">
        <v>507</v>
      </c>
      <c r="J85">
        <v>-25.754722220000001</v>
      </c>
      <c r="K85">
        <v>135.26305556</v>
      </c>
      <c r="L85" t="s">
        <v>463</v>
      </c>
    </row>
    <row r="86" spans="1:12" x14ac:dyDescent="0.2">
      <c r="A86" s="14" t="s">
        <v>560</v>
      </c>
      <c r="B86" t="s">
        <v>555</v>
      </c>
      <c r="D86">
        <v>2</v>
      </c>
      <c r="E86" s="1">
        <v>42815</v>
      </c>
      <c r="F86" s="1">
        <v>43017</v>
      </c>
      <c r="G86">
        <f t="shared" si="3"/>
        <v>202</v>
      </c>
      <c r="H86" t="s">
        <v>506</v>
      </c>
      <c r="I86" t="s">
        <v>507</v>
      </c>
      <c r="J86">
        <v>-25.754722220000001</v>
      </c>
      <c r="K86">
        <v>135.26305556</v>
      </c>
      <c r="L86" t="s">
        <v>463</v>
      </c>
    </row>
    <row r="87" spans="1:12" x14ac:dyDescent="0.2">
      <c r="A87" s="14" t="s">
        <v>561</v>
      </c>
      <c r="B87" t="s">
        <v>555</v>
      </c>
      <c r="D87">
        <v>2</v>
      </c>
      <c r="E87" s="1">
        <v>42815</v>
      </c>
      <c r="F87" s="1">
        <v>43017</v>
      </c>
      <c r="G87">
        <f t="shared" si="3"/>
        <v>202</v>
      </c>
      <c r="H87" t="s">
        <v>506</v>
      </c>
      <c r="I87" t="s">
        <v>507</v>
      </c>
      <c r="J87">
        <v>-25.754722220000001</v>
      </c>
      <c r="K87">
        <v>135.26305556</v>
      </c>
      <c r="L87" t="s">
        <v>463</v>
      </c>
    </row>
    <row r="88" spans="1:12" x14ac:dyDescent="0.2">
      <c r="A88" s="14" t="s">
        <v>562</v>
      </c>
      <c r="B88" t="s">
        <v>509</v>
      </c>
      <c r="D88">
        <v>3</v>
      </c>
      <c r="E88" s="1">
        <v>42816</v>
      </c>
      <c r="F88" s="1">
        <v>43017</v>
      </c>
      <c r="G88">
        <f t="shared" si="3"/>
        <v>201</v>
      </c>
      <c r="H88" t="s">
        <v>461</v>
      </c>
      <c r="I88" t="s">
        <v>510</v>
      </c>
      <c r="J88">
        <v>-26.423333299999999</v>
      </c>
      <c r="K88">
        <v>135.51333299999999</v>
      </c>
      <c r="L88" t="s">
        <v>463</v>
      </c>
    </row>
    <row r="89" spans="1:12" x14ac:dyDescent="0.2">
      <c r="A89" s="14" t="s">
        <v>563</v>
      </c>
      <c r="B89" t="s">
        <v>509</v>
      </c>
      <c r="D89">
        <v>3</v>
      </c>
      <c r="E89" s="1">
        <v>42816</v>
      </c>
      <c r="F89" s="1">
        <v>43017</v>
      </c>
      <c r="G89">
        <f t="shared" si="3"/>
        <v>201</v>
      </c>
      <c r="H89" t="s">
        <v>461</v>
      </c>
      <c r="I89" t="s">
        <v>510</v>
      </c>
      <c r="J89">
        <v>-26.423333299999999</v>
      </c>
      <c r="K89">
        <v>135.51333299999999</v>
      </c>
      <c r="L89" t="s">
        <v>463</v>
      </c>
    </row>
    <row r="90" spans="1:12" x14ac:dyDescent="0.2">
      <c r="A90" s="14" t="s">
        <v>564</v>
      </c>
      <c r="B90" t="s">
        <v>555</v>
      </c>
      <c r="D90">
        <v>2</v>
      </c>
      <c r="E90" s="1">
        <v>42815</v>
      </c>
      <c r="F90" s="1">
        <v>43017</v>
      </c>
      <c r="G90">
        <f t="shared" si="3"/>
        <v>202</v>
      </c>
      <c r="H90" t="s">
        <v>506</v>
      </c>
      <c r="I90" t="s">
        <v>507</v>
      </c>
      <c r="J90">
        <v>-25.754722220000001</v>
      </c>
      <c r="K90">
        <v>135.26305556</v>
      </c>
      <c r="L90" t="s">
        <v>463</v>
      </c>
    </row>
    <row r="91" spans="1:12" x14ac:dyDescent="0.2">
      <c r="A91" s="14" t="s">
        <v>565</v>
      </c>
      <c r="B91" t="s">
        <v>509</v>
      </c>
      <c r="D91">
        <v>3</v>
      </c>
      <c r="E91" s="1">
        <v>42816</v>
      </c>
      <c r="F91" s="1">
        <v>43017</v>
      </c>
      <c r="G91">
        <f t="shared" si="3"/>
        <v>201</v>
      </c>
      <c r="H91" t="s">
        <v>461</v>
      </c>
      <c r="I91" t="s">
        <v>510</v>
      </c>
      <c r="J91">
        <v>-26.423333299999999</v>
      </c>
      <c r="K91">
        <v>135.51333299999999</v>
      </c>
      <c r="L91" t="s">
        <v>463</v>
      </c>
    </row>
    <row r="92" spans="1:12" x14ac:dyDescent="0.2">
      <c r="A92" s="14" t="s">
        <v>566</v>
      </c>
      <c r="B92" t="s">
        <v>509</v>
      </c>
      <c r="D92">
        <v>3</v>
      </c>
      <c r="E92" s="1">
        <v>42816</v>
      </c>
      <c r="F92" s="1">
        <v>43017</v>
      </c>
      <c r="G92">
        <f t="shared" ref="G92:G123" si="4">F92-E92</f>
        <v>201</v>
      </c>
      <c r="H92" t="s">
        <v>461</v>
      </c>
      <c r="I92" t="s">
        <v>510</v>
      </c>
      <c r="J92">
        <v>-26.423333299999999</v>
      </c>
      <c r="K92">
        <v>135.51333299999999</v>
      </c>
      <c r="L92" t="s">
        <v>463</v>
      </c>
    </row>
    <row r="93" spans="1:12" x14ac:dyDescent="0.2">
      <c r="A93" s="14" t="s">
        <v>567</v>
      </c>
      <c r="B93" t="s">
        <v>509</v>
      </c>
      <c r="D93">
        <v>3</v>
      </c>
      <c r="E93" s="1">
        <v>42816</v>
      </c>
      <c r="F93" s="1">
        <v>43017</v>
      </c>
      <c r="G93">
        <f t="shared" si="4"/>
        <v>201</v>
      </c>
      <c r="H93" t="s">
        <v>461</v>
      </c>
      <c r="I93" t="s">
        <v>510</v>
      </c>
      <c r="J93">
        <v>-26.423333299999999</v>
      </c>
      <c r="K93">
        <v>135.51333299999999</v>
      </c>
      <c r="L93" t="s">
        <v>463</v>
      </c>
    </row>
    <row r="94" spans="1:12" x14ac:dyDescent="0.2">
      <c r="A94" s="14" t="s">
        <v>568</v>
      </c>
      <c r="B94" t="s">
        <v>509</v>
      </c>
      <c r="D94">
        <v>3</v>
      </c>
      <c r="E94" s="1">
        <v>42816</v>
      </c>
      <c r="F94" s="1">
        <v>43017</v>
      </c>
      <c r="G94">
        <f t="shared" si="4"/>
        <v>201</v>
      </c>
      <c r="H94" t="s">
        <v>461</v>
      </c>
      <c r="I94" t="s">
        <v>510</v>
      </c>
      <c r="J94">
        <v>-26.423333299999999</v>
      </c>
      <c r="K94">
        <v>135.51333299999999</v>
      </c>
      <c r="L94" t="s">
        <v>463</v>
      </c>
    </row>
    <row r="95" spans="1:12" x14ac:dyDescent="0.2">
      <c r="A95" s="14" t="s">
        <v>569</v>
      </c>
      <c r="B95" t="s">
        <v>509</v>
      </c>
      <c r="D95">
        <v>3</v>
      </c>
      <c r="E95" s="1">
        <v>42816</v>
      </c>
      <c r="F95" s="1">
        <v>43017</v>
      </c>
      <c r="G95">
        <f t="shared" si="4"/>
        <v>201</v>
      </c>
      <c r="H95" t="s">
        <v>461</v>
      </c>
      <c r="I95" t="s">
        <v>510</v>
      </c>
      <c r="J95">
        <v>-26.423333299999999</v>
      </c>
      <c r="K95">
        <v>135.51333299999999</v>
      </c>
      <c r="L95" t="s">
        <v>463</v>
      </c>
    </row>
    <row r="96" spans="1:12" x14ac:dyDescent="0.2">
      <c r="A96" s="14" t="s">
        <v>570</v>
      </c>
      <c r="B96" t="s">
        <v>509</v>
      </c>
      <c r="D96">
        <v>3</v>
      </c>
      <c r="E96" s="1">
        <v>42816</v>
      </c>
      <c r="F96" s="1">
        <v>43017</v>
      </c>
      <c r="G96">
        <f t="shared" si="4"/>
        <v>201</v>
      </c>
      <c r="H96" t="s">
        <v>461</v>
      </c>
      <c r="I96" t="s">
        <v>510</v>
      </c>
      <c r="J96">
        <v>-26.423333299999999</v>
      </c>
      <c r="K96">
        <v>135.51333299999999</v>
      </c>
      <c r="L96" t="s">
        <v>463</v>
      </c>
    </row>
    <row r="97" spans="1:12" x14ac:dyDescent="0.2">
      <c r="A97" s="14" t="s">
        <v>571</v>
      </c>
      <c r="B97" t="s">
        <v>509</v>
      </c>
      <c r="D97">
        <v>3</v>
      </c>
      <c r="E97" s="1">
        <v>42816</v>
      </c>
      <c r="F97" s="1">
        <v>43017</v>
      </c>
      <c r="G97">
        <f t="shared" si="4"/>
        <v>201</v>
      </c>
      <c r="H97" t="s">
        <v>461</v>
      </c>
      <c r="I97" t="s">
        <v>510</v>
      </c>
      <c r="J97">
        <v>-26.423333299999999</v>
      </c>
      <c r="K97">
        <v>135.51333299999999</v>
      </c>
      <c r="L97" t="s">
        <v>463</v>
      </c>
    </row>
    <row r="98" spans="1:12" x14ac:dyDescent="0.2">
      <c r="A98" s="14" t="s">
        <v>572</v>
      </c>
      <c r="B98" t="s">
        <v>509</v>
      </c>
      <c r="D98">
        <v>3</v>
      </c>
      <c r="E98" s="1">
        <v>42816</v>
      </c>
      <c r="F98" s="1">
        <v>43017</v>
      </c>
      <c r="G98">
        <f t="shared" si="4"/>
        <v>201</v>
      </c>
      <c r="H98" t="s">
        <v>461</v>
      </c>
      <c r="I98" t="s">
        <v>510</v>
      </c>
      <c r="J98">
        <v>-26.423333299999999</v>
      </c>
      <c r="K98">
        <v>135.51333299999999</v>
      </c>
      <c r="L98" t="s">
        <v>463</v>
      </c>
    </row>
    <row r="99" spans="1:12" x14ac:dyDescent="0.2">
      <c r="A99" s="14" t="s">
        <v>573</v>
      </c>
      <c r="B99" t="s">
        <v>509</v>
      </c>
      <c r="D99">
        <v>3</v>
      </c>
      <c r="E99" s="1">
        <v>42816</v>
      </c>
      <c r="F99" s="1">
        <v>43017</v>
      </c>
      <c r="G99">
        <f t="shared" si="4"/>
        <v>201</v>
      </c>
      <c r="H99" t="s">
        <v>461</v>
      </c>
      <c r="I99" t="s">
        <v>510</v>
      </c>
      <c r="J99">
        <v>-26.423333299999999</v>
      </c>
      <c r="K99">
        <v>135.51333299999999</v>
      </c>
      <c r="L99" t="s">
        <v>463</v>
      </c>
    </row>
    <row r="100" spans="1:12" x14ac:dyDescent="0.2">
      <c r="A100" s="14" t="s">
        <v>574</v>
      </c>
      <c r="B100" t="s">
        <v>509</v>
      </c>
      <c r="D100">
        <v>3</v>
      </c>
      <c r="E100" s="1">
        <v>42816</v>
      </c>
      <c r="F100" s="1">
        <v>43017</v>
      </c>
      <c r="G100">
        <f t="shared" si="4"/>
        <v>201</v>
      </c>
      <c r="H100" t="s">
        <v>461</v>
      </c>
      <c r="I100" t="s">
        <v>510</v>
      </c>
      <c r="J100">
        <v>-26.423333299999999</v>
      </c>
      <c r="K100">
        <v>135.51333299999999</v>
      </c>
      <c r="L100" t="s">
        <v>463</v>
      </c>
    </row>
    <row r="101" spans="1:12" x14ac:dyDescent="0.2">
      <c r="A101" s="14" t="s">
        <v>575</v>
      </c>
      <c r="B101" t="s">
        <v>509</v>
      </c>
      <c r="D101">
        <v>3</v>
      </c>
      <c r="E101" s="1">
        <v>42816</v>
      </c>
      <c r="F101" s="1">
        <v>43017</v>
      </c>
      <c r="G101">
        <f t="shared" si="4"/>
        <v>201</v>
      </c>
      <c r="H101" t="s">
        <v>461</v>
      </c>
      <c r="I101" t="s">
        <v>510</v>
      </c>
      <c r="J101">
        <v>-26.423333299999999</v>
      </c>
      <c r="K101">
        <v>135.51333299999999</v>
      </c>
      <c r="L101" t="s">
        <v>463</v>
      </c>
    </row>
    <row r="102" spans="1:12" x14ac:dyDescent="0.2">
      <c r="A102" s="14" t="s">
        <v>576</v>
      </c>
      <c r="B102" t="s">
        <v>509</v>
      </c>
      <c r="D102">
        <v>3</v>
      </c>
      <c r="E102" s="1">
        <v>42816</v>
      </c>
      <c r="F102" s="1">
        <v>43017</v>
      </c>
      <c r="G102">
        <f t="shared" si="4"/>
        <v>201</v>
      </c>
      <c r="H102" t="s">
        <v>461</v>
      </c>
      <c r="I102" t="s">
        <v>510</v>
      </c>
      <c r="J102">
        <v>-26.423333299999999</v>
      </c>
      <c r="K102">
        <v>135.51333299999999</v>
      </c>
      <c r="L102" t="s">
        <v>463</v>
      </c>
    </row>
    <row r="103" spans="1:12" x14ac:dyDescent="0.2">
      <c r="A103" s="14" t="s">
        <v>577</v>
      </c>
      <c r="B103" t="s">
        <v>509</v>
      </c>
      <c r="D103">
        <v>3</v>
      </c>
      <c r="E103" s="1">
        <v>42816</v>
      </c>
      <c r="F103" s="1">
        <v>43017</v>
      </c>
      <c r="G103">
        <f t="shared" si="4"/>
        <v>201</v>
      </c>
      <c r="H103" t="s">
        <v>461</v>
      </c>
      <c r="I103" t="s">
        <v>510</v>
      </c>
      <c r="J103">
        <v>-26.423333299999999</v>
      </c>
      <c r="K103">
        <v>135.51333299999999</v>
      </c>
      <c r="L103" t="s">
        <v>463</v>
      </c>
    </row>
    <row r="104" spans="1:12" x14ac:dyDescent="0.2">
      <c r="A104" s="14" t="s">
        <v>578</v>
      </c>
      <c r="B104" t="s">
        <v>509</v>
      </c>
      <c r="D104">
        <v>3</v>
      </c>
      <c r="E104" s="1">
        <v>42816</v>
      </c>
      <c r="F104" s="1">
        <v>43017</v>
      </c>
      <c r="G104">
        <f t="shared" si="4"/>
        <v>201</v>
      </c>
      <c r="H104" t="s">
        <v>461</v>
      </c>
      <c r="I104" t="s">
        <v>510</v>
      </c>
      <c r="J104">
        <v>-26.423333299999999</v>
      </c>
      <c r="K104">
        <v>135.51333299999999</v>
      </c>
      <c r="L104" t="s">
        <v>463</v>
      </c>
    </row>
    <row r="105" spans="1:12" x14ac:dyDescent="0.2">
      <c r="A105" s="14" t="s">
        <v>579</v>
      </c>
      <c r="B105" t="s">
        <v>509</v>
      </c>
      <c r="D105">
        <v>3</v>
      </c>
      <c r="E105" s="1">
        <v>42816</v>
      </c>
      <c r="F105" s="1">
        <v>43017</v>
      </c>
      <c r="G105">
        <f t="shared" si="4"/>
        <v>201</v>
      </c>
      <c r="H105" t="s">
        <v>461</v>
      </c>
      <c r="I105" t="s">
        <v>510</v>
      </c>
      <c r="J105">
        <v>-26.423333299999999</v>
      </c>
      <c r="K105">
        <v>135.51333299999999</v>
      </c>
      <c r="L105" t="s">
        <v>463</v>
      </c>
    </row>
    <row r="106" spans="1:12" x14ac:dyDescent="0.2">
      <c r="A106" s="14" t="s">
        <v>580</v>
      </c>
      <c r="B106" t="s">
        <v>509</v>
      </c>
      <c r="D106">
        <v>3</v>
      </c>
      <c r="E106" s="1">
        <v>42816</v>
      </c>
      <c r="F106" s="1">
        <v>43017</v>
      </c>
      <c r="G106">
        <f t="shared" si="4"/>
        <v>201</v>
      </c>
      <c r="H106" t="s">
        <v>461</v>
      </c>
      <c r="I106" t="s">
        <v>510</v>
      </c>
      <c r="J106">
        <v>-26.423333299999999</v>
      </c>
      <c r="K106">
        <v>135.51333299999999</v>
      </c>
      <c r="L106" t="s">
        <v>463</v>
      </c>
    </row>
    <row r="107" spans="1:12" x14ac:dyDescent="0.2">
      <c r="A107" s="14" t="s">
        <v>581</v>
      </c>
      <c r="B107" t="s">
        <v>509</v>
      </c>
      <c r="D107">
        <v>3</v>
      </c>
      <c r="E107" s="1">
        <v>42816</v>
      </c>
      <c r="F107" s="1">
        <v>43017</v>
      </c>
      <c r="G107">
        <f t="shared" si="4"/>
        <v>201</v>
      </c>
      <c r="H107" t="s">
        <v>461</v>
      </c>
      <c r="I107" t="s">
        <v>510</v>
      </c>
      <c r="J107">
        <v>-26.423333299999999</v>
      </c>
      <c r="K107">
        <v>135.51333299999999</v>
      </c>
      <c r="L107" t="s">
        <v>463</v>
      </c>
    </row>
    <row r="108" spans="1:12" x14ac:dyDescent="0.2">
      <c r="A108" s="14" t="s">
        <v>582</v>
      </c>
      <c r="B108" t="s">
        <v>509</v>
      </c>
      <c r="D108">
        <v>3</v>
      </c>
      <c r="E108" s="1">
        <v>42816</v>
      </c>
      <c r="F108" s="1">
        <v>43017</v>
      </c>
      <c r="G108">
        <f t="shared" si="4"/>
        <v>201</v>
      </c>
      <c r="H108" t="s">
        <v>461</v>
      </c>
      <c r="I108" t="s">
        <v>510</v>
      </c>
      <c r="J108">
        <v>-26.423333299999999</v>
      </c>
      <c r="K108">
        <v>135.51333299999999</v>
      </c>
      <c r="L108" t="s">
        <v>463</v>
      </c>
    </row>
    <row r="109" spans="1:12" x14ac:dyDescent="0.2">
      <c r="A109" s="14" t="s">
        <v>583</v>
      </c>
      <c r="B109" t="s">
        <v>509</v>
      </c>
      <c r="D109">
        <v>3</v>
      </c>
      <c r="E109" s="1">
        <v>42816</v>
      </c>
      <c r="F109" s="1">
        <v>43017</v>
      </c>
      <c r="G109">
        <f t="shared" si="4"/>
        <v>201</v>
      </c>
      <c r="H109" t="s">
        <v>461</v>
      </c>
      <c r="I109" t="s">
        <v>510</v>
      </c>
      <c r="J109">
        <v>-26.423333299999999</v>
      </c>
      <c r="K109">
        <v>135.51333299999999</v>
      </c>
      <c r="L109" t="s">
        <v>463</v>
      </c>
    </row>
    <row r="110" spans="1:12" x14ac:dyDescent="0.2">
      <c r="A110" s="14" t="s">
        <v>584</v>
      </c>
      <c r="B110" t="s">
        <v>509</v>
      </c>
      <c r="D110">
        <v>3</v>
      </c>
      <c r="E110" s="1">
        <v>42816</v>
      </c>
      <c r="F110" s="1">
        <v>43017</v>
      </c>
      <c r="G110">
        <f t="shared" si="4"/>
        <v>201</v>
      </c>
      <c r="H110" t="s">
        <v>461</v>
      </c>
      <c r="I110" t="s">
        <v>510</v>
      </c>
      <c r="J110">
        <v>-26.423333299999999</v>
      </c>
      <c r="K110">
        <v>135.51333299999999</v>
      </c>
      <c r="L110" t="s">
        <v>463</v>
      </c>
    </row>
    <row r="111" spans="1:12" x14ac:dyDescent="0.2">
      <c r="A111" s="14" t="s">
        <v>585</v>
      </c>
      <c r="B111" t="s">
        <v>509</v>
      </c>
      <c r="D111">
        <v>3</v>
      </c>
      <c r="E111" s="1">
        <v>42816</v>
      </c>
      <c r="F111" s="1">
        <v>43017</v>
      </c>
      <c r="G111">
        <f t="shared" si="4"/>
        <v>201</v>
      </c>
      <c r="H111" t="s">
        <v>461</v>
      </c>
      <c r="I111" t="s">
        <v>510</v>
      </c>
      <c r="J111">
        <v>-26.423333299999999</v>
      </c>
      <c r="K111">
        <v>135.51333299999999</v>
      </c>
      <c r="L111" t="s">
        <v>463</v>
      </c>
    </row>
    <row r="112" spans="1:12" x14ac:dyDescent="0.2">
      <c r="A112" s="14" t="s">
        <v>586</v>
      </c>
      <c r="B112" t="s">
        <v>509</v>
      </c>
      <c r="D112">
        <v>3</v>
      </c>
      <c r="E112" s="1">
        <v>42816</v>
      </c>
      <c r="F112" s="1">
        <v>43017</v>
      </c>
      <c r="G112">
        <f t="shared" si="4"/>
        <v>201</v>
      </c>
      <c r="H112" t="s">
        <v>461</v>
      </c>
      <c r="I112" t="s">
        <v>510</v>
      </c>
      <c r="J112">
        <v>-26.423333299999999</v>
      </c>
      <c r="K112">
        <v>135.51333299999999</v>
      </c>
      <c r="L112" t="s">
        <v>463</v>
      </c>
    </row>
    <row r="113" spans="1:12" x14ac:dyDescent="0.2">
      <c r="A113" s="14" t="s">
        <v>587</v>
      </c>
      <c r="B113" t="s">
        <v>509</v>
      </c>
      <c r="D113">
        <v>3</v>
      </c>
      <c r="E113" s="1">
        <v>42816</v>
      </c>
      <c r="F113" s="1">
        <v>43017</v>
      </c>
      <c r="G113">
        <f t="shared" si="4"/>
        <v>201</v>
      </c>
      <c r="H113" t="s">
        <v>461</v>
      </c>
      <c r="I113" t="s">
        <v>510</v>
      </c>
      <c r="J113">
        <v>-26.423333299999999</v>
      </c>
      <c r="K113">
        <v>135.51333299999999</v>
      </c>
      <c r="L113" t="s">
        <v>463</v>
      </c>
    </row>
    <row r="114" spans="1:12" x14ac:dyDescent="0.2">
      <c r="A114" s="14" t="s">
        <v>588</v>
      </c>
      <c r="B114" t="s">
        <v>509</v>
      </c>
      <c r="D114">
        <v>3</v>
      </c>
      <c r="E114" s="1">
        <v>42816</v>
      </c>
      <c r="F114" s="1">
        <v>43017</v>
      </c>
      <c r="G114">
        <f t="shared" si="4"/>
        <v>201</v>
      </c>
      <c r="H114" t="s">
        <v>461</v>
      </c>
      <c r="I114" t="s">
        <v>510</v>
      </c>
      <c r="J114">
        <v>-26.423333299999999</v>
      </c>
      <c r="K114">
        <v>135.51333299999999</v>
      </c>
      <c r="L114" t="s">
        <v>463</v>
      </c>
    </row>
    <row r="115" spans="1:12" x14ac:dyDescent="0.2">
      <c r="A115" s="14" t="s">
        <v>589</v>
      </c>
      <c r="B115" t="s">
        <v>509</v>
      </c>
      <c r="D115">
        <v>3</v>
      </c>
      <c r="E115" s="1">
        <v>42816</v>
      </c>
      <c r="F115" s="1">
        <v>43017</v>
      </c>
      <c r="G115">
        <f t="shared" si="4"/>
        <v>201</v>
      </c>
      <c r="H115" t="s">
        <v>461</v>
      </c>
      <c r="I115" t="s">
        <v>510</v>
      </c>
      <c r="J115">
        <v>-26.423333299999999</v>
      </c>
      <c r="K115">
        <v>135.51333299999999</v>
      </c>
      <c r="L115" t="s">
        <v>463</v>
      </c>
    </row>
    <row r="116" spans="1:12" x14ac:dyDescent="0.2">
      <c r="A116" s="14" t="s">
        <v>590</v>
      </c>
      <c r="B116" t="s">
        <v>509</v>
      </c>
      <c r="D116">
        <v>3</v>
      </c>
      <c r="E116" s="1">
        <v>42816</v>
      </c>
      <c r="F116" s="1">
        <v>43017</v>
      </c>
      <c r="G116">
        <f t="shared" si="4"/>
        <v>201</v>
      </c>
      <c r="H116" t="s">
        <v>461</v>
      </c>
      <c r="I116" t="s">
        <v>510</v>
      </c>
      <c r="J116">
        <v>-26.423333299999999</v>
      </c>
      <c r="K116">
        <v>135.51333299999999</v>
      </c>
      <c r="L116" t="s">
        <v>463</v>
      </c>
    </row>
    <row r="117" spans="1:12" x14ac:dyDescent="0.2">
      <c r="A117" s="14" t="s">
        <v>591</v>
      </c>
      <c r="B117" s="6" t="s">
        <v>555</v>
      </c>
      <c r="D117">
        <v>2</v>
      </c>
      <c r="E117" s="1">
        <v>42815</v>
      </c>
      <c r="F117" s="1">
        <v>43017</v>
      </c>
      <c r="G117">
        <f t="shared" si="4"/>
        <v>202</v>
      </c>
      <c r="H117" t="s">
        <v>506</v>
      </c>
      <c r="I117" t="s">
        <v>507</v>
      </c>
      <c r="J117">
        <v>-25.754722220000001</v>
      </c>
      <c r="K117">
        <v>135.26305556</v>
      </c>
      <c r="L117" t="s">
        <v>463</v>
      </c>
    </row>
    <row r="118" spans="1:12" x14ac:dyDescent="0.2">
      <c r="A118" s="14" t="s">
        <v>592</v>
      </c>
      <c r="B118" s="6" t="s">
        <v>555</v>
      </c>
      <c r="D118">
        <v>2</v>
      </c>
      <c r="E118" s="1">
        <v>42815</v>
      </c>
      <c r="F118" s="1">
        <v>43017</v>
      </c>
      <c r="G118">
        <f t="shared" si="4"/>
        <v>202</v>
      </c>
      <c r="H118" t="s">
        <v>506</v>
      </c>
      <c r="I118" t="s">
        <v>507</v>
      </c>
      <c r="J118">
        <v>-25.754722220000001</v>
      </c>
      <c r="K118">
        <v>135.26305556</v>
      </c>
      <c r="L118" t="s">
        <v>463</v>
      </c>
    </row>
    <row r="119" spans="1:12" x14ac:dyDescent="0.2">
      <c r="A119" s="14" t="s">
        <v>593</v>
      </c>
      <c r="B119" s="6" t="s">
        <v>555</v>
      </c>
      <c r="D119">
        <v>2</v>
      </c>
      <c r="E119" s="1">
        <v>42815</v>
      </c>
      <c r="F119" s="1">
        <v>43017</v>
      </c>
      <c r="G119">
        <f t="shared" si="4"/>
        <v>202</v>
      </c>
      <c r="H119" t="s">
        <v>506</v>
      </c>
      <c r="I119" t="s">
        <v>507</v>
      </c>
      <c r="J119">
        <v>-25.754722220000001</v>
      </c>
      <c r="K119">
        <v>135.26305556</v>
      </c>
      <c r="L119" t="s">
        <v>463</v>
      </c>
    </row>
    <row r="120" spans="1:12" x14ac:dyDescent="0.2">
      <c r="A120" s="14" t="s">
        <v>594</v>
      </c>
      <c r="B120" t="s">
        <v>555</v>
      </c>
      <c r="D120">
        <v>2</v>
      </c>
      <c r="E120" s="1">
        <v>42815</v>
      </c>
      <c r="F120" s="1">
        <v>43017</v>
      </c>
      <c r="G120">
        <f t="shared" si="4"/>
        <v>202</v>
      </c>
      <c r="H120" t="s">
        <v>506</v>
      </c>
      <c r="I120" t="s">
        <v>507</v>
      </c>
      <c r="J120">
        <v>-25.754722220000001</v>
      </c>
      <c r="K120">
        <v>135.26305556</v>
      </c>
      <c r="L120" t="s">
        <v>463</v>
      </c>
    </row>
    <row r="121" spans="1:12" x14ac:dyDescent="0.2">
      <c r="A121" s="14" t="s">
        <v>595</v>
      </c>
      <c r="B121" s="6" t="s">
        <v>555</v>
      </c>
      <c r="D121">
        <v>2</v>
      </c>
      <c r="E121" s="1">
        <v>42815</v>
      </c>
      <c r="F121" s="1">
        <v>43017</v>
      </c>
      <c r="G121">
        <f t="shared" si="4"/>
        <v>202</v>
      </c>
      <c r="H121" t="s">
        <v>506</v>
      </c>
      <c r="I121" t="s">
        <v>507</v>
      </c>
      <c r="J121">
        <v>-25.754722220000001</v>
      </c>
      <c r="K121">
        <v>135.26305556</v>
      </c>
      <c r="L121" t="s">
        <v>463</v>
      </c>
    </row>
    <row r="122" spans="1:12" x14ac:dyDescent="0.2">
      <c r="A122" s="14" t="s">
        <v>596</v>
      </c>
      <c r="B122" t="s">
        <v>555</v>
      </c>
      <c r="D122">
        <v>2</v>
      </c>
      <c r="E122" s="1">
        <v>42815</v>
      </c>
      <c r="F122" s="1">
        <v>43017</v>
      </c>
      <c r="G122">
        <f t="shared" si="4"/>
        <v>202</v>
      </c>
      <c r="H122" t="s">
        <v>506</v>
      </c>
      <c r="I122" t="s">
        <v>507</v>
      </c>
      <c r="J122">
        <v>-25.754722220000001</v>
      </c>
      <c r="K122">
        <v>135.26305556</v>
      </c>
      <c r="L122" t="s">
        <v>463</v>
      </c>
    </row>
    <row r="123" spans="1:12" x14ac:dyDescent="0.2">
      <c r="A123" s="14" t="s">
        <v>597</v>
      </c>
      <c r="B123" t="s">
        <v>555</v>
      </c>
      <c r="D123">
        <v>2</v>
      </c>
      <c r="E123" s="1">
        <v>42815</v>
      </c>
      <c r="F123" s="1">
        <v>43017</v>
      </c>
      <c r="G123">
        <f t="shared" si="4"/>
        <v>202</v>
      </c>
      <c r="H123" t="s">
        <v>506</v>
      </c>
      <c r="I123" t="s">
        <v>507</v>
      </c>
      <c r="J123">
        <v>-25.754722220000001</v>
      </c>
      <c r="K123">
        <v>135.26305556</v>
      </c>
      <c r="L123" t="s">
        <v>463</v>
      </c>
    </row>
    <row r="124" spans="1:12" x14ac:dyDescent="0.2">
      <c r="A124" s="14" t="s">
        <v>598</v>
      </c>
      <c r="B124" t="s">
        <v>555</v>
      </c>
      <c r="D124">
        <v>2</v>
      </c>
      <c r="E124" s="1">
        <v>42815</v>
      </c>
      <c r="F124" s="1">
        <v>43017</v>
      </c>
      <c r="G124">
        <f t="shared" ref="G124:G129" si="5">F124-E124</f>
        <v>202</v>
      </c>
      <c r="H124" t="s">
        <v>506</v>
      </c>
      <c r="I124" t="s">
        <v>507</v>
      </c>
      <c r="J124">
        <v>-25.754722220000001</v>
      </c>
      <c r="K124">
        <v>135.26305556</v>
      </c>
      <c r="L124" t="s">
        <v>463</v>
      </c>
    </row>
    <row r="125" spans="1:12" x14ac:dyDescent="0.2">
      <c r="A125" s="14" t="s">
        <v>599</v>
      </c>
      <c r="B125" t="s">
        <v>555</v>
      </c>
      <c r="D125">
        <v>2</v>
      </c>
      <c r="E125" s="1">
        <v>42815</v>
      </c>
      <c r="F125" s="1">
        <v>43017</v>
      </c>
      <c r="G125">
        <f t="shared" si="5"/>
        <v>202</v>
      </c>
      <c r="H125" t="s">
        <v>506</v>
      </c>
      <c r="I125" t="s">
        <v>507</v>
      </c>
      <c r="J125">
        <v>-25.754722220000001</v>
      </c>
      <c r="K125">
        <v>135.26305556</v>
      </c>
      <c r="L125" t="s">
        <v>463</v>
      </c>
    </row>
    <row r="126" spans="1:12" x14ac:dyDescent="0.2">
      <c r="A126" s="14" t="s">
        <v>600</v>
      </c>
      <c r="B126" t="s">
        <v>555</v>
      </c>
      <c r="D126">
        <v>2</v>
      </c>
      <c r="E126" s="1">
        <v>42815</v>
      </c>
      <c r="F126" s="1">
        <v>43017</v>
      </c>
      <c r="G126">
        <f t="shared" si="5"/>
        <v>202</v>
      </c>
      <c r="H126" t="s">
        <v>506</v>
      </c>
      <c r="I126" t="s">
        <v>507</v>
      </c>
      <c r="J126">
        <v>-25.754722220000001</v>
      </c>
      <c r="K126">
        <v>135.26305556</v>
      </c>
      <c r="L126" t="s">
        <v>463</v>
      </c>
    </row>
    <row r="127" spans="1:12" x14ac:dyDescent="0.2">
      <c r="A127" s="14" t="s">
        <v>601</v>
      </c>
      <c r="B127" t="s">
        <v>555</v>
      </c>
      <c r="D127">
        <v>2</v>
      </c>
      <c r="E127" s="1">
        <v>42815</v>
      </c>
      <c r="F127" s="1">
        <v>43017</v>
      </c>
      <c r="G127">
        <f t="shared" si="5"/>
        <v>202</v>
      </c>
      <c r="H127" t="s">
        <v>506</v>
      </c>
      <c r="I127" t="s">
        <v>507</v>
      </c>
      <c r="J127">
        <v>-25.754722220000001</v>
      </c>
      <c r="K127">
        <v>135.26305556</v>
      </c>
      <c r="L127" t="s">
        <v>463</v>
      </c>
    </row>
    <row r="128" spans="1:12" x14ac:dyDescent="0.2">
      <c r="A128" s="14" t="s">
        <v>602</v>
      </c>
      <c r="B128" t="s">
        <v>555</v>
      </c>
      <c r="D128">
        <v>2</v>
      </c>
      <c r="E128" s="1">
        <v>42815</v>
      </c>
      <c r="F128" s="1">
        <v>43017</v>
      </c>
      <c r="G128">
        <f t="shared" si="5"/>
        <v>202</v>
      </c>
      <c r="H128" t="s">
        <v>506</v>
      </c>
      <c r="I128" t="s">
        <v>507</v>
      </c>
      <c r="J128">
        <v>-25.754722220000001</v>
      </c>
      <c r="K128">
        <v>135.26305556</v>
      </c>
      <c r="L128" t="s">
        <v>463</v>
      </c>
    </row>
    <row r="129" spans="1:12" x14ac:dyDescent="0.2">
      <c r="A129" s="14" t="s">
        <v>603</v>
      </c>
      <c r="B129" t="s">
        <v>555</v>
      </c>
      <c r="D129">
        <v>2</v>
      </c>
      <c r="E129" s="1">
        <v>42815</v>
      </c>
      <c r="F129" s="1">
        <v>43017</v>
      </c>
      <c r="G129">
        <f t="shared" si="5"/>
        <v>202</v>
      </c>
      <c r="H129" t="s">
        <v>506</v>
      </c>
      <c r="I129" t="s">
        <v>507</v>
      </c>
      <c r="J129">
        <v>-25.754722220000001</v>
      </c>
      <c r="K129">
        <v>135.26305556</v>
      </c>
      <c r="L129" t="s">
        <v>463</v>
      </c>
    </row>
    <row r="130" spans="1:12" x14ac:dyDescent="0.2">
      <c r="A130" s="2" t="s">
        <v>604</v>
      </c>
      <c r="B130" s="2"/>
      <c r="C130" s="2"/>
      <c r="D130" s="2"/>
      <c r="E130" s="2" t="s">
        <v>44</v>
      </c>
      <c r="F130" s="3" t="s">
        <v>44</v>
      </c>
      <c r="G130" s="2" t="s">
        <v>44</v>
      </c>
      <c r="H130" s="2" t="s">
        <v>44</v>
      </c>
      <c r="I130" s="2" t="s">
        <v>44</v>
      </c>
      <c r="J130" s="2" t="s">
        <v>44</v>
      </c>
      <c r="K130" s="2" t="s">
        <v>44</v>
      </c>
      <c r="L130" s="2" t="s">
        <v>44</v>
      </c>
    </row>
    <row r="131" spans="1:12" x14ac:dyDescent="0.2">
      <c r="A131" s="2" t="s">
        <v>605</v>
      </c>
      <c r="B131" s="2" t="s">
        <v>44</v>
      </c>
      <c r="C131" s="2"/>
      <c r="D131" s="2"/>
      <c r="E131" s="2" t="s">
        <v>44</v>
      </c>
      <c r="F131" s="3" t="s">
        <v>44</v>
      </c>
      <c r="G131" s="2" t="s">
        <v>44</v>
      </c>
      <c r="H131" s="2" t="s">
        <v>44</v>
      </c>
      <c r="I131" s="2" t="s">
        <v>44</v>
      </c>
      <c r="J131" s="2" t="s">
        <v>44</v>
      </c>
      <c r="K131" s="2" t="s">
        <v>44</v>
      </c>
      <c r="L131" s="2" t="s">
        <v>44</v>
      </c>
    </row>
    <row r="132" spans="1:12" x14ac:dyDescent="0.2">
      <c r="A132" t="s">
        <v>606</v>
      </c>
      <c r="B132" t="s">
        <v>607</v>
      </c>
      <c r="D132">
        <v>4</v>
      </c>
      <c r="E132" s="1">
        <v>42811</v>
      </c>
      <c r="F132" s="1">
        <v>43017</v>
      </c>
      <c r="G132">
        <f t="shared" ref="G132:G195" si="6">F132-E132</f>
        <v>206</v>
      </c>
      <c r="H132" t="s">
        <v>461</v>
      </c>
      <c r="I132" t="s">
        <v>608</v>
      </c>
      <c r="J132">
        <v>-25.999166670000001</v>
      </c>
      <c r="K132">
        <v>135.33250000000001</v>
      </c>
      <c r="L132" t="s">
        <v>463</v>
      </c>
    </row>
    <row r="133" spans="1:12" x14ac:dyDescent="0.2">
      <c r="A133" t="s">
        <v>609</v>
      </c>
      <c r="B133" t="s">
        <v>610</v>
      </c>
      <c r="D133">
        <v>5</v>
      </c>
      <c r="E133" s="1">
        <v>42816</v>
      </c>
      <c r="F133" s="1">
        <v>43017</v>
      </c>
      <c r="G133">
        <f t="shared" si="6"/>
        <v>201</v>
      </c>
      <c r="H133" t="s">
        <v>461</v>
      </c>
      <c r="I133" t="s">
        <v>611</v>
      </c>
      <c r="J133">
        <v>-26.42166667</v>
      </c>
      <c r="K133">
        <v>135.50166666999999</v>
      </c>
      <c r="L133" t="s">
        <v>463</v>
      </c>
    </row>
    <row r="134" spans="1:12" x14ac:dyDescent="0.2">
      <c r="A134" t="s">
        <v>612</v>
      </c>
      <c r="B134" t="s">
        <v>613</v>
      </c>
      <c r="D134">
        <v>4</v>
      </c>
      <c r="E134" s="1">
        <v>42811</v>
      </c>
      <c r="F134" s="1">
        <v>43017</v>
      </c>
      <c r="G134">
        <f t="shared" si="6"/>
        <v>206</v>
      </c>
      <c r="H134" t="s">
        <v>461</v>
      </c>
      <c r="I134" t="s">
        <v>608</v>
      </c>
      <c r="J134">
        <v>-25.999166670000001</v>
      </c>
      <c r="K134">
        <v>135.33250000000001</v>
      </c>
      <c r="L134" t="s">
        <v>463</v>
      </c>
    </row>
    <row r="135" spans="1:12" x14ac:dyDescent="0.2">
      <c r="A135" t="s">
        <v>614</v>
      </c>
      <c r="B135" t="s">
        <v>613</v>
      </c>
      <c r="D135">
        <v>4</v>
      </c>
      <c r="E135" s="1">
        <v>42811</v>
      </c>
      <c r="F135" s="1">
        <v>43017</v>
      </c>
      <c r="G135">
        <f t="shared" si="6"/>
        <v>206</v>
      </c>
      <c r="H135" t="s">
        <v>461</v>
      </c>
      <c r="I135" t="s">
        <v>608</v>
      </c>
      <c r="J135">
        <v>-25.999166670000001</v>
      </c>
      <c r="K135">
        <v>135.33250000000001</v>
      </c>
      <c r="L135" t="s">
        <v>463</v>
      </c>
    </row>
    <row r="136" spans="1:12" x14ac:dyDescent="0.2">
      <c r="A136" t="s">
        <v>615</v>
      </c>
      <c r="B136" t="s">
        <v>613</v>
      </c>
      <c r="D136">
        <v>4</v>
      </c>
      <c r="E136" s="1">
        <v>42811</v>
      </c>
      <c r="F136" s="1">
        <v>43017</v>
      </c>
      <c r="G136">
        <f t="shared" si="6"/>
        <v>206</v>
      </c>
      <c r="H136" t="s">
        <v>461</v>
      </c>
      <c r="I136" t="s">
        <v>608</v>
      </c>
      <c r="J136">
        <v>-25.999166670000001</v>
      </c>
      <c r="K136">
        <v>135.33250000000001</v>
      </c>
      <c r="L136" t="s">
        <v>463</v>
      </c>
    </row>
    <row r="137" spans="1:12" x14ac:dyDescent="0.2">
      <c r="A137" t="s">
        <v>616</v>
      </c>
      <c r="B137" t="s">
        <v>617</v>
      </c>
      <c r="D137">
        <v>5</v>
      </c>
      <c r="E137" s="1">
        <v>42816</v>
      </c>
      <c r="F137" s="1">
        <v>43017</v>
      </c>
      <c r="G137">
        <f t="shared" si="6"/>
        <v>201</v>
      </c>
      <c r="H137" t="s">
        <v>461</v>
      </c>
      <c r="I137" t="s">
        <v>611</v>
      </c>
      <c r="J137">
        <v>-26.42166667</v>
      </c>
      <c r="K137">
        <v>135.50166666999999</v>
      </c>
      <c r="L137" t="s">
        <v>463</v>
      </c>
    </row>
    <row r="138" spans="1:12" x14ac:dyDescent="0.2">
      <c r="A138" t="s">
        <v>618</v>
      </c>
      <c r="B138" t="s">
        <v>617</v>
      </c>
      <c r="D138">
        <v>5</v>
      </c>
      <c r="E138" s="1">
        <v>42816</v>
      </c>
      <c r="F138" s="1">
        <v>43017</v>
      </c>
      <c r="G138">
        <f t="shared" si="6"/>
        <v>201</v>
      </c>
      <c r="H138" t="s">
        <v>461</v>
      </c>
      <c r="I138" t="s">
        <v>611</v>
      </c>
      <c r="J138">
        <v>-26.42166667</v>
      </c>
      <c r="K138">
        <v>135.50166666999999</v>
      </c>
      <c r="L138" t="s">
        <v>463</v>
      </c>
    </row>
    <row r="139" spans="1:12" x14ac:dyDescent="0.2">
      <c r="A139" t="s">
        <v>619</v>
      </c>
      <c r="B139" t="s">
        <v>617</v>
      </c>
      <c r="D139">
        <v>5</v>
      </c>
      <c r="E139" s="1">
        <v>42816</v>
      </c>
      <c r="F139" s="1">
        <v>43017</v>
      </c>
      <c r="G139">
        <f t="shared" si="6"/>
        <v>201</v>
      </c>
      <c r="H139" t="s">
        <v>461</v>
      </c>
      <c r="I139" t="s">
        <v>611</v>
      </c>
      <c r="J139">
        <v>-26.42166667</v>
      </c>
      <c r="K139">
        <v>135.50166666999999</v>
      </c>
      <c r="L139" t="s">
        <v>463</v>
      </c>
    </row>
    <row r="140" spans="1:12" x14ac:dyDescent="0.2">
      <c r="A140" t="s">
        <v>620</v>
      </c>
      <c r="B140" t="s">
        <v>617</v>
      </c>
      <c r="D140">
        <v>5</v>
      </c>
      <c r="E140" s="1">
        <v>42816</v>
      </c>
      <c r="F140" s="1">
        <v>43017</v>
      </c>
      <c r="G140">
        <f t="shared" si="6"/>
        <v>201</v>
      </c>
      <c r="H140" t="s">
        <v>461</v>
      </c>
      <c r="I140" t="s">
        <v>611</v>
      </c>
      <c r="J140">
        <v>-26.42166667</v>
      </c>
      <c r="K140">
        <v>135.50166666999999</v>
      </c>
      <c r="L140" t="s">
        <v>463</v>
      </c>
    </row>
    <row r="141" spans="1:12" x14ac:dyDescent="0.2">
      <c r="A141" t="s">
        <v>621</v>
      </c>
      <c r="B141" t="s">
        <v>617</v>
      </c>
      <c r="D141">
        <v>5</v>
      </c>
      <c r="E141" s="1">
        <v>42816</v>
      </c>
      <c r="F141" s="1">
        <v>43017</v>
      </c>
      <c r="G141">
        <f t="shared" si="6"/>
        <v>201</v>
      </c>
      <c r="H141" t="s">
        <v>461</v>
      </c>
      <c r="I141" t="s">
        <v>611</v>
      </c>
      <c r="J141">
        <v>-26.42166667</v>
      </c>
      <c r="K141">
        <v>135.50166666999999</v>
      </c>
      <c r="L141" t="s">
        <v>463</v>
      </c>
    </row>
    <row r="142" spans="1:12" x14ac:dyDescent="0.2">
      <c r="A142" t="s">
        <v>622</v>
      </c>
      <c r="B142" t="s">
        <v>617</v>
      </c>
      <c r="D142">
        <v>5</v>
      </c>
      <c r="E142" s="1">
        <v>42816</v>
      </c>
      <c r="F142" s="1">
        <v>43017</v>
      </c>
      <c r="G142">
        <f t="shared" si="6"/>
        <v>201</v>
      </c>
      <c r="H142" t="s">
        <v>461</v>
      </c>
      <c r="I142" t="s">
        <v>611</v>
      </c>
      <c r="J142">
        <v>-26.42166667</v>
      </c>
      <c r="K142">
        <v>135.50166666999999</v>
      </c>
      <c r="L142" t="s">
        <v>463</v>
      </c>
    </row>
    <row r="143" spans="1:12" x14ac:dyDescent="0.2">
      <c r="A143" t="s">
        <v>623</v>
      </c>
      <c r="B143" t="s">
        <v>617</v>
      </c>
      <c r="D143">
        <v>5</v>
      </c>
      <c r="E143" s="1">
        <v>42816</v>
      </c>
      <c r="F143" s="1">
        <v>43017</v>
      </c>
      <c r="G143">
        <f t="shared" si="6"/>
        <v>201</v>
      </c>
      <c r="H143" t="s">
        <v>461</v>
      </c>
      <c r="I143" t="s">
        <v>611</v>
      </c>
      <c r="J143">
        <v>-26.42166667</v>
      </c>
      <c r="K143">
        <v>135.50166666999999</v>
      </c>
      <c r="L143" t="s">
        <v>463</v>
      </c>
    </row>
    <row r="144" spans="1:12" x14ac:dyDescent="0.2">
      <c r="A144" t="s">
        <v>624</v>
      </c>
      <c r="B144" t="s">
        <v>617</v>
      </c>
      <c r="D144">
        <v>5</v>
      </c>
      <c r="E144" s="1">
        <v>42816</v>
      </c>
      <c r="F144" s="1">
        <v>43017</v>
      </c>
      <c r="G144">
        <f t="shared" si="6"/>
        <v>201</v>
      </c>
      <c r="H144" t="s">
        <v>461</v>
      </c>
      <c r="I144" t="s">
        <v>611</v>
      </c>
      <c r="J144">
        <v>-26.42166667</v>
      </c>
      <c r="K144">
        <v>135.50166666999999</v>
      </c>
      <c r="L144" t="s">
        <v>463</v>
      </c>
    </row>
    <row r="145" spans="1:12" x14ac:dyDescent="0.2">
      <c r="A145" t="s">
        <v>625</v>
      </c>
      <c r="B145" t="s">
        <v>617</v>
      </c>
      <c r="D145">
        <v>5</v>
      </c>
      <c r="E145" s="1">
        <v>42816</v>
      </c>
      <c r="F145" s="1">
        <v>43017</v>
      </c>
      <c r="G145">
        <f t="shared" si="6"/>
        <v>201</v>
      </c>
      <c r="H145" t="s">
        <v>461</v>
      </c>
      <c r="I145" t="s">
        <v>611</v>
      </c>
      <c r="J145">
        <v>-26.42166667</v>
      </c>
      <c r="K145">
        <v>135.50166666999999</v>
      </c>
      <c r="L145" t="s">
        <v>463</v>
      </c>
    </row>
    <row r="146" spans="1:12" x14ac:dyDescent="0.2">
      <c r="A146" t="s">
        <v>626</v>
      </c>
      <c r="B146" t="s">
        <v>617</v>
      </c>
      <c r="D146">
        <v>5</v>
      </c>
      <c r="E146" s="1">
        <v>42816</v>
      </c>
      <c r="F146" s="1">
        <v>43017</v>
      </c>
      <c r="G146">
        <f t="shared" si="6"/>
        <v>201</v>
      </c>
      <c r="H146" t="s">
        <v>461</v>
      </c>
      <c r="I146" t="s">
        <v>611</v>
      </c>
      <c r="J146">
        <v>-26.42166667</v>
      </c>
      <c r="K146">
        <v>135.50166666999999</v>
      </c>
      <c r="L146" t="s">
        <v>463</v>
      </c>
    </row>
    <row r="147" spans="1:12" x14ac:dyDescent="0.2">
      <c r="A147" t="s">
        <v>627</v>
      </c>
      <c r="B147" t="s">
        <v>617</v>
      </c>
      <c r="D147">
        <v>5</v>
      </c>
      <c r="E147" s="1">
        <v>42816</v>
      </c>
      <c r="F147" s="1">
        <v>43017</v>
      </c>
      <c r="G147">
        <f t="shared" si="6"/>
        <v>201</v>
      </c>
      <c r="H147" t="s">
        <v>461</v>
      </c>
      <c r="I147" t="s">
        <v>611</v>
      </c>
      <c r="J147">
        <v>-26.42166667</v>
      </c>
      <c r="K147">
        <v>135.50166666999999</v>
      </c>
      <c r="L147" t="s">
        <v>463</v>
      </c>
    </row>
    <row r="148" spans="1:12" x14ac:dyDescent="0.2">
      <c r="A148" t="s">
        <v>628</v>
      </c>
      <c r="B148" t="s">
        <v>617</v>
      </c>
      <c r="D148">
        <v>5</v>
      </c>
      <c r="E148" s="1">
        <v>42816</v>
      </c>
      <c r="F148" s="1">
        <v>43017</v>
      </c>
      <c r="G148">
        <f t="shared" si="6"/>
        <v>201</v>
      </c>
      <c r="H148" t="s">
        <v>461</v>
      </c>
      <c r="I148" t="s">
        <v>611</v>
      </c>
      <c r="J148">
        <v>-26.42166667</v>
      </c>
      <c r="K148">
        <v>135.50166666999999</v>
      </c>
      <c r="L148" t="s">
        <v>463</v>
      </c>
    </row>
    <row r="149" spans="1:12" x14ac:dyDescent="0.2">
      <c r="A149" t="s">
        <v>629</v>
      </c>
      <c r="B149" t="s">
        <v>617</v>
      </c>
      <c r="D149">
        <v>5</v>
      </c>
      <c r="E149" s="1">
        <v>42816</v>
      </c>
      <c r="F149" s="1">
        <v>43017</v>
      </c>
      <c r="G149">
        <f t="shared" si="6"/>
        <v>201</v>
      </c>
      <c r="H149" t="s">
        <v>461</v>
      </c>
      <c r="I149" t="s">
        <v>611</v>
      </c>
      <c r="J149">
        <v>-26.42166667</v>
      </c>
      <c r="K149">
        <v>135.50166666999999</v>
      </c>
      <c r="L149" t="s">
        <v>463</v>
      </c>
    </row>
    <row r="150" spans="1:12" x14ac:dyDescent="0.2">
      <c r="A150" t="s">
        <v>630</v>
      </c>
      <c r="B150" t="s">
        <v>617</v>
      </c>
      <c r="D150">
        <v>5</v>
      </c>
      <c r="E150" s="1">
        <v>42816</v>
      </c>
      <c r="F150" s="1">
        <v>43017</v>
      </c>
      <c r="G150">
        <f t="shared" si="6"/>
        <v>201</v>
      </c>
      <c r="H150" t="s">
        <v>461</v>
      </c>
      <c r="I150" t="s">
        <v>611</v>
      </c>
      <c r="J150">
        <v>-26.42166667</v>
      </c>
      <c r="K150">
        <v>135.50166666999999</v>
      </c>
      <c r="L150" t="s">
        <v>463</v>
      </c>
    </row>
    <row r="151" spans="1:12" x14ac:dyDescent="0.2">
      <c r="A151" t="s">
        <v>631</v>
      </c>
      <c r="B151" t="s">
        <v>617</v>
      </c>
      <c r="D151">
        <v>5</v>
      </c>
      <c r="E151" s="1">
        <v>42816</v>
      </c>
      <c r="F151" s="1">
        <v>43017</v>
      </c>
      <c r="G151">
        <f t="shared" si="6"/>
        <v>201</v>
      </c>
      <c r="H151" t="s">
        <v>461</v>
      </c>
      <c r="I151" t="s">
        <v>611</v>
      </c>
      <c r="J151">
        <v>-26.42166667</v>
      </c>
      <c r="K151">
        <v>135.50166666999999</v>
      </c>
      <c r="L151" t="s">
        <v>463</v>
      </c>
    </row>
    <row r="152" spans="1:12" x14ac:dyDescent="0.2">
      <c r="A152" t="s">
        <v>632</v>
      </c>
      <c r="B152" t="s">
        <v>617</v>
      </c>
      <c r="D152">
        <v>5</v>
      </c>
      <c r="E152" s="1">
        <v>42816</v>
      </c>
      <c r="F152" s="1">
        <v>43017</v>
      </c>
      <c r="G152">
        <f t="shared" si="6"/>
        <v>201</v>
      </c>
      <c r="H152" t="s">
        <v>461</v>
      </c>
      <c r="I152" t="s">
        <v>611</v>
      </c>
      <c r="J152">
        <v>-26.42166667</v>
      </c>
      <c r="K152">
        <v>135.50166666999999</v>
      </c>
      <c r="L152" t="s">
        <v>463</v>
      </c>
    </row>
    <row r="153" spans="1:12" x14ac:dyDescent="0.2">
      <c r="A153" t="s">
        <v>633</v>
      </c>
      <c r="B153" t="s">
        <v>617</v>
      </c>
      <c r="D153">
        <v>5</v>
      </c>
      <c r="E153" s="1">
        <v>42816</v>
      </c>
      <c r="F153" s="1">
        <v>43017</v>
      </c>
      <c r="G153">
        <f t="shared" si="6"/>
        <v>201</v>
      </c>
      <c r="H153" t="s">
        <v>461</v>
      </c>
      <c r="I153" t="s">
        <v>611</v>
      </c>
      <c r="J153">
        <v>-26.42166667</v>
      </c>
      <c r="K153">
        <v>135.50166666999999</v>
      </c>
      <c r="L153" t="s">
        <v>463</v>
      </c>
    </row>
    <row r="154" spans="1:12" x14ac:dyDescent="0.2">
      <c r="A154" t="s">
        <v>634</v>
      </c>
      <c r="B154" t="s">
        <v>617</v>
      </c>
      <c r="D154">
        <v>5</v>
      </c>
      <c r="E154" s="1">
        <v>42816</v>
      </c>
      <c r="F154" s="1">
        <v>43017</v>
      </c>
      <c r="G154">
        <f t="shared" si="6"/>
        <v>201</v>
      </c>
      <c r="H154" t="s">
        <v>461</v>
      </c>
      <c r="I154" t="s">
        <v>611</v>
      </c>
      <c r="J154">
        <v>-26.42166667</v>
      </c>
      <c r="K154">
        <v>135.50166666999999</v>
      </c>
      <c r="L154" t="s">
        <v>463</v>
      </c>
    </row>
    <row r="155" spans="1:12" x14ac:dyDescent="0.2">
      <c r="A155" t="s">
        <v>635</v>
      </c>
      <c r="B155" t="s">
        <v>636</v>
      </c>
      <c r="D155">
        <v>6</v>
      </c>
      <c r="E155" s="1">
        <v>42816</v>
      </c>
      <c r="F155" s="1">
        <v>43017</v>
      </c>
      <c r="G155">
        <f t="shared" si="6"/>
        <v>201</v>
      </c>
      <c r="H155" t="s">
        <v>461</v>
      </c>
      <c r="I155" t="s">
        <v>637</v>
      </c>
      <c r="J155">
        <v>-26.365555560000001</v>
      </c>
      <c r="K155">
        <v>135.79</v>
      </c>
      <c r="L155" t="s">
        <v>463</v>
      </c>
    </row>
    <row r="156" spans="1:12" x14ac:dyDescent="0.2">
      <c r="A156" t="s">
        <v>638</v>
      </c>
      <c r="B156" t="s">
        <v>636</v>
      </c>
      <c r="D156">
        <v>6</v>
      </c>
      <c r="E156" s="1">
        <v>42816</v>
      </c>
      <c r="F156" s="1">
        <v>43017</v>
      </c>
      <c r="G156">
        <f t="shared" si="6"/>
        <v>201</v>
      </c>
      <c r="H156" t="s">
        <v>461</v>
      </c>
      <c r="I156" t="s">
        <v>637</v>
      </c>
      <c r="J156">
        <v>-26.365555560000001</v>
      </c>
      <c r="K156">
        <v>135.79</v>
      </c>
      <c r="L156" t="s">
        <v>463</v>
      </c>
    </row>
    <row r="157" spans="1:12" x14ac:dyDescent="0.2">
      <c r="A157" t="s">
        <v>639</v>
      </c>
      <c r="B157" t="s">
        <v>636</v>
      </c>
      <c r="D157">
        <v>6</v>
      </c>
      <c r="E157" s="1">
        <v>42816</v>
      </c>
      <c r="F157" s="1">
        <v>43017</v>
      </c>
      <c r="G157">
        <f t="shared" si="6"/>
        <v>201</v>
      </c>
      <c r="H157" t="s">
        <v>461</v>
      </c>
      <c r="I157" t="s">
        <v>637</v>
      </c>
      <c r="J157">
        <v>-26.365555560000001</v>
      </c>
      <c r="K157">
        <v>135.79</v>
      </c>
      <c r="L157" t="s">
        <v>463</v>
      </c>
    </row>
    <row r="158" spans="1:12" x14ac:dyDescent="0.2">
      <c r="A158" t="s">
        <v>640</v>
      </c>
      <c r="B158" t="s">
        <v>636</v>
      </c>
      <c r="D158">
        <v>6</v>
      </c>
      <c r="E158" s="1">
        <v>42816</v>
      </c>
      <c r="F158" s="1">
        <v>43017</v>
      </c>
      <c r="G158">
        <f t="shared" si="6"/>
        <v>201</v>
      </c>
      <c r="H158" t="s">
        <v>461</v>
      </c>
      <c r="I158" t="s">
        <v>637</v>
      </c>
      <c r="J158">
        <v>-26.365555560000001</v>
      </c>
      <c r="K158">
        <v>135.79</v>
      </c>
      <c r="L158" t="s">
        <v>463</v>
      </c>
    </row>
    <row r="159" spans="1:12" x14ac:dyDescent="0.2">
      <c r="A159" t="s">
        <v>641</v>
      </c>
      <c r="B159" t="s">
        <v>636</v>
      </c>
      <c r="D159">
        <v>6</v>
      </c>
      <c r="E159" s="1">
        <v>42816</v>
      </c>
      <c r="F159" s="1">
        <v>43017</v>
      </c>
      <c r="G159">
        <f t="shared" si="6"/>
        <v>201</v>
      </c>
      <c r="H159" t="s">
        <v>461</v>
      </c>
      <c r="I159" t="s">
        <v>637</v>
      </c>
      <c r="J159">
        <v>-26.365555560000001</v>
      </c>
      <c r="K159">
        <v>135.79</v>
      </c>
      <c r="L159" t="s">
        <v>463</v>
      </c>
    </row>
    <row r="160" spans="1:12" x14ac:dyDescent="0.2">
      <c r="A160" t="s">
        <v>642</v>
      </c>
      <c r="B160" t="s">
        <v>636</v>
      </c>
      <c r="D160">
        <v>6</v>
      </c>
      <c r="E160" s="1">
        <v>42816</v>
      </c>
      <c r="F160" s="1">
        <v>43017</v>
      </c>
      <c r="G160">
        <f t="shared" si="6"/>
        <v>201</v>
      </c>
      <c r="H160" t="s">
        <v>461</v>
      </c>
      <c r="I160" t="s">
        <v>637</v>
      </c>
      <c r="J160">
        <v>-26.365555560000001</v>
      </c>
      <c r="K160">
        <v>135.79</v>
      </c>
      <c r="L160" t="s">
        <v>463</v>
      </c>
    </row>
    <row r="161" spans="1:12" x14ac:dyDescent="0.2">
      <c r="A161" t="s">
        <v>643</v>
      </c>
      <c r="B161" t="s">
        <v>636</v>
      </c>
      <c r="D161">
        <v>6</v>
      </c>
      <c r="E161" s="1">
        <v>42816</v>
      </c>
      <c r="F161" s="1">
        <v>43017</v>
      </c>
      <c r="G161">
        <f t="shared" si="6"/>
        <v>201</v>
      </c>
      <c r="H161" t="s">
        <v>461</v>
      </c>
      <c r="I161" t="s">
        <v>637</v>
      </c>
      <c r="J161">
        <v>-26.365555560000001</v>
      </c>
      <c r="K161">
        <v>135.79</v>
      </c>
      <c r="L161" t="s">
        <v>463</v>
      </c>
    </row>
    <row r="162" spans="1:12" x14ac:dyDescent="0.2">
      <c r="A162" t="s">
        <v>644</v>
      </c>
      <c r="B162" t="s">
        <v>636</v>
      </c>
      <c r="D162">
        <v>6</v>
      </c>
      <c r="E162" s="1">
        <v>42816</v>
      </c>
      <c r="F162" s="1">
        <v>43017</v>
      </c>
      <c r="G162">
        <f t="shared" si="6"/>
        <v>201</v>
      </c>
      <c r="H162" t="s">
        <v>461</v>
      </c>
      <c r="I162" t="s">
        <v>637</v>
      </c>
      <c r="J162">
        <v>-26.365555560000001</v>
      </c>
      <c r="K162">
        <v>135.79</v>
      </c>
      <c r="L162" t="s">
        <v>463</v>
      </c>
    </row>
    <row r="163" spans="1:12" x14ac:dyDescent="0.2">
      <c r="A163" t="s">
        <v>645</v>
      </c>
      <c r="B163" t="s">
        <v>636</v>
      </c>
      <c r="D163">
        <v>6</v>
      </c>
      <c r="E163" s="1">
        <v>42816</v>
      </c>
      <c r="F163" s="1">
        <v>43017</v>
      </c>
      <c r="G163">
        <f t="shared" si="6"/>
        <v>201</v>
      </c>
      <c r="H163" t="s">
        <v>461</v>
      </c>
      <c r="I163" t="s">
        <v>637</v>
      </c>
      <c r="J163">
        <v>-26.365555560000001</v>
      </c>
      <c r="K163">
        <v>135.79</v>
      </c>
      <c r="L163" t="s">
        <v>463</v>
      </c>
    </row>
    <row r="164" spans="1:12" x14ac:dyDescent="0.2">
      <c r="A164" t="s">
        <v>646</v>
      </c>
      <c r="B164" t="s">
        <v>636</v>
      </c>
      <c r="D164">
        <v>6</v>
      </c>
      <c r="E164" s="1">
        <v>42816</v>
      </c>
      <c r="F164" s="1">
        <v>43017</v>
      </c>
      <c r="G164">
        <f t="shared" si="6"/>
        <v>201</v>
      </c>
      <c r="H164" t="s">
        <v>461</v>
      </c>
      <c r="I164" t="s">
        <v>637</v>
      </c>
      <c r="J164">
        <v>-26.365555560000001</v>
      </c>
      <c r="K164">
        <v>135.79</v>
      </c>
      <c r="L164" t="s">
        <v>463</v>
      </c>
    </row>
    <row r="165" spans="1:12" x14ac:dyDescent="0.2">
      <c r="A165" t="s">
        <v>647</v>
      </c>
      <c r="B165" t="s">
        <v>636</v>
      </c>
      <c r="D165">
        <v>6</v>
      </c>
      <c r="E165" s="1">
        <v>42816</v>
      </c>
      <c r="F165" s="1">
        <v>43017</v>
      </c>
      <c r="G165">
        <f t="shared" si="6"/>
        <v>201</v>
      </c>
      <c r="H165" t="s">
        <v>461</v>
      </c>
      <c r="I165" t="s">
        <v>637</v>
      </c>
      <c r="J165">
        <v>-26.365555560000001</v>
      </c>
      <c r="K165">
        <v>135.79</v>
      </c>
      <c r="L165" t="s">
        <v>463</v>
      </c>
    </row>
    <row r="166" spans="1:12" x14ac:dyDescent="0.2">
      <c r="A166" t="s">
        <v>648</v>
      </c>
      <c r="B166" t="s">
        <v>636</v>
      </c>
      <c r="D166">
        <v>6</v>
      </c>
      <c r="E166" s="1">
        <v>42816</v>
      </c>
      <c r="F166" s="1">
        <v>43017</v>
      </c>
      <c r="G166">
        <f t="shared" si="6"/>
        <v>201</v>
      </c>
      <c r="H166" t="s">
        <v>461</v>
      </c>
      <c r="I166" t="s">
        <v>637</v>
      </c>
      <c r="J166">
        <v>-26.365555560000001</v>
      </c>
      <c r="K166">
        <v>135.79</v>
      </c>
      <c r="L166" t="s">
        <v>463</v>
      </c>
    </row>
    <row r="167" spans="1:12" x14ac:dyDescent="0.2">
      <c r="A167" t="s">
        <v>649</v>
      </c>
      <c r="B167" t="s">
        <v>636</v>
      </c>
      <c r="D167">
        <v>6</v>
      </c>
      <c r="E167" s="1">
        <v>42816</v>
      </c>
      <c r="F167" s="1">
        <v>43017</v>
      </c>
      <c r="G167">
        <f t="shared" si="6"/>
        <v>201</v>
      </c>
      <c r="H167" t="s">
        <v>461</v>
      </c>
      <c r="I167" t="s">
        <v>637</v>
      </c>
      <c r="J167">
        <v>-26.365555560000001</v>
      </c>
      <c r="K167">
        <v>135.79</v>
      </c>
      <c r="L167" t="s">
        <v>463</v>
      </c>
    </row>
    <row r="168" spans="1:12" x14ac:dyDescent="0.2">
      <c r="A168" t="s">
        <v>650</v>
      </c>
      <c r="B168" t="s">
        <v>636</v>
      </c>
      <c r="D168">
        <v>6</v>
      </c>
      <c r="E168" s="1">
        <v>42816</v>
      </c>
      <c r="F168" s="1">
        <v>43017</v>
      </c>
      <c r="G168">
        <f t="shared" si="6"/>
        <v>201</v>
      </c>
      <c r="H168" t="s">
        <v>461</v>
      </c>
      <c r="I168" t="s">
        <v>637</v>
      </c>
      <c r="J168">
        <v>-26.365555560000001</v>
      </c>
      <c r="K168">
        <v>135.79</v>
      </c>
      <c r="L168" t="s">
        <v>463</v>
      </c>
    </row>
    <row r="169" spans="1:12" x14ac:dyDescent="0.2">
      <c r="A169" t="s">
        <v>651</v>
      </c>
      <c r="B169" t="s">
        <v>636</v>
      </c>
      <c r="D169">
        <v>6</v>
      </c>
      <c r="E169" s="1">
        <v>42816</v>
      </c>
      <c r="F169" s="1">
        <v>43017</v>
      </c>
      <c r="G169">
        <f t="shared" si="6"/>
        <v>201</v>
      </c>
      <c r="H169" t="s">
        <v>461</v>
      </c>
      <c r="I169" t="s">
        <v>637</v>
      </c>
      <c r="J169">
        <v>-26.365555560000001</v>
      </c>
      <c r="K169">
        <v>135.79</v>
      </c>
      <c r="L169" t="s">
        <v>463</v>
      </c>
    </row>
    <row r="170" spans="1:12" x14ac:dyDescent="0.2">
      <c r="A170" t="s">
        <v>652</v>
      </c>
      <c r="B170" t="s">
        <v>636</v>
      </c>
      <c r="D170">
        <v>6</v>
      </c>
      <c r="E170" s="1">
        <v>42816</v>
      </c>
      <c r="F170" s="1">
        <v>43017</v>
      </c>
      <c r="G170">
        <f t="shared" si="6"/>
        <v>201</v>
      </c>
      <c r="H170" t="s">
        <v>461</v>
      </c>
      <c r="I170" t="s">
        <v>637</v>
      </c>
      <c r="J170">
        <v>-26.365555560000001</v>
      </c>
      <c r="K170">
        <v>135.79</v>
      </c>
      <c r="L170" t="s">
        <v>463</v>
      </c>
    </row>
    <row r="171" spans="1:12" x14ac:dyDescent="0.2">
      <c r="A171" t="s">
        <v>653</v>
      </c>
      <c r="B171" t="s">
        <v>636</v>
      </c>
      <c r="D171">
        <v>6</v>
      </c>
      <c r="E171" s="1">
        <v>42816</v>
      </c>
      <c r="F171" s="1">
        <v>43017</v>
      </c>
      <c r="G171">
        <f t="shared" si="6"/>
        <v>201</v>
      </c>
      <c r="H171" t="s">
        <v>461</v>
      </c>
      <c r="I171" t="s">
        <v>637</v>
      </c>
      <c r="J171">
        <v>-26.365555560000001</v>
      </c>
      <c r="K171">
        <v>135.79</v>
      </c>
      <c r="L171" t="s">
        <v>463</v>
      </c>
    </row>
    <row r="172" spans="1:12" x14ac:dyDescent="0.2">
      <c r="A172" t="s">
        <v>654</v>
      </c>
      <c r="B172" t="s">
        <v>636</v>
      </c>
      <c r="D172">
        <v>6</v>
      </c>
      <c r="E172" s="1">
        <v>42816</v>
      </c>
      <c r="F172" s="1">
        <v>43017</v>
      </c>
      <c r="G172">
        <f t="shared" si="6"/>
        <v>201</v>
      </c>
      <c r="H172" t="s">
        <v>461</v>
      </c>
      <c r="I172" t="s">
        <v>637</v>
      </c>
      <c r="J172">
        <v>-26.365555560000001</v>
      </c>
      <c r="K172">
        <v>135.79</v>
      </c>
      <c r="L172" t="s">
        <v>463</v>
      </c>
    </row>
    <row r="173" spans="1:12" x14ac:dyDescent="0.2">
      <c r="A173" t="s">
        <v>655</v>
      </c>
      <c r="B173" t="s">
        <v>636</v>
      </c>
      <c r="D173">
        <v>6</v>
      </c>
      <c r="E173" s="1">
        <v>42816</v>
      </c>
      <c r="F173" s="1">
        <v>43017</v>
      </c>
      <c r="G173">
        <f t="shared" si="6"/>
        <v>201</v>
      </c>
      <c r="H173" t="s">
        <v>461</v>
      </c>
      <c r="I173" t="s">
        <v>637</v>
      </c>
      <c r="J173">
        <v>-26.365555560000001</v>
      </c>
      <c r="K173">
        <v>135.79</v>
      </c>
      <c r="L173" t="s">
        <v>463</v>
      </c>
    </row>
    <row r="174" spans="1:12" x14ac:dyDescent="0.2">
      <c r="A174" t="s">
        <v>656</v>
      </c>
      <c r="B174" t="s">
        <v>636</v>
      </c>
      <c r="D174">
        <v>6</v>
      </c>
      <c r="E174" s="1">
        <v>42816</v>
      </c>
      <c r="F174" s="1">
        <v>43017</v>
      </c>
      <c r="G174">
        <f t="shared" si="6"/>
        <v>201</v>
      </c>
      <c r="H174" t="s">
        <v>461</v>
      </c>
      <c r="I174" t="s">
        <v>637</v>
      </c>
      <c r="J174">
        <v>-26.365555560000001</v>
      </c>
      <c r="K174">
        <v>135.79</v>
      </c>
      <c r="L174" t="s">
        <v>463</v>
      </c>
    </row>
    <row r="175" spans="1:12" x14ac:dyDescent="0.2">
      <c r="A175" t="s">
        <v>657</v>
      </c>
      <c r="B175" t="s">
        <v>636</v>
      </c>
      <c r="D175">
        <v>6</v>
      </c>
      <c r="E175" s="1">
        <v>42816</v>
      </c>
      <c r="F175" s="1">
        <v>43017</v>
      </c>
      <c r="G175">
        <f t="shared" si="6"/>
        <v>201</v>
      </c>
      <c r="H175" t="s">
        <v>461</v>
      </c>
      <c r="I175" t="s">
        <v>637</v>
      </c>
      <c r="J175">
        <v>-26.365555560000001</v>
      </c>
      <c r="K175">
        <v>135.79</v>
      </c>
      <c r="L175" t="s">
        <v>463</v>
      </c>
    </row>
    <row r="176" spans="1:12" x14ac:dyDescent="0.2">
      <c r="A176" t="s">
        <v>658</v>
      </c>
      <c r="B176" t="s">
        <v>636</v>
      </c>
      <c r="D176">
        <v>6</v>
      </c>
      <c r="E176" s="1">
        <v>42816</v>
      </c>
      <c r="F176" s="1">
        <v>43017</v>
      </c>
      <c r="G176">
        <f t="shared" si="6"/>
        <v>201</v>
      </c>
      <c r="H176" t="s">
        <v>461</v>
      </c>
      <c r="I176" t="s">
        <v>637</v>
      </c>
      <c r="J176">
        <v>-26.365555560000001</v>
      </c>
      <c r="K176">
        <v>135.79</v>
      </c>
      <c r="L176" t="s">
        <v>463</v>
      </c>
    </row>
    <row r="177" spans="1:12" x14ac:dyDescent="0.2">
      <c r="A177" t="s">
        <v>659</v>
      </c>
      <c r="B177" t="s">
        <v>636</v>
      </c>
      <c r="D177">
        <v>6</v>
      </c>
      <c r="E177" s="1">
        <v>42816</v>
      </c>
      <c r="F177" s="1">
        <v>43017</v>
      </c>
      <c r="G177">
        <f t="shared" si="6"/>
        <v>201</v>
      </c>
      <c r="H177" t="s">
        <v>461</v>
      </c>
      <c r="I177" t="s">
        <v>637</v>
      </c>
      <c r="J177">
        <v>-26.365555560000001</v>
      </c>
      <c r="K177">
        <v>135.79</v>
      </c>
      <c r="L177" t="s">
        <v>463</v>
      </c>
    </row>
    <row r="178" spans="1:12" x14ac:dyDescent="0.2">
      <c r="A178" t="s">
        <v>660</v>
      </c>
      <c r="B178" t="s">
        <v>636</v>
      </c>
      <c r="D178">
        <v>6</v>
      </c>
      <c r="E178" s="1">
        <v>42816</v>
      </c>
      <c r="F178" s="1">
        <v>43017</v>
      </c>
      <c r="G178">
        <f t="shared" si="6"/>
        <v>201</v>
      </c>
      <c r="H178" t="s">
        <v>461</v>
      </c>
      <c r="I178" t="s">
        <v>637</v>
      </c>
      <c r="J178">
        <v>-26.365555560000001</v>
      </c>
      <c r="K178">
        <v>135.79</v>
      </c>
      <c r="L178" t="s">
        <v>463</v>
      </c>
    </row>
    <row r="179" spans="1:12" x14ac:dyDescent="0.2">
      <c r="A179" t="s">
        <v>661</v>
      </c>
      <c r="B179" t="s">
        <v>636</v>
      </c>
      <c r="D179">
        <v>6</v>
      </c>
      <c r="E179" s="1">
        <v>42816</v>
      </c>
      <c r="F179" s="1">
        <v>43017</v>
      </c>
      <c r="G179">
        <f t="shared" si="6"/>
        <v>201</v>
      </c>
      <c r="H179" t="s">
        <v>461</v>
      </c>
      <c r="I179" t="s">
        <v>637</v>
      </c>
      <c r="J179">
        <v>-26.365555560000001</v>
      </c>
      <c r="K179">
        <v>135.79</v>
      </c>
      <c r="L179" t="s">
        <v>463</v>
      </c>
    </row>
    <row r="180" spans="1:12" x14ac:dyDescent="0.2">
      <c r="A180" t="s">
        <v>662</v>
      </c>
      <c r="B180" t="s">
        <v>636</v>
      </c>
      <c r="D180">
        <v>6</v>
      </c>
      <c r="E180" s="1">
        <v>42816</v>
      </c>
      <c r="F180" s="1">
        <v>43017</v>
      </c>
      <c r="G180">
        <f t="shared" si="6"/>
        <v>201</v>
      </c>
      <c r="H180" t="s">
        <v>461</v>
      </c>
      <c r="I180" t="s">
        <v>637</v>
      </c>
      <c r="J180">
        <v>-26.365555560000001</v>
      </c>
      <c r="K180">
        <v>135.79</v>
      </c>
      <c r="L180" t="s">
        <v>463</v>
      </c>
    </row>
    <row r="181" spans="1:12" x14ac:dyDescent="0.2">
      <c r="A181" t="s">
        <v>663</v>
      </c>
      <c r="B181" t="s">
        <v>636</v>
      </c>
      <c r="D181">
        <v>6</v>
      </c>
      <c r="E181" s="1">
        <v>42816</v>
      </c>
      <c r="F181" s="1">
        <v>43017</v>
      </c>
      <c r="G181">
        <f t="shared" si="6"/>
        <v>201</v>
      </c>
      <c r="H181" t="s">
        <v>461</v>
      </c>
      <c r="I181" t="s">
        <v>637</v>
      </c>
      <c r="J181">
        <v>-26.365555560000001</v>
      </c>
      <c r="K181">
        <v>135.79</v>
      </c>
      <c r="L181" t="s">
        <v>463</v>
      </c>
    </row>
    <row r="182" spans="1:12" x14ac:dyDescent="0.2">
      <c r="A182" t="s">
        <v>664</v>
      </c>
      <c r="B182" t="s">
        <v>636</v>
      </c>
      <c r="D182">
        <v>6</v>
      </c>
      <c r="E182" s="1">
        <v>42816</v>
      </c>
      <c r="F182" s="1">
        <v>43017</v>
      </c>
      <c r="G182">
        <f t="shared" si="6"/>
        <v>201</v>
      </c>
      <c r="H182" t="s">
        <v>461</v>
      </c>
      <c r="I182" t="s">
        <v>637</v>
      </c>
      <c r="J182">
        <v>-26.365555560000001</v>
      </c>
      <c r="K182">
        <v>135.79</v>
      </c>
      <c r="L182" t="s">
        <v>463</v>
      </c>
    </row>
    <row r="183" spans="1:12" x14ac:dyDescent="0.2">
      <c r="A183" t="s">
        <v>665</v>
      </c>
      <c r="B183" t="s">
        <v>636</v>
      </c>
      <c r="D183">
        <v>6</v>
      </c>
      <c r="E183" s="1">
        <v>42816</v>
      </c>
      <c r="F183" s="1">
        <v>43017</v>
      </c>
      <c r="G183">
        <f t="shared" si="6"/>
        <v>201</v>
      </c>
      <c r="H183" t="s">
        <v>461</v>
      </c>
      <c r="I183" t="s">
        <v>637</v>
      </c>
      <c r="J183">
        <v>-26.365555560000001</v>
      </c>
      <c r="K183">
        <v>135.79</v>
      </c>
      <c r="L183" t="s">
        <v>463</v>
      </c>
    </row>
    <row r="184" spans="1:12" x14ac:dyDescent="0.2">
      <c r="A184" t="s">
        <v>666</v>
      </c>
      <c r="B184" t="s">
        <v>636</v>
      </c>
      <c r="D184">
        <v>6</v>
      </c>
      <c r="E184" s="1">
        <v>42816</v>
      </c>
      <c r="F184" s="1">
        <v>43017</v>
      </c>
      <c r="G184">
        <f t="shared" si="6"/>
        <v>201</v>
      </c>
      <c r="H184" t="s">
        <v>461</v>
      </c>
      <c r="I184" t="s">
        <v>637</v>
      </c>
      <c r="J184">
        <v>-26.365555560000001</v>
      </c>
      <c r="K184">
        <v>135.79</v>
      </c>
      <c r="L184" t="s">
        <v>463</v>
      </c>
    </row>
    <row r="185" spans="1:12" x14ac:dyDescent="0.2">
      <c r="A185" t="s">
        <v>667</v>
      </c>
      <c r="B185" t="s">
        <v>636</v>
      </c>
      <c r="D185">
        <v>6</v>
      </c>
      <c r="E185" s="1">
        <v>42816</v>
      </c>
      <c r="F185" s="1">
        <v>43017</v>
      </c>
      <c r="G185">
        <f t="shared" si="6"/>
        <v>201</v>
      </c>
      <c r="H185" t="s">
        <v>461</v>
      </c>
      <c r="I185" t="s">
        <v>637</v>
      </c>
      <c r="J185">
        <v>-26.365555560000001</v>
      </c>
      <c r="K185">
        <v>135.79</v>
      </c>
      <c r="L185" t="s">
        <v>463</v>
      </c>
    </row>
    <row r="186" spans="1:12" x14ac:dyDescent="0.2">
      <c r="A186" t="s">
        <v>668</v>
      </c>
      <c r="B186" t="s">
        <v>636</v>
      </c>
      <c r="D186">
        <v>6</v>
      </c>
      <c r="E186" s="1">
        <v>42816</v>
      </c>
      <c r="F186" s="1">
        <v>43017</v>
      </c>
      <c r="G186">
        <f t="shared" si="6"/>
        <v>201</v>
      </c>
      <c r="H186" t="s">
        <v>461</v>
      </c>
      <c r="I186" t="s">
        <v>637</v>
      </c>
      <c r="J186">
        <v>-26.365555560000001</v>
      </c>
      <c r="K186">
        <v>135.79</v>
      </c>
      <c r="L186" t="s">
        <v>463</v>
      </c>
    </row>
    <row r="187" spans="1:12" x14ac:dyDescent="0.2">
      <c r="A187" t="s">
        <v>669</v>
      </c>
      <c r="B187" t="s">
        <v>636</v>
      </c>
      <c r="D187">
        <v>6</v>
      </c>
      <c r="E187" s="1">
        <v>42816</v>
      </c>
      <c r="F187" s="1">
        <v>43017</v>
      </c>
      <c r="G187">
        <f t="shared" si="6"/>
        <v>201</v>
      </c>
      <c r="H187" t="s">
        <v>461</v>
      </c>
      <c r="I187" t="s">
        <v>637</v>
      </c>
      <c r="J187">
        <v>-26.365555560000001</v>
      </c>
      <c r="K187">
        <v>135.79</v>
      </c>
      <c r="L187" t="s">
        <v>463</v>
      </c>
    </row>
    <row r="188" spans="1:12" x14ac:dyDescent="0.2">
      <c r="A188" t="s">
        <v>670</v>
      </c>
      <c r="B188" t="s">
        <v>636</v>
      </c>
      <c r="D188">
        <v>6</v>
      </c>
      <c r="E188" s="1">
        <v>42816</v>
      </c>
      <c r="F188" s="1">
        <v>43017</v>
      </c>
      <c r="G188">
        <f t="shared" si="6"/>
        <v>201</v>
      </c>
      <c r="H188" t="s">
        <v>461</v>
      </c>
      <c r="I188" t="s">
        <v>637</v>
      </c>
      <c r="J188">
        <v>-26.365555560000001</v>
      </c>
      <c r="K188">
        <v>135.79</v>
      </c>
      <c r="L188" t="s">
        <v>463</v>
      </c>
    </row>
    <row r="189" spans="1:12" x14ac:dyDescent="0.2">
      <c r="A189" t="s">
        <v>671</v>
      </c>
      <c r="B189" t="s">
        <v>636</v>
      </c>
      <c r="D189">
        <v>6</v>
      </c>
      <c r="E189" s="1">
        <v>42816</v>
      </c>
      <c r="F189" s="1">
        <v>43017</v>
      </c>
      <c r="G189">
        <f t="shared" si="6"/>
        <v>201</v>
      </c>
      <c r="H189" t="s">
        <v>461</v>
      </c>
      <c r="I189" t="s">
        <v>637</v>
      </c>
      <c r="J189">
        <v>-26.365555560000001</v>
      </c>
      <c r="K189">
        <v>135.79</v>
      </c>
      <c r="L189" t="s">
        <v>463</v>
      </c>
    </row>
    <row r="190" spans="1:12" x14ac:dyDescent="0.2">
      <c r="A190" t="s">
        <v>672</v>
      </c>
      <c r="B190" t="s">
        <v>636</v>
      </c>
      <c r="D190">
        <v>6</v>
      </c>
      <c r="E190" s="1">
        <v>42816</v>
      </c>
      <c r="F190" s="1">
        <v>43017</v>
      </c>
      <c r="G190">
        <f t="shared" si="6"/>
        <v>201</v>
      </c>
      <c r="H190" t="s">
        <v>461</v>
      </c>
      <c r="I190" t="s">
        <v>637</v>
      </c>
      <c r="J190">
        <v>-26.365555560000001</v>
      </c>
      <c r="K190">
        <v>135.79</v>
      </c>
      <c r="L190" t="s">
        <v>463</v>
      </c>
    </row>
    <row r="191" spans="1:12" x14ac:dyDescent="0.2">
      <c r="A191" t="s">
        <v>673</v>
      </c>
      <c r="B191" t="s">
        <v>636</v>
      </c>
      <c r="D191">
        <v>6</v>
      </c>
      <c r="E191" s="1">
        <v>42816</v>
      </c>
      <c r="F191" s="1">
        <v>43017</v>
      </c>
      <c r="G191">
        <f t="shared" si="6"/>
        <v>201</v>
      </c>
      <c r="H191" t="s">
        <v>461</v>
      </c>
      <c r="I191" t="s">
        <v>637</v>
      </c>
      <c r="J191">
        <v>-26.365555560000001</v>
      </c>
      <c r="K191">
        <v>135.79</v>
      </c>
      <c r="L191" t="s">
        <v>463</v>
      </c>
    </row>
    <row r="192" spans="1:12" x14ac:dyDescent="0.2">
      <c r="A192" t="s">
        <v>674</v>
      </c>
      <c r="B192" t="s">
        <v>636</v>
      </c>
      <c r="D192">
        <v>6</v>
      </c>
      <c r="E192" s="1">
        <v>42816</v>
      </c>
      <c r="F192" s="1">
        <v>43017</v>
      </c>
      <c r="G192">
        <f t="shared" si="6"/>
        <v>201</v>
      </c>
      <c r="H192" t="s">
        <v>461</v>
      </c>
      <c r="I192" t="s">
        <v>637</v>
      </c>
      <c r="J192">
        <v>-26.365555560000001</v>
      </c>
      <c r="K192">
        <v>135.79</v>
      </c>
      <c r="L192" t="s">
        <v>463</v>
      </c>
    </row>
    <row r="193" spans="1:12" x14ac:dyDescent="0.2">
      <c r="A193" t="s">
        <v>675</v>
      </c>
      <c r="B193" t="s">
        <v>636</v>
      </c>
      <c r="D193">
        <v>6</v>
      </c>
      <c r="E193" s="1">
        <v>42816</v>
      </c>
      <c r="F193" s="1">
        <v>43017</v>
      </c>
      <c r="G193">
        <f t="shared" si="6"/>
        <v>201</v>
      </c>
      <c r="H193" t="s">
        <v>461</v>
      </c>
      <c r="I193" t="s">
        <v>637</v>
      </c>
      <c r="J193">
        <v>-26.365555560000001</v>
      </c>
      <c r="K193">
        <v>135.79</v>
      </c>
      <c r="L193" t="s">
        <v>463</v>
      </c>
    </row>
    <row r="194" spans="1:12" x14ac:dyDescent="0.2">
      <c r="A194" t="s">
        <v>676</v>
      </c>
      <c r="B194" t="s">
        <v>636</v>
      </c>
      <c r="D194">
        <v>6</v>
      </c>
      <c r="E194" s="1">
        <v>42816</v>
      </c>
      <c r="F194" s="1">
        <v>43017</v>
      </c>
      <c r="G194">
        <f t="shared" si="6"/>
        <v>201</v>
      </c>
      <c r="H194" t="s">
        <v>461</v>
      </c>
      <c r="I194" t="s">
        <v>637</v>
      </c>
      <c r="J194">
        <v>-26.365555560000001</v>
      </c>
      <c r="K194">
        <v>135.79</v>
      </c>
      <c r="L194" t="s">
        <v>463</v>
      </c>
    </row>
    <row r="195" spans="1:12" x14ac:dyDescent="0.2">
      <c r="A195" t="s">
        <v>677</v>
      </c>
      <c r="B195" t="s">
        <v>636</v>
      </c>
      <c r="D195">
        <v>6</v>
      </c>
      <c r="E195" s="1">
        <v>42816</v>
      </c>
      <c r="F195" s="1">
        <v>43017</v>
      </c>
      <c r="G195">
        <f t="shared" si="6"/>
        <v>201</v>
      </c>
      <c r="H195" t="s">
        <v>461</v>
      </c>
      <c r="I195" t="s">
        <v>637</v>
      </c>
      <c r="J195">
        <v>-26.365555560000001</v>
      </c>
      <c r="K195">
        <v>135.79</v>
      </c>
      <c r="L195" t="s">
        <v>463</v>
      </c>
    </row>
    <row r="196" spans="1:12" x14ac:dyDescent="0.2">
      <c r="A196" t="s">
        <v>678</v>
      </c>
      <c r="B196" t="s">
        <v>636</v>
      </c>
      <c r="D196">
        <v>6</v>
      </c>
      <c r="E196" s="1">
        <v>42816</v>
      </c>
      <c r="F196" s="1">
        <v>43017</v>
      </c>
      <c r="G196">
        <f t="shared" ref="G196:G259" si="7">F196-E196</f>
        <v>201</v>
      </c>
      <c r="H196" t="s">
        <v>461</v>
      </c>
      <c r="I196" t="s">
        <v>637</v>
      </c>
      <c r="J196">
        <v>-26.365555560000001</v>
      </c>
      <c r="K196">
        <v>135.79</v>
      </c>
      <c r="L196" t="s">
        <v>463</v>
      </c>
    </row>
    <row r="197" spans="1:12" x14ac:dyDescent="0.2">
      <c r="A197" t="s">
        <v>679</v>
      </c>
      <c r="B197" t="s">
        <v>636</v>
      </c>
      <c r="D197">
        <v>6</v>
      </c>
      <c r="E197" s="1">
        <v>42816</v>
      </c>
      <c r="F197" s="1">
        <v>43017</v>
      </c>
      <c r="G197">
        <f t="shared" si="7"/>
        <v>201</v>
      </c>
      <c r="H197" t="s">
        <v>461</v>
      </c>
      <c r="I197" t="s">
        <v>637</v>
      </c>
      <c r="J197">
        <v>-26.365555560000001</v>
      </c>
      <c r="K197">
        <v>135.79</v>
      </c>
      <c r="L197" t="s">
        <v>463</v>
      </c>
    </row>
    <row r="198" spans="1:12" x14ac:dyDescent="0.2">
      <c r="A198" t="s">
        <v>680</v>
      </c>
      <c r="B198" t="s">
        <v>636</v>
      </c>
      <c r="D198">
        <v>6</v>
      </c>
      <c r="E198" s="1">
        <v>42816</v>
      </c>
      <c r="F198" s="1">
        <v>43017</v>
      </c>
      <c r="G198">
        <f t="shared" si="7"/>
        <v>201</v>
      </c>
      <c r="H198" t="s">
        <v>461</v>
      </c>
      <c r="I198" t="s">
        <v>637</v>
      </c>
      <c r="J198">
        <v>-26.365555560000001</v>
      </c>
      <c r="K198">
        <v>135.79</v>
      </c>
      <c r="L198" t="s">
        <v>463</v>
      </c>
    </row>
    <row r="199" spans="1:12" x14ac:dyDescent="0.2">
      <c r="A199" t="s">
        <v>681</v>
      </c>
      <c r="B199" t="s">
        <v>636</v>
      </c>
      <c r="D199">
        <v>6</v>
      </c>
      <c r="E199" s="1">
        <v>42816</v>
      </c>
      <c r="F199" s="1">
        <v>43017</v>
      </c>
      <c r="G199">
        <f t="shared" si="7"/>
        <v>201</v>
      </c>
      <c r="H199" t="s">
        <v>461</v>
      </c>
      <c r="I199" t="s">
        <v>637</v>
      </c>
      <c r="J199">
        <v>-26.365555560000001</v>
      </c>
      <c r="K199">
        <v>135.79</v>
      </c>
      <c r="L199" t="s">
        <v>463</v>
      </c>
    </row>
    <row r="200" spans="1:12" x14ac:dyDescent="0.2">
      <c r="A200" t="s">
        <v>682</v>
      </c>
      <c r="B200" t="s">
        <v>636</v>
      </c>
      <c r="D200">
        <v>6</v>
      </c>
      <c r="E200" s="1">
        <v>42816</v>
      </c>
      <c r="F200" s="1">
        <v>43017</v>
      </c>
      <c r="G200">
        <f t="shared" si="7"/>
        <v>201</v>
      </c>
      <c r="H200" t="s">
        <v>461</v>
      </c>
      <c r="I200" t="s">
        <v>637</v>
      </c>
      <c r="J200">
        <v>-26.365555560000001</v>
      </c>
      <c r="K200">
        <v>135.79</v>
      </c>
      <c r="L200" t="s">
        <v>463</v>
      </c>
    </row>
    <row r="201" spans="1:12" x14ac:dyDescent="0.2">
      <c r="A201" t="s">
        <v>683</v>
      </c>
      <c r="B201" t="s">
        <v>636</v>
      </c>
      <c r="D201">
        <v>6</v>
      </c>
      <c r="E201" s="1">
        <v>42816</v>
      </c>
      <c r="F201" s="1">
        <v>43017</v>
      </c>
      <c r="G201">
        <f t="shared" si="7"/>
        <v>201</v>
      </c>
      <c r="H201" t="s">
        <v>461</v>
      </c>
      <c r="I201" t="s">
        <v>637</v>
      </c>
      <c r="J201">
        <v>-26.365555560000001</v>
      </c>
      <c r="K201">
        <v>135.79</v>
      </c>
      <c r="L201" t="s">
        <v>463</v>
      </c>
    </row>
    <row r="202" spans="1:12" x14ac:dyDescent="0.2">
      <c r="A202" t="s">
        <v>684</v>
      </c>
      <c r="B202" t="s">
        <v>636</v>
      </c>
      <c r="D202">
        <v>6</v>
      </c>
      <c r="E202" s="1">
        <v>42816</v>
      </c>
      <c r="F202" s="1">
        <v>43017</v>
      </c>
      <c r="G202">
        <f t="shared" si="7"/>
        <v>201</v>
      </c>
      <c r="H202" t="s">
        <v>461</v>
      </c>
      <c r="I202" t="s">
        <v>637</v>
      </c>
      <c r="J202">
        <v>-26.365555560000001</v>
      </c>
      <c r="K202">
        <v>135.79</v>
      </c>
      <c r="L202" t="s">
        <v>463</v>
      </c>
    </row>
    <row r="203" spans="1:12" x14ac:dyDescent="0.2">
      <c r="A203" t="s">
        <v>685</v>
      </c>
      <c r="B203" t="s">
        <v>636</v>
      </c>
      <c r="D203">
        <v>6</v>
      </c>
      <c r="E203" s="1">
        <v>42816</v>
      </c>
      <c r="F203" s="1">
        <v>43017</v>
      </c>
      <c r="G203">
        <f t="shared" si="7"/>
        <v>201</v>
      </c>
      <c r="H203" t="s">
        <v>461</v>
      </c>
      <c r="I203" t="s">
        <v>637</v>
      </c>
      <c r="J203">
        <v>-26.365555560000001</v>
      </c>
      <c r="K203">
        <v>135.79</v>
      </c>
      <c r="L203" t="s">
        <v>463</v>
      </c>
    </row>
    <row r="204" spans="1:12" x14ac:dyDescent="0.2">
      <c r="A204" t="s">
        <v>686</v>
      </c>
      <c r="B204" t="s">
        <v>636</v>
      </c>
      <c r="D204">
        <v>6</v>
      </c>
      <c r="E204" s="1">
        <v>42816</v>
      </c>
      <c r="F204" s="1">
        <v>43017</v>
      </c>
      <c r="G204">
        <f t="shared" si="7"/>
        <v>201</v>
      </c>
      <c r="H204" t="s">
        <v>461</v>
      </c>
      <c r="I204" t="s">
        <v>637</v>
      </c>
      <c r="J204">
        <v>-26.365555560000001</v>
      </c>
      <c r="K204">
        <v>135.79</v>
      </c>
      <c r="L204" t="s">
        <v>463</v>
      </c>
    </row>
    <row r="205" spans="1:12" x14ac:dyDescent="0.2">
      <c r="A205" t="s">
        <v>687</v>
      </c>
      <c r="B205" t="s">
        <v>636</v>
      </c>
      <c r="D205">
        <v>6</v>
      </c>
      <c r="E205" s="1">
        <v>42816</v>
      </c>
      <c r="F205" s="1">
        <v>43017</v>
      </c>
      <c r="G205">
        <f t="shared" si="7"/>
        <v>201</v>
      </c>
      <c r="H205" t="s">
        <v>461</v>
      </c>
      <c r="I205" t="s">
        <v>637</v>
      </c>
      <c r="J205">
        <v>-26.365555560000001</v>
      </c>
      <c r="K205">
        <v>135.79</v>
      </c>
      <c r="L205" t="s">
        <v>463</v>
      </c>
    </row>
    <row r="206" spans="1:12" x14ac:dyDescent="0.2">
      <c r="A206" t="s">
        <v>688</v>
      </c>
      <c r="B206" t="s">
        <v>636</v>
      </c>
      <c r="D206">
        <v>6</v>
      </c>
      <c r="E206" s="1">
        <v>42816</v>
      </c>
      <c r="F206" s="1">
        <v>43017</v>
      </c>
      <c r="G206">
        <f t="shared" si="7"/>
        <v>201</v>
      </c>
      <c r="H206" t="s">
        <v>461</v>
      </c>
      <c r="I206" t="s">
        <v>637</v>
      </c>
      <c r="J206">
        <v>-26.365555560000001</v>
      </c>
      <c r="K206">
        <v>135.79</v>
      </c>
      <c r="L206" t="s">
        <v>463</v>
      </c>
    </row>
    <row r="207" spans="1:12" x14ac:dyDescent="0.2">
      <c r="A207" t="s">
        <v>689</v>
      </c>
      <c r="B207" t="s">
        <v>636</v>
      </c>
      <c r="D207">
        <v>6</v>
      </c>
      <c r="E207" s="1">
        <v>42816</v>
      </c>
      <c r="F207" s="1">
        <v>43017</v>
      </c>
      <c r="G207">
        <f t="shared" si="7"/>
        <v>201</v>
      </c>
      <c r="H207" t="s">
        <v>461</v>
      </c>
      <c r="I207" t="s">
        <v>637</v>
      </c>
      <c r="J207">
        <v>-26.365555560000001</v>
      </c>
      <c r="K207">
        <v>135.79</v>
      </c>
      <c r="L207" t="s">
        <v>463</v>
      </c>
    </row>
    <row r="208" spans="1:12" x14ac:dyDescent="0.2">
      <c r="A208" t="s">
        <v>690</v>
      </c>
      <c r="B208" t="s">
        <v>636</v>
      </c>
      <c r="D208">
        <v>6</v>
      </c>
      <c r="E208" s="1">
        <v>42816</v>
      </c>
      <c r="F208" s="1">
        <v>43017</v>
      </c>
      <c r="G208">
        <f t="shared" si="7"/>
        <v>201</v>
      </c>
      <c r="H208" t="s">
        <v>461</v>
      </c>
      <c r="I208" t="s">
        <v>637</v>
      </c>
      <c r="J208">
        <v>-26.365555560000001</v>
      </c>
      <c r="K208">
        <v>135.79</v>
      </c>
      <c r="L208" t="s">
        <v>463</v>
      </c>
    </row>
    <row r="209" spans="1:12" x14ac:dyDescent="0.2">
      <c r="A209" t="s">
        <v>691</v>
      </c>
      <c r="B209" t="s">
        <v>636</v>
      </c>
      <c r="D209">
        <v>6</v>
      </c>
      <c r="E209" s="1">
        <v>42816</v>
      </c>
      <c r="F209" s="1">
        <v>43017</v>
      </c>
      <c r="G209">
        <f t="shared" si="7"/>
        <v>201</v>
      </c>
      <c r="H209" t="s">
        <v>461</v>
      </c>
      <c r="I209" t="s">
        <v>637</v>
      </c>
      <c r="J209">
        <v>-26.365555560000001</v>
      </c>
      <c r="K209">
        <v>135.79</v>
      </c>
      <c r="L209" t="s">
        <v>463</v>
      </c>
    </row>
    <row r="210" spans="1:12" x14ac:dyDescent="0.2">
      <c r="A210" t="s">
        <v>692</v>
      </c>
      <c r="B210" t="s">
        <v>636</v>
      </c>
      <c r="D210">
        <v>6</v>
      </c>
      <c r="E210" s="1">
        <v>42816</v>
      </c>
      <c r="F210" s="1">
        <v>43017</v>
      </c>
      <c r="G210">
        <f t="shared" si="7"/>
        <v>201</v>
      </c>
      <c r="H210" t="s">
        <v>461</v>
      </c>
      <c r="I210" t="s">
        <v>637</v>
      </c>
      <c r="J210">
        <v>-26.365555560000001</v>
      </c>
      <c r="K210">
        <v>135.79</v>
      </c>
      <c r="L210" t="s">
        <v>463</v>
      </c>
    </row>
    <row r="211" spans="1:12" x14ac:dyDescent="0.2">
      <c r="A211" t="s">
        <v>693</v>
      </c>
      <c r="B211" t="s">
        <v>636</v>
      </c>
      <c r="D211">
        <v>6</v>
      </c>
      <c r="E211" s="1">
        <v>42816</v>
      </c>
      <c r="F211" s="1">
        <v>43017</v>
      </c>
      <c r="G211">
        <f t="shared" si="7"/>
        <v>201</v>
      </c>
      <c r="H211" t="s">
        <v>461</v>
      </c>
      <c r="I211" t="s">
        <v>637</v>
      </c>
      <c r="J211">
        <v>-26.365555560000001</v>
      </c>
      <c r="K211">
        <v>135.79</v>
      </c>
      <c r="L211" t="s">
        <v>463</v>
      </c>
    </row>
    <row r="212" spans="1:12" x14ac:dyDescent="0.2">
      <c r="A212" t="s">
        <v>694</v>
      </c>
      <c r="B212" t="s">
        <v>636</v>
      </c>
      <c r="D212">
        <v>6</v>
      </c>
      <c r="E212" s="1">
        <v>42816</v>
      </c>
      <c r="F212" s="1">
        <v>43017</v>
      </c>
      <c r="G212">
        <f t="shared" si="7"/>
        <v>201</v>
      </c>
      <c r="H212" t="s">
        <v>461</v>
      </c>
      <c r="I212" t="s">
        <v>637</v>
      </c>
      <c r="J212">
        <v>-26.365555560000001</v>
      </c>
      <c r="K212">
        <v>135.79</v>
      </c>
      <c r="L212" t="s">
        <v>463</v>
      </c>
    </row>
    <row r="213" spans="1:12" x14ac:dyDescent="0.2">
      <c r="A213" t="s">
        <v>695</v>
      </c>
      <c r="B213" t="s">
        <v>636</v>
      </c>
      <c r="D213">
        <v>6</v>
      </c>
      <c r="E213" s="1">
        <v>42816</v>
      </c>
      <c r="F213" s="1">
        <v>43017</v>
      </c>
      <c r="G213">
        <f t="shared" si="7"/>
        <v>201</v>
      </c>
      <c r="H213" t="s">
        <v>461</v>
      </c>
      <c r="I213" t="s">
        <v>637</v>
      </c>
      <c r="J213">
        <v>-26.365555560000001</v>
      </c>
      <c r="K213">
        <v>135.79</v>
      </c>
      <c r="L213" t="s">
        <v>463</v>
      </c>
    </row>
    <row r="214" spans="1:12" x14ac:dyDescent="0.2">
      <c r="A214" t="s">
        <v>696</v>
      </c>
      <c r="B214" t="s">
        <v>636</v>
      </c>
      <c r="D214">
        <v>6</v>
      </c>
      <c r="E214" s="1">
        <v>42816</v>
      </c>
      <c r="F214" s="1">
        <v>43017</v>
      </c>
      <c r="G214">
        <f t="shared" si="7"/>
        <v>201</v>
      </c>
      <c r="H214" t="s">
        <v>461</v>
      </c>
      <c r="I214" t="s">
        <v>637</v>
      </c>
      <c r="J214">
        <v>-26.365555560000001</v>
      </c>
      <c r="K214">
        <v>135.79</v>
      </c>
      <c r="L214" t="s">
        <v>463</v>
      </c>
    </row>
    <row r="215" spans="1:12" x14ac:dyDescent="0.2">
      <c r="A215" t="s">
        <v>697</v>
      </c>
      <c r="B215" t="s">
        <v>636</v>
      </c>
      <c r="D215">
        <v>6</v>
      </c>
      <c r="E215" s="1">
        <v>42816</v>
      </c>
      <c r="F215" s="1">
        <v>43017</v>
      </c>
      <c r="G215">
        <f t="shared" si="7"/>
        <v>201</v>
      </c>
      <c r="H215" t="s">
        <v>461</v>
      </c>
      <c r="I215" t="s">
        <v>637</v>
      </c>
      <c r="J215">
        <v>-26.365555560000001</v>
      </c>
      <c r="K215">
        <v>135.79</v>
      </c>
      <c r="L215" t="s">
        <v>463</v>
      </c>
    </row>
    <row r="216" spans="1:12" x14ac:dyDescent="0.2">
      <c r="A216" t="s">
        <v>698</v>
      </c>
      <c r="B216" t="s">
        <v>636</v>
      </c>
      <c r="D216">
        <v>6</v>
      </c>
      <c r="E216" s="1">
        <v>42816</v>
      </c>
      <c r="F216" s="1">
        <v>43017</v>
      </c>
      <c r="G216">
        <f t="shared" si="7"/>
        <v>201</v>
      </c>
      <c r="H216" t="s">
        <v>461</v>
      </c>
      <c r="I216" t="s">
        <v>637</v>
      </c>
      <c r="J216">
        <v>-26.365555560000001</v>
      </c>
      <c r="K216">
        <v>135.79</v>
      </c>
      <c r="L216" t="s">
        <v>463</v>
      </c>
    </row>
    <row r="217" spans="1:12" x14ac:dyDescent="0.2">
      <c r="A217" t="s">
        <v>699</v>
      </c>
      <c r="B217" t="s">
        <v>636</v>
      </c>
      <c r="D217">
        <v>6</v>
      </c>
      <c r="E217" s="1">
        <v>42816</v>
      </c>
      <c r="F217" s="1">
        <v>43017</v>
      </c>
      <c r="G217">
        <f t="shared" si="7"/>
        <v>201</v>
      </c>
      <c r="H217" t="s">
        <v>461</v>
      </c>
      <c r="I217" t="s">
        <v>637</v>
      </c>
      <c r="J217">
        <v>-26.365555560000001</v>
      </c>
      <c r="K217">
        <v>135.79</v>
      </c>
      <c r="L217" t="s">
        <v>463</v>
      </c>
    </row>
    <row r="218" spans="1:12" x14ac:dyDescent="0.2">
      <c r="A218" t="s">
        <v>700</v>
      </c>
      <c r="B218" t="s">
        <v>636</v>
      </c>
      <c r="D218">
        <v>6</v>
      </c>
      <c r="E218" s="1">
        <v>42816</v>
      </c>
      <c r="F218" s="1">
        <v>43017</v>
      </c>
      <c r="G218">
        <f t="shared" si="7"/>
        <v>201</v>
      </c>
      <c r="H218" t="s">
        <v>461</v>
      </c>
      <c r="I218" t="s">
        <v>637</v>
      </c>
      <c r="J218">
        <v>-26.365555560000001</v>
      </c>
      <c r="K218">
        <v>135.79</v>
      </c>
      <c r="L218" t="s">
        <v>463</v>
      </c>
    </row>
    <row r="219" spans="1:12" x14ac:dyDescent="0.2">
      <c r="A219" t="s">
        <v>701</v>
      </c>
      <c r="B219" t="s">
        <v>636</v>
      </c>
      <c r="D219">
        <v>6</v>
      </c>
      <c r="E219" s="1">
        <v>42816</v>
      </c>
      <c r="F219" s="1">
        <v>43017</v>
      </c>
      <c r="G219">
        <f t="shared" si="7"/>
        <v>201</v>
      </c>
      <c r="H219" t="s">
        <v>461</v>
      </c>
      <c r="I219" t="s">
        <v>637</v>
      </c>
      <c r="J219">
        <v>-26.365555560000001</v>
      </c>
      <c r="K219">
        <v>135.79</v>
      </c>
      <c r="L219" t="s">
        <v>463</v>
      </c>
    </row>
    <row r="220" spans="1:12" x14ac:dyDescent="0.2">
      <c r="A220" t="s">
        <v>702</v>
      </c>
      <c r="B220" t="s">
        <v>636</v>
      </c>
      <c r="D220">
        <v>6</v>
      </c>
      <c r="E220" s="1">
        <v>42816</v>
      </c>
      <c r="F220" s="1">
        <v>43017</v>
      </c>
      <c r="G220">
        <f t="shared" si="7"/>
        <v>201</v>
      </c>
      <c r="H220" t="s">
        <v>461</v>
      </c>
      <c r="I220" t="s">
        <v>637</v>
      </c>
      <c r="J220">
        <v>-26.365555560000001</v>
      </c>
      <c r="K220">
        <v>135.79</v>
      </c>
      <c r="L220" t="s">
        <v>463</v>
      </c>
    </row>
    <row r="221" spans="1:12" x14ac:dyDescent="0.2">
      <c r="A221" t="s">
        <v>703</v>
      </c>
      <c r="B221" t="s">
        <v>636</v>
      </c>
      <c r="D221">
        <v>6</v>
      </c>
      <c r="E221" s="1">
        <v>42816</v>
      </c>
      <c r="F221" s="1">
        <v>43017</v>
      </c>
      <c r="G221">
        <f t="shared" si="7"/>
        <v>201</v>
      </c>
      <c r="H221" t="s">
        <v>461</v>
      </c>
      <c r="I221" t="s">
        <v>637</v>
      </c>
      <c r="J221">
        <v>-26.365555560000001</v>
      </c>
      <c r="K221">
        <v>135.79</v>
      </c>
      <c r="L221" t="s">
        <v>463</v>
      </c>
    </row>
    <row r="222" spans="1:12" x14ac:dyDescent="0.2">
      <c r="A222" t="s">
        <v>704</v>
      </c>
      <c r="B222" t="s">
        <v>636</v>
      </c>
      <c r="D222">
        <v>6</v>
      </c>
      <c r="E222" s="1">
        <v>42816</v>
      </c>
      <c r="F222" s="1">
        <v>43017</v>
      </c>
      <c r="G222">
        <f t="shared" si="7"/>
        <v>201</v>
      </c>
      <c r="H222" t="s">
        <v>461</v>
      </c>
      <c r="I222" t="s">
        <v>637</v>
      </c>
      <c r="J222">
        <v>-26.365555560000001</v>
      </c>
      <c r="K222">
        <v>135.79</v>
      </c>
      <c r="L222" t="s">
        <v>463</v>
      </c>
    </row>
    <row r="223" spans="1:12" x14ac:dyDescent="0.2">
      <c r="A223" t="s">
        <v>705</v>
      </c>
      <c r="B223" t="s">
        <v>636</v>
      </c>
      <c r="D223">
        <v>6</v>
      </c>
      <c r="E223" s="1">
        <v>42816</v>
      </c>
      <c r="F223" s="1">
        <v>43017</v>
      </c>
      <c r="G223">
        <f t="shared" si="7"/>
        <v>201</v>
      </c>
      <c r="H223" t="s">
        <v>461</v>
      </c>
      <c r="I223" t="s">
        <v>637</v>
      </c>
      <c r="J223">
        <v>-26.365555560000001</v>
      </c>
      <c r="K223">
        <v>135.79</v>
      </c>
      <c r="L223" t="s">
        <v>463</v>
      </c>
    </row>
    <row r="224" spans="1:12" x14ac:dyDescent="0.2">
      <c r="A224" t="s">
        <v>706</v>
      </c>
      <c r="B224" t="s">
        <v>636</v>
      </c>
      <c r="D224">
        <v>6</v>
      </c>
      <c r="E224" s="1">
        <v>42816</v>
      </c>
      <c r="F224" s="1">
        <v>43017</v>
      </c>
      <c r="G224">
        <f t="shared" si="7"/>
        <v>201</v>
      </c>
      <c r="H224" t="s">
        <v>461</v>
      </c>
      <c r="I224" t="s">
        <v>637</v>
      </c>
      <c r="J224">
        <v>-26.365555560000001</v>
      </c>
      <c r="K224">
        <v>135.79</v>
      </c>
      <c r="L224" t="s">
        <v>463</v>
      </c>
    </row>
    <row r="225" spans="1:12" x14ac:dyDescent="0.2">
      <c r="A225" t="s">
        <v>707</v>
      </c>
      <c r="B225" t="s">
        <v>636</v>
      </c>
      <c r="D225">
        <v>6</v>
      </c>
      <c r="E225" s="1">
        <v>42816</v>
      </c>
      <c r="F225" s="1">
        <v>43017</v>
      </c>
      <c r="G225">
        <f t="shared" si="7"/>
        <v>201</v>
      </c>
      <c r="H225" t="s">
        <v>461</v>
      </c>
      <c r="I225" t="s">
        <v>637</v>
      </c>
      <c r="J225">
        <v>-26.365555560000001</v>
      </c>
      <c r="K225">
        <v>135.79</v>
      </c>
      <c r="L225" t="s">
        <v>463</v>
      </c>
    </row>
    <row r="226" spans="1:12" x14ac:dyDescent="0.2">
      <c r="A226" t="s">
        <v>708</v>
      </c>
      <c r="B226" t="s">
        <v>636</v>
      </c>
      <c r="D226">
        <v>6</v>
      </c>
      <c r="E226" s="1">
        <v>42816</v>
      </c>
      <c r="F226" s="1">
        <v>43017</v>
      </c>
      <c r="G226">
        <f t="shared" si="7"/>
        <v>201</v>
      </c>
      <c r="H226" t="s">
        <v>461</v>
      </c>
      <c r="I226" t="s">
        <v>637</v>
      </c>
      <c r="J226">
        <v>-26.365555560000001</v>
      </c>
      <c r="K226">
        <v>135.79</v>
      </c>
      <c r="L226" t="s">
        <v>463</v>
      </c>
    </row>
    <row r="227" spans="1:12" x14ac:dyDescent="0.2">
      <c r="A227" t="s">
        <v>709</v>
      </c>
      <c r="B227" t="s">
        <v>636</v>
      </c>
      <c r="D227">
        <v>6</v>
      </c>
      <c r="E227" s="1">
        <v>42816</v>
      </c>
      <c r="F227" s="1">
        <v>43017</v>
      </c>
      <c r="G227">
        <f t="shared" si="7"/>
        <v>201</v>
      </c>
      <c r="H227" t="s">
        <v>461</v>
      </c>
      <c r="I227" t="s">
        <v>637</v>
      </c>
      <c r="J227">
        <v>-26.365555560000001</v>
      </c>
      <c r="K227">
        <v>135.79</v>
      </c>
      <c r="L227" t="s">
        <v>463</v>
      </c>
    </row>
    <row r="228" spans="1:12" x14ac:dyDescent="0.2">
      <c r="A228" t="s">
        <v>710</v>
      </c>
      <c r="B228" t="s">
        <v>636</v>
      </c>
      <c r="D228">
        <v>6</v>
      </c>
      <c r="E228" s="1">
        <v>42816</v>
      </c>
      <c r="F228" s="1">
        <v>43017</v>
      </c>
      <c r="G228">
        <f t="shared" si="7"/>
        <v>201</v>
      </c>
      <c r="H228" t="s">
        <v>461</v>
      </c>
      <c r="I228" t="s">
        <v>637</v>
      </c>
      <c r="J228">
        <v>-26.365555560000001</v>
      </c>
      <c r="K228">
        <v>135.79</v>
      </c>
      <c r="L228" t="s">
        <v>463</v>
      </c>
    </row>
    <row r="229" spans="1:12" x14ac:dyDescent="0.2">
      <c r="A229" t="s">
        <v>711</v>
      </c>
      <c r="B229" t="s">
        <v>636</v>
      </c>
      <c r="D229">
        <v>6</v>
      </c>
      <c r="E229" s="1">
        <v>42816</v>
      </c>
      <c r="F229" s="1">
        <v>43017</v>
      </c>
      <c r="G229">
        <f t="shared" si="7"/>
        <v>201</v>
      </c>
      <c r="H229" t="s">
        <v>461</v>
      </c>
      <c r="I229" t="s">
        <v>637</v>
      </c>
      <c r="J229">
        <v>-26.365555560000001</v>
      </c>
      <c r="K229">
        <v>135.79</v>
      </c>
      <c r="L229" t="s">
        <v>463</v>
      </c>
    </row>
    <row r="230" spans="1:12" x14ac:dyDescent="0.2">
      <c r="A230" t="s">
        <v>712</v>
      </c>
      <c r="B230" t="s">
        <v>636</v>
      </c>
      <c r="D230">
        <v>6</v>
      </c>
      <c r="E230" s="1">
        <v>42816</v>
      </c>
      <c r="F230" s="1">
        <v>43017</v>
      </c>
      <c r="G230">
        <f t="shared" si="7"/>
        <v>201</v>
      </c>
      <c r="H230" t="s">
        <v>461</v>
      </c>
      <c r="I230" t="s">
        <v>637</v>
      </c>
      <c r="J230">
        <v>-26.365555560000001</v>
      </c>
      <c r="K230">
        <v>135.79</v>
      </c>
      <c r="L230" t="s">
        <v>463</v>
      </c>
    </row>
    <row r="231" spans="1:12" x14ac:dyDescent="0.2">
      <c r="A231" t="s">
        <v>713</v>
      </c>
      <c r="B231" t="s">
        <v>636</v>
      </c>
      <c r="D231">
        <v>6</v>
      </c>
      <c r="E231" s="1">
        <v>42816</v>
      </c>
      <c r="F231" s="1">
        <v>43017</v>
      </c>
      <c r="G231">
        <f t="shared" si="7"/>
        <v>201</v>
      </c>
      <c r="H231" t="s">
        <v>461</v>
      </c>
      <c r="I231" t="s">
        <v>637</v>
      </c>
      <c r="J231">
        <v>-26.365555560000001</v>
      </c>
      <c r="K231">
        <v>135.79</v>
      </c>
      <c r="L231" t="s">
        <v>463</v>
      </c>
    </row>
    <row r="232" spans="1:12" x14ac:dyDescent="0.2">
      <c r="A232" t="s">
        <v>714</v>
      </c>
      <c r="B232" t="s">
        <v>636</v>
      </c>
      <c r="D232">
        <v>6</v>
      </c>
      <c r="E232" s="1">
        <v>42816</v>
      </c>
      <c r="F232" s="1">
        <v>43017</v>
      </c>
      <c r="G232">
        <f t="shared" si="7"/>
        <v>201</v>
      </c>
      <c r="H232" t="s">
        <v>461</v>
      </c>
      <c r="I232" t="s">
        <v>637</v>
      </c>
      <c r="J232">
        <v>-26.365555560000001</v>
      </c>
      <c r="K232">
        <v>135.79</v>
      </c>
      <c r="L232" t="s">
        <v>463</v>
      </c>
    </row>
    <row r="233" spans="1:12" x14ac:dyDescent="0.2">
      <c r="A233" t="s">
        <v>715</v>
      </c>
      <c r="B233" t="s">
        <v>636</v>
      </c>
      <c r="D233">
        <v>6</v>
      </c>
      <c r="E233" s="1">
        <v>42816</v>
      </c>
      <c r="F233" s="1">
        <v>43017</v>
      </c>
      <c r="G233">
        <f t="shared" si="7"/>
        <v>201</v>
      </c>
      <c r="H233" t="s">
        <v>461</v>
      </c>
      <c r="I233" t="s">
        <v>637</v>
      </c>
      <c r="J233">
        <v>-26.365555560000001</v>
      </c>
      <c r="K233">
        <v>135.79</v>
      </c>
      <c r="L233" t="s">
        <v>463</v>
      </c>
    </row>
    <row r="234" spans="1:12" x14ac:dyDescent="0.2">
      <c r="A234" t="s">
        <v>716</v>
      </c>
      <c r="B234" t="s">
        <v>636</v>
      </c>
      <c r="D234">
        <v>6</v>
      </c>
      <c r="E234" s="1">
        <v>42816</v>
      </c>
      <c r="F234" s="1">
        <v>43017</v>
      </c>
      <c r="G234">
        <f t="shared" si="7"/>
        <v>201</v>
      </c>
      <c r="H234" t="s">
        <v>461</v>
      </c>
      <c r="I234" t="s">
        <v>637</v>
      </c>
      <c r="J234">
        <v>-26.365555560000001</v>
      </c>
      <c r="K234">
        <v>135.79</v>
      </c>
      <c r="L234" t="s">
        <v>463</v>
      </c>
    </row>
    <row r="235" spans="1:12" x14ac:dyDescent="0.2">
      <c r="A235" t="s">
        <v>717</v>
      </c>
      <c r="B235" t="s">
        <v>636</v>
      </c>
      <c r="D235">
        <v>6</v>
      </c>
      <c r="E235" s="1">
        <v>42816</v>
      </c>
      <c r="F235" s="1">
        <v>43017</v>
      </c>
      <c r="G235">
        <f t="shared" si="7"/>
        <v>201</v>
      </c>
      <c r="H235" t="s">
        <v>461</v>
      </c>
      <c r="I235" t="s">
        <v>637</v>
      </c>
      <c r="J235">
        <v>-26.365555560000001</v>
      </c>
      <c r="K235">
        <v>135.79</v>
      </c>
      <c r="L235" t="s">
        <v>463</v>
      </c>
    </row>
    <row r="236" spans="1:12" x14ac:dyDescent="0.2">
      <c r="A236" t="s">
        <v>718</v>
      </c>
      <c r="B236" t="s">
        <v>636</v>
      </c>
      <c r="D236">
        <v>6</v>
      </c>
      <c r="E236" s="1">
        <v>42816</v>
      </c>
      <c r="F236" s="1">
        <v>43017</v>
      </c>
      <c r="G236">
        <f t="shared" si="7"/>
        <v>201</v>
      </c>
      <c r="H236" t="s">
        <v>461</v>
      </c>
      <c r="I236" t="s">
        <v>637</v>
      </c>
      <c r="J236">
        <v>-26.365555560000001</v>
      </c>
      <c r="K236">
        <v>135.79</v>
      </c>
      <c r="L236" t="s">
        <v>463</v>
      </c>
    </row>
    <row r="237" spans="1:12" x14ac:dyDescent="0.2">
      <c r="A237" t="s">
        <v>719</v>
      </c>
      <c r="B237" t="s">
        <v>636</v>
      </c>
      <c r="D237">
        <v>6</v>
      </c>
      <c r="E237" s="1">
        <v>42816</v>
      </c>
      <c r="F237" s="1">
        <v>43017</v>
      </c>
      <c r="G237">
        <f t="shared" si="7"/>
        <v>201</v>
      </c>
      <c r="H237" t="s">
        <v>461</v>
      </c>
      <c r="I237" t="s">
        <v>637</v>
      </c>
      <c r="J237">
        <v>-26.365555560000001</v>
      </c>
      <c r="K237">
        <v>135.79</v>
      </c>
      <c r="L237" t="s">
        <v>463</v>
      </c>
    </row>
    <row r="238" spans="1:12" x14ac:dyDescent="0.2">
      <c r="A238" t="s">
        <v>720</v>
      </c>
      <c r="B238" t="s">
        <v>636</v>
      </c>
      <c r="D238">
        <v>6</v>
      </c>
      <c r="E238" s="1">
        <v>42816</v>
      </c>
      <c r="F238" s="1">
        <v>43017</v>
      </c>
      <c r="G238">
        <f t="shared" si="7"/>
        <v>201</v>
      </c>
      <c r="H238" t="s">
        <v>461</v>
      </c>
      <c r="I238" t="s">
        <v>637</v>
      </c>
      <c r="J238">
        <v>-26.365555560000001</v>
      </c>
      <c r="K238">
        <v>135.79</v>
      </c>
      <c r="L238" t="s">
        <v>463</v>
      </c>
    </row>
    <row r="239" spans="1:12" x14ac:dyDescent="0.2">
      <c r="A239" t="s">
        <v>721</v>
      </c>
      <c r="B239" t="s">
        <v>636</v>
      </c>
      <c r="D239">
        <v>6</v>
      </c>
      <c r="E239" s="1">
        <v>42816</v>
      </c>
      <c r="F239" s="1">
        <v>43017</v>
      </c>
      <c r="G239">
        <f t="shared" si="7"/>
        <v>201</v>
      </c>
      <c r="H239" t="s">
        <v>461</v>
      </c>
      <c r="I239" t="s">
        <v>637</v>
      </c>
      <c r="J239">
        <v>-26.365555560000001</v>
      </c>
      <c r="K239">
        <v>135.79</v>
      </c>
      <c r="L239" t="s">
        <v>463</v>
      </c>
    </row>
    <row r="240" spans="1:12" x14ac:dyDescent="0.2">
      <c r="A240" t="s">
        <v>722</v>
      </c>
      <c r="B240" t="s">
        <v>636</v>
      </c>
      <c r="D240">
        <v>6</v>
      </c>
      <c r="E240" s="1">
        <v>42816</v>
      </c>
      <c r="F240" s="1">
        <v>43017</v>
      </c>
      <c r="G240">
        <f t="shared" si="7"/>
        <v>201</v>
      </c>
      <c r="H240" t="s">
        <v>461</v>
      </c>
      <c r="I240" t="s">
        <v>637</v>
      </c>
      <c r="J240">
        <v>-26.365555560000001</v>
      </c>
      <c r="K240">
        <v>135.79</v>
      </c>
      <c r="L240" t="s">
        <v>463</v>
      </c>
    </row>
    <row r="241" spans="1:12" x14ac:dyDescent="0.2">
      <c r="A241" t="s">
        <v>723</v>
      </c>
      <c r="B241" t="s">
        <v>636</v>
      </c>
      <c r="D241">
        <v>6</v>
      </c>
      <c r="E241" s="1">
        <v>42816</v>
      </c>
      <c r="F241" s="1">
        <v>43017</v>
      </c>
      <c r="G241">
        <f t="shared" si="7"/>
        <v>201</v>
      </c>
      <c r="H241" t="s">
        <v>461</v>
      </c>
      <c r="I241" t="s">
        <v>637</v>
      </c>
      <c r="J241">
        <v>-26.365555560000001</v>
      </c>
      <c r="K241">
        <v>135.79</v>
      </c>
      <c r="L241" t="s">
        <v>463</v>
      </c>
    </row>
    <row r="242" spans="1:12" x14ac:dyDescent="0.2">
      <c r="A242" t="s">
        <v>724</v>
      </c>
      <c r="B242" t="s">
        <v>636</v>
      </c>
      <c r="D242">
        <v>6</v>
      </c>
      <c r="E242" s="1">
        <v>42816</v>
      </c>
      <c r="F242" s="1">
        <v>43017</v>
      </c>
      <c r="G242">
        <f t="shared" si="7"/>
        <v>201</v>
      </c>
      <c r="H242" t="s">
        <v>461</v>
      </c>
      <c r="I242" t="s">
        <v>637</v>
      </c>
      <c r="J242">
        <v>-26.365555560000001</v>
      </c>
      <c r="K242">
        <v>135.79</v>
      </c>
      <c r="L242" t="s">
        <v>463</v>
      </c>
    </row>
    <row r="243" spans="1:12" x14ac:dyDescent="0.2">
      <c r="A243" t="s">
        <v>725</v>
      </c>
      <c r="B243" t="s">
        <v>636</v>
      </c>
      <c r="D243">
        <v>6</v>
      </c>
      <c r="E243" s="1">
        <v>42816</v>
      </c>
      <c r="F243" s="1">
        <v>43017</v>
      </c>
      <c r="G243">
        <f t="shared" si="7"/>
        <v>201</v>
      </c>
      <c r="H243" t="s">
        <v>461</v>
      </c>
      <c r="I243" t="s">
        <v>637</v>
      </c>
      <c r="J243">
        <v>-26.365555560000001</v>
      </c>
      <c r="K243">
        <v>135.79</v>
      </c>
      <c r="L243" t="s">
        <v>463</v>
      </c>
    </row>
    <row r="244" spans="1:12" x14ac:dyDescent="0.2">
      <c r="A244" t="s">
        <v>726</v>
      </c>
      <c r="B244" t="s">
        <v>636</v>
      </c>
      <c r="D244">
        <v>6</v>
      </c>
      <c r="E244" s="1">
        <v>42816</v>
      </c>
      <c r="F244" s="1">
        <v>43017</v>
      </c>
      <c r="G244">
        <f t="shared" si="7"/>
        <v>201</v>
      </c>
      <c r="H244" t="s">
        <v>461</v>
      </c>
      <c r="I244" t="s">
        <v>637</v>
      </c>
      <c r="J244">
        <v>-26.365555560000001</v>
      </c>
      <c r="K244">
        <v>135.79</v>
      </c>
      <c r="L244" t="s">
        <v>463</v>
      </c>
    </row>
    <row r="245" spans="1:12" x14ac:dyDescent="0.2">
      <c r="A245" t="s">
        <v>727</v>
      </c>
      <c r="B245" t="s">
        <v>636</v>
      </c>
      <c r="D245">
        <v>6</v>
      </c>
      <c r="E245" s="1">
        <v>42816</v>
      </c>
      <c r="F245" s="1">
        <v>43017</v>
      </c>
      <c r="G245">
        <f t="shared" si="7"/>
        <v>201</v>
      </c>
      <c r="H245" t="s">
        <v>461</v>
      </c>
      <c r="I245" t="s">
        <v>637</v>
      </c>
      <c r="J245">
        <v>-26.365555560000001</v>
      </c>
      <c r="K245">
        <v>135.79</v>
      </c>
      <c r="L245" t="s">
        <v>463</v>
      </c>
    </row>
    <row r="246" spans="1:12" x14ac:dyDescent="0.2">
      <c r="A246" t="s">
        <v>728</v>
      </c>
      <c r="B246" t="s">
        <v>636</v>
      </c>
      <c r="D246">
        <v>6</v>
      </c>
      <c r="E246" s="1">
        <v>42816</v>
      </c>
      <c r="F246" s="1">
        <v>43017</v>
      </c>
      <c r="G246">
        <f t="shared" si="7"/>
        <v>201</v>
      </c>
      <c r="H246" t="s">
        <v>461</v>
      </c>
      <c r="I246" t="s">
        <v>637</v>
      </c>
      <c r="J246">
        <v>-26.365555560000001</v>
      </c>
      <c r="K246">
        <v>135.79</v>
      </c>
      <c r="L246" t="s">
        <v>463</v>
      </c>
    </row>
    <row r="247" spans="1:12" x14ac:dyDescent="0.2">
      <c r="A247" t="s">
        <v>729</v>
      </c>
      <c r="B247" t="s">
        <v>636</v>
      </c>
      <c r="D247">
        <v>6</v>
      </c>
      <c r="E247" s="1">
        <v>42816</v>
      </c>
      <c r="F247" s="1">
        <v>43017</v>
      </c>
      <c r="G247">
        <f t="shared" si="7"/>
        <v>201</v>
      </c>
      <c r="H247" t="s">
        <v>461</v>
      </c>
      <c r="I247" t="s">
        <v>637</v>
      </c>
      <c r="J247">
        <v>-26.365555560000001</v>
      </c>
      <c r="K247">
        <v>135.79</v>
      </c>
      <c r="L247" t="s">
        <v>463</v>
      </c>
    </row>
    <row r="248" spans="1:12" x14ac:dyDescent="0.2">
      <c r="A248" t="s">
        <v>730</v>
      </c>
      <c r="B248" t="s">
        <v>636</v>
      </c>
      <c r="D248">
        <v>6</v>
      </c>
      <c r="E248" s="1">
        <v>42816</v>
      </c>
      <c r="F248" s="1">
        <v>43017</v>
      </c>
      <c r="G248">
        <f t="shared" si="7"/>
        <v>201</v>
      </c>
      <c r="H248" t="s">
        <v>461</v>
      </c>
      <c r="I248" t="s">
        <v>637</v>
      </c>
      <c r="J248">
        <v>-26.365555560000001</v>
      </c>
      <c r="K248">
        <v>135.79</v>
      </c>
      <c r="L248" t="s">
        <v>463</v>
      </c>
    </row>
    <row r="249" spans="1:12" x14ac:dyDescent="0.2">
      <c r="A249" t="s">
        <v>731</v>
      </c>
      <c r="B249" t="s">
        <v>636</v>
      </c>
      <c r="D249">
        <v>6</v>
      </c>
      <c r="E249" s="1">
        <v>42816</v>
      </c>
      <c r="F249" s="1">
        <v>43017</v>
      </c>
      <c r="G249">
        <f t="shared" si="7"/>
        <v>201</v>
      </c>
      <c r="H249" t="s">
        <v>461</v>
      </c>
      <c r="I249" t="s">
        <v>637</v>
      </c>
      <c r="J249">
        <v>-26.365555560000001</v>
      </c>
      <c r="K249">
        <v>135.79</v>
      </c>
      <c r="L249" t="s">
        <v>463</v>
      </c>
    </row>
    <row r="250" spans="1:12" x14ac:dyDescent="0.2">
      <c r="A250" t="s">
        <v>732</v>
      </c>
      <c r="B250" t="s">
        <v>636</v>
      </c>
      <c r="D250">
        <v>6</v>
      </c>
      <c r="E250" s="1">
        <v>42816</v>
      </c>
      <c r="F250" s="1">
        <v>43017</v>
      </c>
      <c r="G250">
        <f t="shared" si="7"/>
        <v>201</v>
      </c>
      <c r="H250" t="s">
        <v>461</v>
      </c>
      <c r="I250" t="s">
        <v>637</v>
      </c>
      <c r="J250">
        <v>-26.365555560000001</v>
      </c>
      <c r="K250">
        <v>135.79</v>
      </c>
      <c r="L250" t="s">
        <v>463</v>
      </c>
    </row>
    <row r="251" spans="1:12" x14ac:dyDescent="0.2">
      <c r="A251" t="s">
        <v>733</v>
      </c>
      <c r="B251" t="s">
        <v>636</v>
      </c>
      <c r="D251">
        <v>6</v>
      </c>
      <c r="E251" s="1">
        <v>42816</v>
      </c>
      <c r="F251" s="1">
        <v>43017</v>
      </c>
      <c r="G251">
        <f t="shared" si="7"/>
        <v>201</v>
      </c>
      <c r="H251" t="s">
        <v>461</v>
      </c>
      <c r="I251" t="s">
        <v>637</v>
      </c>
      <c r="J251">
        <v>-26.365555560000001</v>
      </c>
      <c r="K251">
        <v>135.79</v>
      </c>
      <c r="L251" t="s">
        <v>463</v>
      </c>
    </row>
    <row r="252" spans="1:12" x14ac:dyDescent="0.2">
      <c r="A252" t="s">
        <v>734</v>
      </c>
      <c r="B252" t="s">
        <v>636</v>
      </c>
      <c r="D252">
        <v>6</v>
      </c>
      <c r="E252" s="1">
        <v>42816</v>
      </c>
      <c r="F252" s="1">
        <v>43017</v>
      </c>
      <c r="G252">
        <f t="shared" si="7"/>
        <v>201</v>
      </c>
      <c r="H252" t="s">
        <v>461</v>
      </c>
      <c r="I252" t="s">
        <v>637</v>
      </c>
      <c r="J252">
        <v>-26.365555560000001</v>
      </c>
      <c r="K252">
        <v>135.79</v>
      </c>
      <c r="L252" t="s">
        <v>463</v>
      </c>
    </row>
    <row r="253" spans="1:12" x14ac:dyDescent="0.2">
      <c r="A253" t="s">
        <v>735</v>
      </c>
      <c r="B253" t="s">
        <v>636</v>
      </c>
      <c r="D253">
        <v>6</v>
      </c>
      <c r="E253" s="1">
        <v>42816</v>
      </c>
      <c r="F253" s="1">
        <v>43017</v>
      </c>
      <c r="G253">
        <f t="shared" si="7"/>
        <v>201</v>
      </c>
      <c r="H253" t="s">
        <v>461</v>
      </c>
      <c r="I253" t="s">
        <v>637</v>
      </c>
      <c r="J253">
        <v>-26.365555560000001</v>
      </c>
      <c r="K253">
        <v>135.79</v>
      </c>
      <c r="L253" t="s">
        <v>463</v>
      </c>
    </row>
    <row r="254" spans="1:12" x14ac:dyDescent="0.2">
      <c r="A254" t="s">
        <v>736</v>
      </c>
      <c r="B254" t="s">
        <v>636</v>
      </c>
      <c r="D254">
        <v>6</v>
      </c>
      <c r="E254" s="1">
        <v>42816</v>
      </c>
      <c r="F254" s="1">
        <v>43017</v>
      </c>
      <c r="G254">
        <f t="shared" si="7"/>
        <v>201</v>
      </c>
      <c r="H254" t="s">
        <v>461</v>
      </c>
      <c r="I254" t="s">
        <v>637</v>
      </c>
      <c r="J254">
        <v>-26.365555560000001</v>
      </c>
      <c r="K254">
        <v>135.79</v>
      </c>
      <c r="L254" t="s">
        <v>463</v>
      </c>
    </row>
    <row r="255" spans="1:12" x14ac:dyDescent="0.2">
      <c r="A255" t="s">
        <v>737</v>
      </c>
      <c r="B255" t="s">
        <v>636</v>
      </c>
      <c r="D255">
        <v>6</v>
      </c>
      <c r="E255" s="1">
        <v>42816</v>
      </c>
      <c r="F255" s="1">
        <v>43017</v>
      </c>
      <c r="G255">
        <f t="shared" si="7"/>
        <v>201</v>
      </c>
      <c r="H255" t="s">
        <v>461</v>
      </c>
      <c r="I255" t="s">
        <v>637</v>
      </c>
      <c r="J255">
        <v>-26.365555560000001</v>
      </c>
      <c r="K255">
        <v>135.79</v>
      </c>
      <c r="L255" t="s">
        <v>463</v>
      </c>
    </row>
    <row r="256" spans="1:12" x14ac:dyDescent="0.2">
      <c r="A256" t="s">
        <v>738</v>
      </c>
      <c r="B256" t="s">
        <v>636</v>
      </c>
      <c r="D256">
        <v>6</v>
      </c>
      <c r="E256" s="1">
        <v>42816</v>
      </c>
      <c r="F256" s="1">
        <v>43017</v>
      </c>
      <c r="G256">
        <f t="shared" si="7"/>
        <v>201</v>
      </c>
      <c r="H256" t="s">
        <v>461</v>
      </c>
      <c r="I256" t="s">
        <v>637</v>
      </c>
      <c r="J256">
        <v>-26.365555560000001</v>
      </c>
      <c r="K256">
        <v>135.79</v>
      </c>
      <c r="L256" t="s">
        <v>463</v>
      </c>
    </row>
    <row r="257" spans="1:12" x14ac:dyDescent="0.2">
      <c r="A257" t="s">
        <v>739</v>
      </c>
      <c r="B257" t="s">
        <v>636</v>
      </c>
      <c r="D257">
        <v>6</v>
      </c>
      <c r="E257" s="1">
        <v>42816</v>
      </c>
      <c r="F257" s="1">
        <v>43017</v>
      </c>
      <c r="G257">
        <f t="shared" si="7"/>
        <v>201</v>
      </c>
      <c r="H257" t="s">
        <v>461</v>
      </c>
      <c r="I257" t="s">
        <v>637</v>
      </c>
      <c r="J257">
        <v>-26.365555560000001</v>
      </c>
      <c r="K257">
        <v>135.79</v>
      </c>
      <c r="L257" t="s">
        <v>463</v>
      </c>
    </row>
    <row r="258" spans="1:12" x14ac:dyDescent="0.2">
      <c r="A258" t="s">
        <v>740</v>
      </c>
      <c r="B258" t="s">
        <v>636</v>
      </c>
      <c r="D258">
        <v>6</v>
      </c>
      <c r="E258" s="1">
        <v>42816</v>
      </c>
      <c r="F258" s="1">
        <v>43017</v>
      </c>
      <c r="G258">
        <f t="shared" si="7"/>
        <v>201</v>
      </c>
      <c r="H258" t="s">
        <v>461</v>
      </c>
      <c r="I258" t="s">
        <v>637</v>
      </c>
      <c r="J258">
        <v>-26.365555560000001</v>
      </c>
      <c r="K258">
        <v>135.79</v>
      </c>
      <c r="L258" t="s">
        <v>463</v>
      </c>
    </row>
    <row r="259" spans="1:12" x14ac:dyDescent="0.2">
      <c r="A259" t="s">
        <v>741</v>
      </c>
      <c r="B259" t="s">
        <v>636</v>
      </c>
      <c r="D259">
        <v>6</v>
      </c>
      <c r="E259" s="1">
        <v>42816</v>
      </c>
      <c r="F259" s="1">
        <v>43017</v>
      </c>
      <c r="G259">
        <f t="shared" si="7"/>
        <v>201</v>
      </c>
      <c r="H259" t="s">
        <v>461</v>
      </c>
      <c r="I259" t="s">
        <v>637</v>
      </c>
      <c r="J259">
        <v>-26.365555560000001</v>
      </c>
      <c r="K259">
        <v>135.79</v>
      </c>
      <c r="L259" t="s">
        <v>463</v>
      </c>
    </row>
    <row r="260" spans="1:12" x14ac:dyDescent="0.2">
      <c r="A260" t="s">
        <v>742</v>
      </c>
      <c r="B260" t="s">
        <v>636</v>
      </c>
      <c r="D260">
        <v>6</v>
      </c>
      <c r="E260" s="1">
        <v>42816</v>
      </c>
      <c r="F260" s="1">
        <v>43017</v>
      </c>
      <c r="G260">
        <f t="shared" ref="G260:G323" si="8">F260-E260</f>
        <v>201</v>
      </c>
      <c r="H260" t="s">
        <v>461</v>
      </c>
      <c r="I260" t="s">
        <v>637</v>
      </c>
      <c r="J260">
        <v>-26.365555560000001</v>
      </c>
      <c r="K260">
        <v>135.79</v>
      </c>
      <c r="L260" t="s">
        <v>463</v>
      </c>
    </row>
    <row r="261" spans="1:12" x14ac:dyDescent="0.2">
      <c r="A261" t="s">
        <v>743</v>
      </c>
      <c r="B261" t="s">
        <v>636</v>
      </c>
      <c r="D261">
        <v>6</v>
      </c>
      <c r="E261" s="1">
        <v>42816</v>
      </c>
      <c r="F261" s="1">
        <v>43017</v>
      </c>
      <c r="G261">
        <f t="shared" si="8"/>
        <v>201</v>
      </c>
      <c r="H261" t="s">
        <v>461</v>
      </c>
      <c r="I261" t="s">
        <v>637</v>
      </c>
      <c r="J261">
        <v>-26.365555560000001</v>
      </c>
      <c r="K261">
        <v>135.79</v>
      </c>
      <c r="L261" t="s">
        <v>463</v>
      </c>
    </row>
    <row r="262" spans="1:12" x14ac:dyDescent="0.2">
      <c r="A262" t="s">
        <v>744</v>
      </c>
      <c r="B262" t="s">
        <v>636</v>
      </c>
      <c r="D262">
        <v>6</v>
      </c>
      <c r="E262" s="1">
        <v>42816</v>
      </c>
      <c r="F262" s="1">
        <v>43017</v>
      </c>
      <c r="G262">
        <f t="shared" si="8"/>
        <v>201</v>
      </c>
      <c r="H262" t="s">
        <v>461</v>
      </c>
      <c r="I262" t="s">
        <v>637</v>
      </c>
      <c r="J262">
        <v>-26.365555560000001</v>
      </c>
      <c r="K262">
        <v>135.79</v>
      </c>
      <c r="L262" t="s">
        <v>463</v>
      </c>
    </row>
    <row r="263" spans="1:12" x14ac:dyDescent="0.2">
      <c r="A263" t="s">
        <v>745</v>
      </c>
      <c r="B263" t="s">
        <v>636</v>
      </c>
      <c r="D263">
        <v>6</v>
      </c>
      <c r="E263" s="1">
        <v>42816</v>
      </c>
      <c r="F263" s="1">
        <v>43017</v>
      </c>
      <c r="G263">
        <f t="shared" si="8"/>
        <v>201</v>
      </c>
      <c r="H263" t="s">
        <v>461</v>
      </c>
      <c r="I263" t="s">
        <v>637</v>
      </c>
      <c r="J263">
        <v>-26.365555560000001</v>
      </c>
      <c r="K263">
        <v>135.79</v>
      </c>
      <c r="L263" t="s">
        <v>463</v>
      </c>
    </row>
    <row r="264" spans="1:12" x14ac:dyDescent="0.2">
      <c r="A264" t="s">
        <v>746</v>
      </c>
      <c r="B264" t="s">
        <v>636</v>
      </c>
      <c r="D264">
        <v>6</v>
      </c>
      <c r="E264" s="1">
        <v>42816</v>
      </c>
      <c r="F264" s="1">
        <v>43017</v>
      </c>
      <c r="G264">
        <f t="shared" si="8"/>
        <v>201</v>
      </c>
      <c r="H264" t="s">
        <v>461</v>
      </c>
      <c r="I264" t="s">
        <v>637</v>
      </c>
      <c r="J264">
        <v>-26.365555560000001</v>
      </c>
      <c r="K264">
        <v>135.79</v>
      </c>
      <c r="L264" t="s">
        <v>463</v>
      </c>
    </row>
    <row r="265" spans="1:12" x14ac:dyDescent="0.2">
      <c r="A265" t="s">
        <v>747</v>
      </c>
      <c r="B265" t="s">
        <v>636</v>
      </c>
      <c r="D265">
        <v>6</v>
      </c>
      <c r="E265" s="1">
        <v>42816</v>
      </c>
      <c r="F265" s="1">
        <v>43017</v>
      </c>
      <c r="G265">
        <f t="shared" si="8"/>
        <v>201</v>
      </c>
      <c r="H265" t="s">
        <v>461</v>
      </c>
      <c r="I265" t="s">
        <v>637</v>
      </c>
      <c r="J265">
        <v>-26.365555560000001</v>
      </c>
      <c r="K265">
        <v>135.79</v>
      </c>
      <c r="L265" t="s">
        <v>463</v>
      </c>
    </row>
    <row r="266" spans="1:12" x14ac:dyDescent="0.2">
      <c r="A266" t="s">
        <v>748</v>
      </c>
      <c r="B266" t="s">
        <v>636</v>
      </c>
      <c r="D266">
        <v>6</v>
      </c>
      <c r="E266" s="1">
        <v>42816</v>
      </c>
      <c r="F266" s="1">
        <v>43017</v>
      </c>
      <c r="G266">
        <f t="shared" si="8"/>
        <v>201</v>
      </c>
      <c r="H266" t="s">
        <v>461</v>
      </c>
      <c r="I266" t="s">
        <v>637</v>
      </c>
      <c r="J266">
        <v>-26.365555560000001</v>
      </c>
      <c r="K266">
        <v>135.79</v>
      </c>
      <c r="L266" t="s">
        <v>463</v>
      </c>
    </row>
    <row r="267" spans="1:12" x14ac:dyDescent="0.2">
      <c r="A267" t="s">
        <v>749</v>
      </c>
      <c r="B267" t="s">
        <v>636</v>
      </c>
      <c r="D267">
        <v>6</v>
      </c>
      <c r="E267" s="1">
        <v>42816</v>
      </c>
      <c r="F267" s="1">
        <v>43017</v>
      </c>
      <c r="G267">
        <f t="shared" si="8"/>
        <v>201</v>
      </c>
      <c r="H267" t="s">
        <v>461</v>
      </c>
      <c r="I267" t="s">
        <v>637</v>
      </c>
      <c r="J267">
        <v>-26.365555560000001</v>
      </c>
      <c r="K267">
        <v>135.79</v>
      </c>
      <c r="L267" t="s">
        <v>463</v>
      </c>
    </row>
    <row r="268" spans="1:12" x14ac:dyDescent="0.2">
      <c r="A268" t="s">
        <v>750</v>
      </c>
      <c r="B268" t="s">
        <v>636</v>
      </c>
      <c r="D268">
        <v>6</v>
      </c>
      <c r="E268" s="1">
        <v>42816</v>
      </c>
      <c r="F268" s="1">
        <v>43017</v>
      </c>
      <c r="G268">
        <f t="shared" si="8"/>
        <v>201</v>
      </c>
      <c r="H268" t="s">
        <v>461</v>
      </c>
      <c r="I268" t="s">
        <v>637</v>
      </c>
      <c r="J268">
        <v>-26.365555560000001</v>
      </c>
      <c r="K268">
        <v>135.79</v>
      </c>
      <c r="L268" t="s">
        <v>463</v>
      </c>
    </row>
    <row r="269" spans="1:12" x14ac:dyDescent="0.2">
      <c r="A269" t="s">
        <v>751</v>
      </c>
      <c r="B269" t="s">
        <v>636</v>
      </c>
      <c r="D269">
        <v>6</v>
      </c>
      <c r="E269" s="1">
        <v>42816</v>
      </c>
      <c r="F269" s="1">
        <v>43017</v>
      </c>
      <c r="G269">
        <f t="shared" si="8"/>
        <v>201</v>
      </c>
      <c r="H269" t="s">
        <v>461</v>
      </c>
      <c r="I269" t="s">
        <v>637</v>
      </c>
      <c r="J269">
        <v>-26.365555560000001</v>
      </c>
      <c r="K269">
        <v>135.79</v>
      </c>
      <c r="L269" t="s">
        <v>463</v>
      </c>
    </row>
    <row r="270" spans="1:12" x14ac:dyDescent="0.2">
      <c r="A270" t="s">
        <v>752</v>
      </c>
      <c r="B270" t="s">
        <v>636</v>
      </c>
      <c r="D270">
        <v>6</v>
      </c>
      <c r="E270" s="1">
        <v>42816</v>
      </c>
      <c r="F270" s="1">
        <v>43017</v>
      </c>
      <c r="G270">
        <f t="shared" si="8"/>
        <v>201</v>
      </c>
      <c r="H270" t="s">
        <v>461</v>
      </c>
      <c r="I270" t="s">
        <v>637</v>
      </c>
      <c r="J270">
        <v>-26.365555560000001</v>
      </c>
      <c r="K270">
        <v>135.79</v>
      </c>
      <c r="L270" t="s">
        <v>463</v>
      </c>
    </row>
    <row r="271" spans="1:12" x14ac:dyDescent="0.2">
      <c r="A271" t="s">
        <v>753</v>
      </c>
      <c r="B271" t="s">
        <v>636</v>
      </c>
      <c r="D271">
        <v>6</v>
      </c>
      <c r="E271" s="1">
        <v>42816</v>
      </c>
      <c r="F271" s="1">
        <v>43017</v>
      </c>
      <c r="G271">
        <f t="shared" si="8"/>
        <v>201</v>
      </c>
      <c r="H271" t="s">
        <v>461</v>
      </c>
      <c r="I271" t="s">
        <v>637</v>
      </c>
      <c r="J271">
        <v>-26.365555560000001</v>
      </c>
      <c r="K271">
        <v>135.79</v>
      </c>
      <c r="L271" t="s">
        <v>463</v>
      </c>
    </row>
    <row r="272" spans="1:12" x14ac:dyDescent="0.2">
      <c r="A272" t="s">
        <v>754</v>
      </c>
      <c r="B272" t="s">
        <v>636</v>
      </c>
      <c r="D272">
        <v>6</v>
      </c>
      <c r="E272" s="1">
        <v>42816</v>
      </c>
      <c r="F272" s="1">
        <v>43017</v>
      </c>
      <c r="G272">
        <f t="shared" si="8"/>
        <v>201</v>
      </c>
      <c r="H272" t="s">
        <v>461</v>
      </c>
      <c r="I272" t="s">
        <v>637</v>
      </c>
      <c r="J272">
        <v>-26.365555560000001</v>
      </c>
      <c r="K272">
        <v>135.79</v>
      </c>
      <c r="L272" t="s">
        <v>463</v>
      </c>
    </row>
    <row r="273" spans="1:12" x14ac:dyDescent="0.2">
      <c r="A273" t="s">
        <v>755</v>
      </c>
      <c r="B273" t="s">
        <v>636</v>
      </c>
      <c r="D273">
        <v>6</v>
      </c>
      <c r="E273" s="1">
        <v>42816</v>
      </c>
      <c r="F273" s="1">
        <v>43017</v>
      </c>
      <c r="G273">
        <f t="shared" si="8"/>
        <v>201</v>
      </c>
      <c r="H273" t="s">
        <v>461</v>
      </c>
      <c r="I273" t="s">
        <v>637</v>
      </c>
      <c r="J273">
        <v>-26.365555560000001</v>
      </c>
      <c r="K273">
        <v>135.79</v>
      </c>
      <c r="L273" t="s">
        <v>463</v>
      </c>
    </row>
    <row r="274" spans="1:12" x14ac:dyDescent="0.2">
      <c r="A274" t="s">
        <v>756</v>
      </c>
      <c r="B274" t="s">
        <v>636</v>
      </c>
      <c r="D274">
        <v>6</v>
      </c>
      <c r="E274" s="1">
        <v>42816</v>
      </c>
      <c r="F274" s="1">
        <v>43017</v>
      </c>
      <c r="G274">
        <f t="shared" si="8"/>
        <v>201</v>
      </c>
      <c r="H274" t="s">
        <v>461</v>
      </c>
      <c r="I274" t="s">
        <v>637</v>
      </c>
      <c r="J274">
        <v>-26.365555560000001</v>
      </c>
      <c r="K274">
        <v>135.79</v>
      </c>
      <c r="L274" t="s">
        <v>463</v>
      </c>
    </row>
    <row r="275" spans="1:12" x14ac:dyDescent="0.2">
      <c r="A275" t="s">
        <v>757</v>
      </c>
      <c r="B275" t="s">
        <v>636</v>
      </c>
      <c r="D275">
        <v>6</v>
      </c>
      <c r="E275" s="1">
        <v>42816</v>
      </c>
      <c r="F275" s="1">
        <v>43017</v>
      </c>
      <c r="G275">
        <f t="shared" si="8"/>
        <v>201</v>
      </c>
      <c r="H275" t="s">
        <v>461</v>
      </c>
      <c r="I275" t="s">
        <v>637</v>
      </c>
      <c r="J275">
        <v>-26.365555560000001</v>
      </c>
      <c r="K275">
        <v>135.79</v>
      </c>
      <c r="L275" t="s">
        <v>463</v>
      </c>
    </row>
    <row r="276" spans="1:12" x14ac:dyDescent="0.2">
      <c r="A276" t="s">
        <v>758</v>
      </c>
      <c r="B276" t="s">
        <v>636</v>
      </c>
      <c r="D276">
        <v>6</v>
      </c>
      <c r="E276" s="1">
        <v>42816</v>
      </c>
      <c r="F276" s="1">
        <v>43017</v>
      </c>
      <c r="G276">
        <f t="shared" si="8"/>
        <v>201</v>
      </c>
      <c r="H276" t="s">
        <v>461</v>
      </c>
      <c r="I276" t="s">
        <v>637</v>
      </c>
      <c r="J276">
        <v>-26.365555560000001</v>
      </c>
      <c r="K276">
        <v>135.79</v>
      </c>
      <c r="L276" t="s">
        <v>463</v>
      </c>
    </row>
    <row r="277" spans="1:12" x14ac:dyDescent="0.2">
      <c r="A277" t="s">
        <v>759</v>
      </c>
      <c r="B277" t="s">
        <v>636</v>
      </c>
      <c r="D277">
        <v>6</v>
      </c>
      <c r="E277" s="1">
        <v>42816</v>
      </c>
      <c r="F277" s="1">
        <v>43017</v>
      </c>
      <c r="G277">
        <f t="shared" si="8"/>
        <v>201</v>
      </c>
      <c r="H277" t="s">
        <v>461</v>
      </c>
      <c r="I277" t="s">
        <v>637</v>
      </c>
      <c r="J277">
        <v>-26.365555560000001</v>
      </c>
      <c r="K277">
        <v>135.79</v>
      </c>
      <c r="L277" t="s">
        <v>463</v>
      </c>
    </row>
    <row r="278" spans="1:12" x14ac:dyDescent="0.2">
      <c r="A278" t="s">
        <v>760</v>
      </c>
      <c r="B278" t="s">
        <v>636</v>
      </c>
      <c r="D278">
        <v>6</v>
      </c>
      <c r="E278" s="1">
        <v>42816</v>
      </c>
      <c r="F278" s="1">
        <v>43017</v>
      </c>
      <c r="G278">
        <f t="shared" si="8"/>
        <v>201</v>
      </c>
      <c r="H278" t="s">
        <v>461</v>
      </c>
      <c r="I278" t="s">
        <v>637</v>
      </c>
      <c r="J278">
        <v>-26.365555560000001</v>
      </c>
      <c r="K278">
        <v>135.79</v>
      </c>
      <c r="L278" t="s">
        <v>463</v>
      </c>
    </row>
    <row r="279" spans="1:12" x14ac:dyDescent="0.2">
      <c r="A279" t="s">
        <v>761</v>
      </c>
      <c r="B279" t="s">
        <v>636</v>
      </c>
      <c r="D279">
        <v>6</v>
      </c>
      <c r="E279" s="1">
        <v>42816</v>
      </c>
      <c r="F279" s="1">
        <v>43017</v>
      </c>
      <c r="G279">
        <f t="shared" si="8"/>
        <v>201</v>
      </c>
      <c r="H279" t="s">
        <v>461</v>
      </c>
      <c r="I279" t="s">
        <v>637</v>
      </c>
      <c r="J279">
        <v>-26.365555560000001</v>
      </c>
      <c r="K279">
        <v>135.79</v>
      </c>
      <c r="L279" t="s">
        <v>463</v>
      </c>
    </row>
    <row r="280" spans="1:12" x14ac:dyDescent="0.2">
      <c r="A280" t="s">
        <v>762</v>
      </c>
      <c r="B280" t="s">
        <v>636</v>
      </c>
      <c r="D280">
        <v>6</v>
      </c>
      <c r="E280" s="1">
        <v>42816</v>
      </c>
      <c r="F280" s="1">
        <v>43017</v>
      </c>
      <c r="G280">
        <f t="shared" si="8"/>
        <v>201</v>
      </c>
      <c r="H280" t="s">
        <v>461</v>
      </c>
      <c r="I280" t="s">
        <v>637</v>
      </c>
      <c r="J280">
        <v>-26.365555560000001</v>
      </c>
      <c r="K280">
        <v>135.79</v>
      </c>
      <c r="L280" t="s">
        <v>463</v>
      </c>
    </row>
    <row r="281" spans="1:12" x14ac:dyDescent="0.2">
      <c r="A281" t="s">
        <v>763</v>
      </c>
      <c r="B281" t="s">
        <v>636</v>
      </c>
      <c r="D281">
        <v>6</v>
      </c>
      <c r="E281" s="1">
        <v>42816</v>
      </c>
      <c r="F281" s="1">
        <v>43017</v>
      </c>
      <c r="G281">
        <f t="shared" si="8"/>
        <v>201</v>
      </c>
      <c r="H281" t="s">
        <v>461</v>
      </c>
      <c r="I281" t="s">
        <v>637</v>
      </c>
      <c r="J281">
        <v>-26.365555560000001</v>
      </c>
      <c r="K281">
        <v>135.79</v>
      </c>
      <c r="L281" t="s">
        <v>463</v>
      </c>
    </row>
    <row r="282" spans="1:12" x14ac:dyDescent="0.2">
      <c r="A282" t="s">
        <v>764</v>
      </c>
      <c r="B282" t="s">
        <v>636</v>
      </c>
      <c r="D282">
        <v>6</v>
      </c>
      <c r="E282" s="1">
        <v>42816</v>
      </c>
      <c r="F282" s="1">
        <v>43017</v>
      </c>
      <c r="G282">
        <f t="shared" si="8"/>
        <v>201</v>
      </c>
      <c r="H282" t="s">
        <v>461</v>
      </c>
      <c r="I282" t="s">
        <v>637</v>
      </c>
      <c r="J282">
        <v>-26.365555560000001</v>
      </c>
      <c r="K282">
        <v>135.79</v>
      </c>
      <c r="L282" t="s">
        <v>463</v>
      </c>
    </row>
    <row r="283" spans="1:12" x14ac:dyDescent="0.2">
      <c r="A283" t="s">
        <v>765</v>
      </c>
      <c r="B283" t="s">
        <v>636</v>
      </c>
      <c r="D283">
        <v>6</v>
      </c>
      <c r="E283" s="1">
        <v>42816</v>
      </c>
      <c r="F283" s="1">
        <v>43017</v>
      </c>
      <c r="G283">
        <f t="shared" si="8"/>
        <v>201</v>
      </c>
      <c r="H283" t="s">
        <v>461</v>
      </c>
      <c r="I283" t="s">
        <v>637</v>
      </c>
      <c r="J283">
        <v>-26.365555560000001</v>
      </c>
      <c r="K283">
        <v>135.79</v>
      </c>
      <c r="L283" t="s">
        <v>463</v>
      </c>
    </row>
    <row r="284" spans="1:12" x14ac:dyDescent="0.2">
      <c r="A284" t="s">
        <v>766</v>
      </c>
      <c r="B284" t="s">
        <v>636</v>
      </c>
      <c r="D284">
        <v>6</v>
      </c>
      <c r="E284" s="1">
        <v>42816</v>
      </c>
      <c r="F284" s="1">
        <v>43017</v>
      </c>
      <c r="G284">
        <f t="shared" si="8"/>
        <v>201</v>
      </c>
      <c r="H284" t="s">
        <v>461</v>
      </c>
      <c r="I284" t="s">
        <v>637</v>
      </c>
      <c r="J284">
        <v>-26.365555560000001</v>
      </c>
      <c r="K284">
        <v>135.79</v>
      </c>
      <c r="L284" t="s">
        <v>463</v>
      </c>
    </row>
    <row r="285" spans="1:12" x14ac:dyDescent="0.2">
      <c r="A285" t="s">
        <v>767</v>
      </c>
      <c r="B285" t="s">
        <v>636</v>
      </c>
      <c r="D285">
        <v>6</v>
      </c>
      <c r="E285" s="1">
        <v>42816</v>
      </c>
      <c r="F285" s="1">
        <v>43017</v>
      </c>
      <c r="G285">
        <f t="shared" si="8"/>
        <v>201</v>
      </c>
      <c r="H285" t="s">
        <v>461</v>
      </c>
      <c r="I285" t="s">
        <v>637</v>
      </c>
      <c r="J285">
        <v>-26.365555560000001</v>
      </c>
      <c r="K285">
        <v>135.79</v>
      </c>
      <c r="L285" t="s">
        <v>463</v>
      </c>
    </row>
    <row r="286" spans="1:12" x14ac:dyDescent="0.2">
      <c r="A286" t="s">
        <v>768</v>
      </c>
      <c r="B286" t="s">
        <v>636</v>
      </c>
      <c r="D286">
        <v>6</v>
      </c>
      <c r="E286" s="1">
        <v>42816</v>
      </c>
      <c r="F286" s="1">
        <v>43017</v>
      </c>
      <c r="G286">
        <f t="shared" si="8"/>
        <v>201</v>
      </c>
      <c r="H286" t="s">
        <v>461</v>
      </c>
      <c r="I286" t="s">
        <v>637</v>
      </c>
      <c r="J286">
        <v>-26.365555560000001</v>
      </c>
      <c r="K286">
        <v>135.79</v>
      </c>
      <c r="L286" t="s">
        <v>463</v>
      </c>
    </row>
    <row r="287" spans="1:12" x14ac:dyDescent="0.2">
      <c r="A287" t="s">
        <v>769</v>
      </c>
      <c r="B287" t="s">
        <v>636</v>
      </c>
      <c r="D287">
        <v>6</v>
      </c>
      <c r="E287" s="1">
        <v>42816</v>
      </c>
      <c r="F287" s="1">
        <v>43017</v>
      </c>
      <c r="G287">
        <f t="shared" si="8"/>
        <v>201</v>
      </c>
      <c r="H287" t="s">
        <v>461</v>
      </c>
      <c r="I287" t="s">
        <v>637</v>
      </c>
      <c r="J287">
        <v>-26.365555560000001</v>
      </c>
      <c r="K287">
        <v>135.79</v>
      </c>
      <c r="L287" t="s">
        <v>463</v>
      </c>
    </row>
    <row r="288" spans="1:12" x14ac:dyDescent="0.2">
      <c r="A288" t="s">
        <v>770</v>
      </c>
      <c r="B288" t="s">
        <v>636</v>
      </c>
      <c r="D288">
        <v>6</v>
      </c>
      <c r="E288" s="1">
        <v>42816</v>
      </c>
      <c r="F288" s="1">
        <v>43017</v>
      </c>
      <c r="G288">
        <f t="shared" si="8"/>
        <v>201</v>
      </c>
      <c r="H288" t="s">
        <v>461</v>
      </c>
      <c r="I288" t="s">
        <v>637</v>
      </c>
      <c r="J288">
        <v>-26.365555560000001</v>
      </c>
      <c r="K288">
        <v>135.79</v>
      </c>
      <c r="L288" t="s">
        <v>463</v>
      </c>
    </row>
    <row r="289" spans="1:12" x14ac:dyDescent="0.2">
      <c r="A289" t="s">
        <v>771</v>
      </c>
      <c r="B289" t="s">
        <v>636</v>
      </c>
      <c r="D289">
        <v>6</v>
      </c>
      <c r="E289" s="1">
        <v>42816</v>
      </c>
      <c r="F289" s="1">
        <v>43017</v>
      </c>
      <c r="G289">
        <f t="shared" si="8"/>
        <v>201</v>
      </c>
      <c r="H289" t="s">
        <v>461</v>
      </c>
      <c r="I289" t="s">
        <v>637</v>
      </c>
      <c r="J289">
        <v>-26.365555560000001</v>
      </c>
      <c r="K289">
        <v>135.79</v>
      </c>
      <c r="L289" t="s">
        <v>463</v>
      </c>
    </row>
    <row r="290" spans="1:12" x14ac:dyDescent="0.2">
      <c r="A290" t="s">
        <v>772</v>
      </c>
      <c r="B290" t="s">
        <v>636</v>
      </c>
      <c r="D290">
        <v>6</v>
      </c>
      <c r="E290" s="1">
        <v>42816</v>
      </c>
      <c r="F290" s="1">
        <v>43017</v>
      </c>
      <c r="G290">
        <f t="shared" si="8"/>
        <v>201</v>
      </c>
      <c r="H290" t="s">
        <v>461</v>
      </c>
      <c r="I290" t="s">
        <v>637</v>
      </c>
      <c r="J290">
        <v>-26.365555560000001</v>
      </c>
      <c r="K290">
        <v>135.79</v>
      </c>
      <c r="L290" t="s">
        <v>463</v>
      </c>
    </row>
    <row r="291" spans="1:12" x14ac:dyDescent="0.2">
      <c r="A291" t="s">
        <v>773</v>
      </c>
      <c r="B291" t="s">
        <v>636</v>
      </c>
      <c r="D291">
        <v>6</v>
      </c>
      <c r="E291" s="1">
        <v>42816</v>
      </c>
      <c r="F291" s="1">
        <v>43017</v>
      </c>
      <c r="G291">
        <f t="shared" si="8"/>
        <v>201</v>
      </c>
      <c r="H291" t="s">
        <v>461</v>
      </c>
      <c r="I291" t="s">
        <v>637</v>
      </c>
      <c r="J291">
        <v>-26.365555560000001</v>
      </c>
      <c r="K291">
        <v>135.79</v>
      </c>
      <c r="L291" t="s">
        <v>463</v>
      </c>
    </row>
    <row r="292" spans="1:12" x14ac:dyDescent="0.2">
      <c r="A292" t="s">
        <v>774</v>
      </c>
      <c r="B292" t="s">
        <v>636</v>
      </c>
      <c r="D292">
        <v>6</v>
      </c>
      <c r="E292" s="1">
        <v>42816</v>
      </c>
      <c r="F292" s="1">
        <v>43017</v>
      </c>
      <c r="G292">
        <f t="shared" si="8"/>
        <v>201</v>
      </c>
      <c r="H292" t="s">
        <v>461</v>
      </c>
      <c r="I292" t="s">
        <v>637</v>
      </c>
      <c r="J292">
        <v>-26.365555560000001</v>
      </c>
      <c r="K292">
        <v>135.79</v>
      </c>
      <c r="L292" t="s">
        <v>463</v>
      </c>
    </row>
    <row r="293" spans="1:12" x14ac:dyDescent="0.2">
      <c r="A293" t="s">
        <v>775</v>
      </c>
      <c r="B293" t="s">
        <v>636</v>
      </c>
      <c r="D293">
        <v>6</v>
      </c>
      <c r="E293" s="1">
        <v>42816</v>
      </c>
      <c r="F293" s="1">
        <v>43017</v>
      </c>
      <c r="G293">
        <f t="shared" si="8"/>
        <v>201</v>
      </c>
      <c r="H293" t="s">
        <v>461</v>
      </c>
      <c r="I293" t="s">
        <v>637</v>
      </c>
      <c r="J293">
        <v>-26.365555560000001</v>
      </c>
      <c r="K293">
        <v>135.79</v>
      </c>
      <c r="L293" t="s">
        <v>463</v>
      </c>
    </row>
    <row r="294" spans="1:12" x14ac:dyDescent="0.2">
      <c r="A294" t="s">
        <v>776</v>
      </c>
      <c r="B294" t="s">
        <v>636</v>
      </c>
      <c r="D294">
        <v>6</v>
      </c>
      <c r="E294" s="1">
        <v>42816</v>
      </c>
      <c r="F294" s="1">
        <v>43017</v>
      </c>
      <c r="G294">
        <f t="shared" si="8"/>
        <v>201</v>
      </c>
      <c r="H294" t="s">
        <v>461</v>
      </c>
      <c r="I294" t="s">
        <v>637</v>
      </c>
      <c r="J294">
        <v>-26.365555560000001</v>
      </c>
      <c r="K294">
        <v>135.79</v>
      </c>
      <c r="L294" t="s">
        <v>463</v>
      </c>
    </row>
    <row r="295" spans="1:12" x14ac:dyDescent="0.2">
      <c r="A295" t="s">
        <v>777</v>
      </c>
      <c r="B295" t="s">
        <v>636</v>
      </c>
      <c r="D295">
        <v>6</v>
      </c>
      <c r="E295" s="1">
        <v>42816</v>
      </c>
      <c r="F295" s="1">
        <v>43017</v>
      </c>
      <c r="G295">
        <f t="shared" si="8"/>
        <v>201</v>
      </c>
      <c r="H295" t="s">
        <v>461</v>
      </c>
      <c r="I295" t="s">
        <v>637</v>
      </c>
      <c r="J295">
        <v>-26.365555560000001</v>
      </c>
      <c r="K295">
        <v>135.79</v>
      </c>
      <c r="L295" t="s">
        <v>463</v>
      </c>
    </row>
    <row r="296" spans="1:12" x14ac:dyDescent="0.2">
      <c r="A296" t="s">
        <v>778</v>
      </c>
      <c r="B296" t="s">
        <v>636</v>
      </c>
      <c r="D296">
        <v>6</v>
      </c>
      <c r="E296" s="1">
        <v>42816</v>
      </c>
      <c r="F296" s="1">
        <v>43017</v>
      </c>
      <c r="G296">
        <f t="shared" si="8"/>
        <v>201</v>
      </c>
      <c r="H296" t="s">
        <v>461</v>
      </c>
      <c r="I296" t="s">
        <v>637</v>
      </c>
      <c r="J296">
        <v>-26.365555560000001</v>
      </c>
      <c r="K296">
        <v>135.79</v>
      </c>
      <c r="L296" t="s">
        <v>463</v>
      </c>
    </row>
    <row r="297" spans="1:12" x14ac:dyDescent="0.2">
      <c r="A297" t="s">
        <v>779</v>
      </c>
      <c r="B297" t="s">
        <v>636</v>
      </c>
      <c r="D297">
        <v>6</v>
      </c>
      <c r="E297" s="1">
        <v>42816</v>
      </c>
      <c r="F297" s="1">
        <v>43017</v>
      </c>
      <c r="G297">
        <f t="shared" si="8"/>
        <v>201</v>
      </c>
      <c r="H297" t="s">
        <v>461</v>
      </c>
      <c r="I297" t="s">
        <v>637</v>
      </c>
      <c r="J297">
        <v>-26.365555560000001</v>
      </c>
      <c r="K297">
        <v>135.79</v>
      </c>
      <c r="L297" t="s">
        <v>463</v>
      </c>
    </row>
    <row r="298" spans="1:12" x14ac:dyDescent="0.2">
      <c r="A298" t="s">
        <v>780</v>
      </c>
      <c r="B298" t="s">
        <v>636</v>
      </c>
      <c r="D298">
        <v>6</v>
      </c>
      <c r="E298" s="1">
        <v>42816</v>
      </c>
      <c r="F298" s="1">
        <v>43017</v>
      </c>
      <c r="G298">
        <f t="shared" si="8"/>
        <v>201</v>
      </c>
      <c r="H298" t="s">
        <v>461</v>
      </c>
      <c r="I298" t="s">
        <v>637</v>
      </c>
      <c r="J298">
        <v>-26.365555560000001</v>
      </c>
      <c r="K298">
        <v>135.79</v>
      </c>
      <c r="L298" t="s">
        <v>463</v>
      </c>
    </row>
    <row r="299" spans="1:12" x14ac:dyDescent="0.2">
      <c r="A299" t="s">
        <v>781</v>
      </c>
      <c r="B299" t="s">
        <v>636</v>
      </c>
      <c r="D299">
        <v>6</v>
      </c>
      <c r="E299" s="1">
        <v>42816</v>
      </c>
      <c r="F299" s="1">
        <v>43017</v>
      </c>
      <c r="G299">
        <f t="shared" si="8"/>
        <v>201</v>
      </c>
      <c r="H299" t="s">
        <v>461</v>
      </c>
      <c r="I299" t="s">
        <v>637</v>
      </c>
      <c r="J299">
        <v>-26.365555560000001</v>
      </c>
      <c r="K299">
        <v>135.79</v>
      </c>
      <c r="L299" t="s">
        <v>463</v>
      </c>
    </row>
    <row r="300" spans="1:12" x14ac:dyDescent="0.2">
      <c r="A300" t="s">
        <v>782</v>
      </c>
      <c r="B300" t="s">
        <v>636</v>
      </c>
      <c r="D300">
        <v>6</v>
      </c>
      <c r="E300" s="1">
        <v>42816</v>
      </c>
      <c r="F300" s="1">
        <v>43017</v>
      </c>
      <c r="G300">
        <f t="shared" si="8"/>
        <v>201</v>
      </c>
      <c r="H300" t="s">
        <v>461</v>
      </c>
      <c r="I300" t="s">
        <v>637</v>
      </c>
      <c r="J300">
        <v>-26.365555560000001</v>
      </c>
      <c r="K300">
        <v>135.79</v>
      </c>
      <c r="L300" t="s">
        <v>463</v>
      </c>
    </row>
    <row r="301" spans="1:12" x14ac:dyDescent="0.2">
      <c r="A301" t="s">
        <v>783</v>
      </c>
      <c r="B301" t="s">
        <v>636</v>
      </c>
      <c r="D301">
        <v>6</v>
      </c>
      <c r="E301" s="1">
        <v>42816</v>
      </c>
      <c r="F301" s="1">
        <v>43017</v>
      </c>
      <c r="G301">
        <f t="shared" si="8"/>
        <v>201</v>
      </c>
      <c r="H301" t="s">
        <v>461</v>
      </c>
      <c r="I301" t="s">
        <v>637</v>
      </c>
      <c r="J301">
        <v>-26.365555560000001</v>
      </c>
      <c r="K301">
        <v>135.79</v>
      </c>
      <c r="L301" t="s">
        <v>463</v>
      </c>
    </row>
    <row r="302" spans="1:12" x14ac:dyDescent="0.2">
      <c r="A302" t="s">
        <v>784</v>
      </c>
      <c r="B302" t="s">
        <v>636</v>
      </c>
      <c r="D302">
        <v>6</v>
      </c>
      <c r="E302" s="1">
        <v>42816</v>
      </c>
      <c r="F302" s="1">
        <v>43017</v>
      </c>
      <c r="G302">
        <f t="shared" si="8"/>
        <v>201</v>
      </c>
      <c r="H302" t="s">
        <v>461</v>
      </c>
      <c r="I302" t="s">
        <v>637</v>
      </c>
      <c r="J302">
        <v>-26.365555560000001</v>
      </c>
      <c r="K302">
        <v>135.79</v>
      </c>
      <c r="L302" t="s">
        <v>463</v>
      </c>
    </row>
    <row r="303" spans="1:12" x14ac:dyDescent="0.2">
      <c r="A303" t="s">
        <v>785</v>
      </c>
      <c r="B303" t="s">
        <v>636</v>
      </c>
      <c r="D303">
        <v>6</v>
      </c>
      <c r="E303" s="1">
        <v>42816</v>
      </c>
      <c r="F303" s="1">
        <v>43017</v>
      </c>
      <c r="G303">
        <f t="shared" si="8"/>
        <v>201</v>
      </c>
      <c r="H303" t="s">
        <v>461</v>
      </c>
      <c r="I303" t="s">
        <v>637</v>
      </c>
      <c r="J303">
        <v>-26.365555560000001</v>
      </c>
      <c r="K303">
        <v>135.79</v>
      </c>
      <c r="L303" t="s">
        <v>463</v>
      </c>
    </row>
    <row r="304" spans="1:12" x14ac:dyDescent="0.2">
      <c r="A304" t="s">
        <v>786</v>
      </c>
      <c r="B304" t="s">
        <v>636</v>
      </c>
      <c r="D304">
        <v>6</v>
      </c>
      <c r="E304" s="1">
        <v>42816</v>
      </c>
      <c r="F304" s="1">
        <v>43017</v>
      </c>
      <c r="G304">
        <f t="shared" si="8"/>
        <v>201</v>
      </c>
      <c r="H304" t="s">
        <v>461</v>
      </c>
      <c r="I304" t="s">
        <v>637</v>
      </c>
      <c r="J304">
        <v>-26.365555560000001</v>
      </c>
      <c r="K304">
        <v>135.79</v>
      </c>
      <c r="L304" t="s">
        <v>463</v>
      </c>
    </row>
    <row r="305" spans="1:12" x14ac:dyDescent="0.2">
      <c r="A305" t="s">
        <v>787</v>
      </c>
      <c r="B305" t="s">
        <v>636</v>
      </c>
      <c r="D305">
        <v>6</v>
      </c>
      <c r="E305" s="1">
        <v>42816</v>
      </c>
      <c r="F305" s="1">
        <v>43017</v>
      </c>
      <c r="G305">
        <f t="shared" si="8"/>
        <v>201</v>
      </c>
      <c r="H305" t="s">
        <v>461</v>
      </c>
      <c r="I305" t="s">
        <v>637</v>
      </c>
      <c r="J305">
        <v>-26.365555560000001</v>
      </c>
      <c r="K305">
        <v>135.79</v>
      </c>
      <c r="L305" t="s">
        <v>463</v>
      </c>
    </row>
    <row r="306" spans="1:12" x14ac:dyDescent="0.2">
      <c r="A306" t="s">
        <v>788</v>
      </c>
      <c r="B306" t="s">
        <v>636</v>
      </c>
      <c r="D306">
        <v>6</v>
      </c>
      <c r="E306" s="1">
        <v>42816</v>
      </c>
      <c r="F306" s="1">
        <v>43017</v>
      </c>
      <c r="G306">
        <f t="shared" si="8"/>
        <v>201</v>
      </c>
      <c r="H306" t="s">
        <v>461</v>
      </c>
      <c r="I306" t="s">
        <v>637</v>
      </c>
      <c r="J306">
        <v>-26.365555560000001</v>
      </c>
      <c r="K306">
        <v>135.79</v>
      </c>
      <c r="L306" t="s">
        <v>463</v>
      </c>
    </row>
    <row r="307" spans="1:12" x14ac:dyDescent="0.2">
      <c r="A307" t="s">
        <v>789</v>
      </c>
      <c r="B307" t="s">
        <v>636</v>
      </c>
      <c r="D307">
        <v>6</v>
      </c>
      <c r="E307" s="1">
        <v>42816</v>
      </c>
      <c r="F307" s="1">
        <v>43017</v>
      </c>
      <c r="G307">
        <f t="shared" si="8"/>
        <v>201</v>
      </c>
      <c r="H307" t="s">
        <v>461</v>
      </c>
      <c r="I307" t="s">
        <v>637</v>
      </c>
      <c r="J307">
        <v>-26.365555560000001</v>
      </c>
      <c r="K307">
        <v>135.79</v>
      </c>
      <c r="L307" t="s">
        <v>463</v>
      </c>
    </row>
    <row r="308" spans="1:12" x14ac:dyDescent="0.2">
      <c r="A308" t="s">
        <v>790</v>
      </c>
      <c r="B308" t="s">
        <v>636</v>
      </c>
      <c r="D308">
        <v>6</v>
      </c>
      <c r="E308" s="1">
        <v>42816</v>
      </c>
      <c r="F308" s="1">
        <v>43017</v>
      </c>
      <c r="G308">
        <f t="shared" si="8"/>
        <v>201</v>
      </c>
      <c r="H308" t="s">
        <v>461</v>
      </c>
      <c r="I308" t="s">
        <v>637</v>
      </c>
      <c r="J308">
        <v>-26.365555560000001</v>
      </c>
      <c r="K308">
        <v>135.79</v>
      </c>
      <c r="L308" t="s">
        <v>463</v>
      </c>
    </row>
    <row r="309" spans="1:12" x14ac:dyDescent="0.2">
      <c r="A309" t="s">
        <v>791</v>
      </c>
      <c r="B309" t="s">
        <v>636</v>
      </c>
      <c r="D309">
        <v>6</v>
      </c>
      <c r="E309" s="1">
        <v>42816</v>
      </c>
      <c r="F309" s="1">
        <v>43017</v>
      </c>
      <c r="G309">
        <f t="shared" si="8"/>
        <v>201</v>
      </c>
      <c r="H309" t="s">
        <v>461</v>
      </c>
      <c r="I309" t="s">
        <v>637</v>
      </c>
      <c r="J309">
        <v>-26.365555560000001</v>
      </c>
      <c r="K309">
        <v>135.79</v>
      </c>
      <c r="L309" t="s">
        <v>463</v>
      </c>
    </row>
    <row r="310" spans="1:12" x14ac:dyDescent="0.2">
      <c r="A310" t="s">
        <v>792</v>
      </c>
      <c r="B310" t="s">
        <v>636</v>
      </c>
      <c r="D310">
        <v>6</v>
      </c>
      <c r="E310" s="1">
        <v>42816</v>
      </c>
      <c r="F310" s="1">
        <v>43017</v>
      </c>
      <c r="G310">
        <f t="shared" si="8"/>
        <v>201</v>
      </c>
      <c r="H310" t="s">
        <v>461</v>
      </c>
      <c r="I310" t="s">
        <v>637</v>
      </c>
      <c r="J310">
        <v>-26.365555560000001</v>
      </c>
      <c r="K310">
        <v>135.79</v>
      </c>
      <c r="L310" t="s">
        <v>463</v>
      </c>
    </row>
    <row r="311" spans="1:12" x14ac:dyDescent="0.2">
      <c r="A311" t="s">
        <v>793</v>
      </c>
      <c r="B311" t="s">
        <v>636</v>
      </c>
      <c r="D311">
        <v>6</v>
      </c>
      <c r="E311" s="1">
        <v>42816</v>
      </c>
      <c r="F311" s="1">
        <v>43017</v>
      </c>
      <c r="G311">
        <f t="shared" si="8"/>
        <v>201</v>
      </c>
      <c r="H311" t="s">
        <v>461</v>
      </c>
      <c r="I311" t="s">
        <v>637</v>
      </c>
      <c r="J311">
        <v>-26.365555560000001</v>
      </c>
      <c r="K311">
        <v>135.79</v>
      </c>
      <c r="L311" t="s">
        <v>463</v>
      </c>
    </row>
    <row r="312" spans="1:12" x14ac:dyDescent="0.2">
      <c r="A312" t="s">
        <v>794</v>
      </c>
      <c r="B312" t="s">
        <v>636</v>
      </c>
      <c r="D312">
        <v>6</v>
      </c>
      <c r="E312" s="1">
        <v>42816</v>
      </c>
      <c r="F312" s="1">
        <v>43017</v>
      </c>
      <c r="G312">
        <f t="shared" si="8"/>
        <v>201</v>
      </c>
      <c r="H312" t="s">
        <v>461</v>
      </c>
      <c r="I312" t="s">
        <v>637</v>
      </c>
      <c r="J312">
        <v>-26.365555560000001</v>
      </c>
      <c r="K312">
        <v>135.79</v>
      </c>
      <c r="L312" t="s">
        <v>463</v>
      </c>
    </row>
    <row r="313" spans="1:12" x14ac:dyDescent="0.2">
      <c r="A313" t="s">
        <v>795</v>
      </c>
      <c r="B313" t="s">
        <v>636</v>
      </c>
      <c r="D313">
        <v>6</v>
      </c>
      <c r="E313" s="1">
        <v>42816</v>
      </c>
      <c r="F313" s="1">
        <v>43017</v>
      </c>
      <c r="G313">
        <f t="shared" si="8"/>
        <v>201</v>
      </c>
      <c r="H313" t="s">
        <v>461</v>
      </c>
      <c r="I313" t="s">
        <v>637</v>
      </c>
      <c r="J313">
        <v>-26.365555560000001</v>
      </c>
      <c r="K313">
        <v>135.79</v>
      </c>
      <c r="L313" t="s">
        <v>463</v>
      </c>
    </row>
    <row r="314" spans="1:12" x14ac:dyDescent="0.2">
      <c r="A314" t="s">
        <v>796</v>
      </c>
      <c r="B314" t="s">
        <v>636</v>
      </c>
      <c r="D314">
        <v>6</v>
      </c>
      <c r="E314" s="1">
        <v>42816</v>
      </c>
      <c r="F314" s="1">
        <v>43017</v>
      </c>
      <c r="G314">
        <f t="shared" si="8"/>
        <v>201</v>
      </c>
      <c r="H314" t="s">
        <v>461</v>
      </c>
      <c r="I314" t="s">
        <v>637</v>
      </c>
      <c r="J314">
        <v>-26.365555560000001</v>
      </c>
      <c r="K314">
        <v>135.79</v>
      </c>
      <c r="L314" t="s">
        <v>463</v>
      </c>
    </row>
    <row r="315" spans="1:12" x14ac:dyDescent="0.2">
      <c r="A315" t="s">
        <v>797</v>
      </c>
      <c r="B315" t="s">
        <v>636</v>
      </c>
      <c r="D315">
        <v>6</v>
      </c>
      <c r="E315" s="1">
        <v>42816</v>
      </c>
      <c r="F315" s="1">
        <v>43017</v>
      </c>
      <c r="G315">
        <f t="shared" si="8"/>
        <v>201</v>
      </c>
      <c r="H315" t="s">
        <v>461</v>
      </c>
      <c r="I315" t="s">
        <v>637</v>
      </c>
      <c r="J315">
        <v>-26.365555560000001</v>
      </c>
      <c r="K315">
        <v>135.79</v>
      </c>
      <c r="L315" t="s">
        <v>463</v>
      </c>
    </row>
    <row r="316" spans="1:12" x14ac:dyDescent="0.2">
      <c r="A316" t="s">
        <v>798</v>
      </c>
      <c r="B316" t="s">
        <v>636</v>
      </c>
      <c r="D316">
        <v>6</v>
      </c>
      <c r="E316" s="1">
        <v>42816</v>
      </c>
      <c r="F316" s="1">
        <v>43017</v>
      </c>
      <c r="G316">
        <f t="shared" si="8"/>
        <v>201</v>
      </c>
      <c r="H316" t="s">
        <v>461</v>
      </c>
      <c r="I316" t="s">
        <v>637</v>
      </c>
      <c r="J316">
        <v>-26.365555560000001</v>
      </c>
      <c r="K316">
        <v>135.79</v>
      </c>
      <c r="L316" t="s">
        <v>463</v>
      </c>
    </row>
    <row r="317" spans="1:12" x14ac:dyDescent="0.2">
      <c r="A317" t="s">
        <v>799</v>
      </c>
      <c r="B317" t="s">
        <v>636</v>
      </c>
      <c r="D317">
        <v>6</v>
      </c>
      <c r="E317" s="1">
        <v>42816</v>
      </c>
      <c r="F317" s="1">
        <v>43017</v>
      </c>
      <c r="G317">
        <f t="shared" si="8"/>
        <v>201</v>
      </c>
      <c r="H317" t="s">
        <v>461</v>
      </c>
      <c r="I317" t="s">
        <v>637</v>
      </c>
      <c r="J317">
        <v>-26.365555560000001</v>
      </c>
      <c r="K317">
        <v>135.79</v>
      </c>
      <c r="L317" t="s">
        <v>463</v>
      </c>
    </row>
    <row r="318" spans="1:12" x14ac:dyDescent="0.2">
      <c r="A318" t="s">
        <v>800</v>
      </c>
      <c r="B318" t="s">
        <v>636</v>
      </c>
      <c r="D318">
        <v>6</v>
      </c>
      <c r="E318" s="1">
        <v>42816</v>
      </c>
      <c r="F318" s="1">
        <v>43017</v>
      </c>
      <c r="G318">
        <f t="shared" si="8"/>
        <v>201</v>
      </c>
      <c r="H318" t="s">
        <v>461</v>
      </c>
      <c r="I318" t="s">
        <v>637</v>
      </c>
      <c r="J318">
        <v>-26.365555560000001</v>
      </c>
      <c r="K318">
        <v>135.79</v>
      </c>
      <c r="L318" t="s">
        <v>463</v>
      </c>
    </row>
    <row r="319" spans="1:12" x14ac:dyDescent="0.2">
      <c r="A319" t="s">
        <v>801</v>
      </c>
      <c r="B319" t="s">
        <v>636</v>
      </c>
      <c r="D319">
        <v>6</v>
      </c>
      <c r="E319" s="1">
        <v>42816</v>
      </c>
      <c r="F319" s="1">
        <v>43017</v>
      </c>
      <c r="G319">
        <f t="shared" si="8"/>
        <v>201</v>
      </c>
      <c r="H319" t="s">
        <v>461</v>
      </c>
      <c r="I319" t="s">
        <v>637</v>
      </c>
      <c r="J319">
        <v>-26.365555560000001</v>
      </c>
      <c r="K319">
        <v>135.79</v>
      </c>
      <c r="L319" t="s">
        <v>463</v>
      </c>
    </row>
    <row r="320" spans="1:12" x14ac:dyDescent="0.2">
      <c r="A320" t="s">
        <v>802</v>
      </c>
      <c r="B320" t="s">
        <v>636</v>
      </c>
      <c r="D320">
        <v>6</v>
      </c>
      <c r="E320" s="1">
        <v>42816</v>
      </c>
      <c r="F320" s="1">
        <v>43017</v>
      </c>
      <c r="G320">
        <f t="shared" si="8"/>
        <v>201</v>
      </c>
      <c r="H320" t="s">
        <v>461</v>
      </c>
      <c r="I320" t="s">
        <v>637</v>
      </c>
      <c r="J320">
        <v>-26.365555560000001</v>
      </c>
      <c r="K320">
        <v>135.79</v>
      </c>
      <c r="L320" t="s">
        <v>463</v>
      </c>
    </row>
    <row r="321" spans="1:12" x14ac:dyDescent="0.2">
      <c r="A321" t="s">
        <v>803</v>
      </c>
      <c r="B321" t="s">
        <v>636</v>
      </c>
      <c r="D321">
        <v>6</v>
      </c>
      <c r="E321" s="1">
        <v>42816</v>
      </c>
      <c r="F321" s="1">
        <v>43017</v>
      </c>
      <c r="G321">
        <f t="shared" si="8"/>
        <v>201</v>
      </c>
      <c r="H321" t="s">
        <v>461</v>
      </c>
      <c r="I321" t="s">
        <v>637</v>
      </c>
      <c r="J321">
        <v>-26.365555560000001</v>
      </c>
      <c r="K321">
        <v>135.79</v>
      </c>
      <c r="L321" t="s">
        <v>463</v>
      </c>
    </row>
    <row r="322" spans="1:12" x14ac:dyDescent="0.2">
      <c r="A322" t="s">
        <v>804</v>
      </c>
      <c r="B322" t="s">
        <v>636</v>
      </c>
      <c r="D322">
        <v>6</v>
      </c>
      <c r="E322" s="1">
        <v>42816</v>
      </c>
      <c r="F322" s="1">
        <v>43017</v>
      </c>
      <c r="G322">
        <f t="shared" si="8"/>
        <v>201</v>
      </c>
      <c r="H322" t="s">
        <v>461</v>
      </c>
      <c r="I322" t="s">
        <v>637</v>
      </c>
      <c r="J322">
        <v>-26.365555560000001</v>
      </c>
      <c r="K322">
        <v>135.79</v>
      </c>
      <c r="L322" t="s">
        <v>463</v>
      </c>
    </row>
    <row r="323" spans="1:12" x14ac:dyDescent="0.2">
      <c r="A323" t="s">
        <v>805</v>
      </c>
      <c r="B323" t="s">
        <v>636</v>
      </c>
      <c r="D323">
        <v>6</v>
      </c>
      <c r="E323" s="1">
        <v>42816</v>
      </c>
      <c r="F323" s="1">
        <v>43017</v>
      </c>
      <c r="G323">
        <f t="shared" si="8"/>
        <v>201</v>
      </c>
      <c r="H323" t="s">
        <v>461</v>
      </c>
      <c r="I323" t="s">
        <v>637</v>
      </c>
      <c r="J323">
        <v>-26.365555560000001</v>
      </c>
      <c r="K323">
        <v>135.79</v>
      </c>
      <c r="L323" t="s">
        <v>463</v>
      </c>
    </row>
    <row r="324" spans="1:12" x14ac:dyDescent="0.2">
      <c r="A324" t="s">
        <v>806</v>
      </c>
      <c r="B324" t="s">
        <v>636</v>
      </c>
      <c r="D324">
        <v>6</v>
      </c>
      <c r="E324" s="1">
        <v>42816</v>
      </c>
      <c r="F324" s="1">
        <v>43017</v>
      </c>
      <c r="G324">
        <f t="shared" ref="G324:G387" si="9">F324-E324</f>
        <v>201</v>
      </c>
      <c r="H324" t="s">
        <v>461</v>
      </c>
      <c r="I324" t="s">
        <v>637</v>
      </c>
      <c r="J324">
        <v>-26.365555560000001</v>
      </c>
      <c r="K324">
        <v>135.79</v>
      </c>
      <c r="L324" t="s">
        <v>463</v>
      </c>
    </row>
    <row r="325" spans="1:12" x14ac:dyDescent="0.2">
      <c r="A325" t="s">
        <v>807</v>
      </c>
      <c r="B325" t="s">
        <v>636</v>
      </c>
      <c r="D325">
        <v>6</v>
      </c>
      <c r="E325" s="1">
        <v>42816</v>
      </c>
      <c r="F325" s="1">
        <v>43017</v>
      </c>
      <c r="G325">
        <f t="shared" si="9"/>
        <v>201</v>
      </c>
      <c r="H325" t="s">
        <v>461</v>
      </c>
      <c r="I325" t="s">
        <v>637</v>
      </c>
      <c r="J325">
        <v>-26.365555560000001</v>
      </c>
      <c r="K325">
        <v>135.79</v>
      </c>
      <c r="L325" t="s">
        <v>463</v>
      </c>
    </row>
    <row r="326" spans="1:12" x14ac:dyDescent="0.2">
      <c r="A326" t="s">
        <v>808</v>
      </c>
      <c r="B326" t="s">
        <v>636</v>
      </c>
      <c r="D326">
        <v>6</v>
      </c>
      <c r="E326" s="1">
        <v>42816</v>
      </c>
      <c r="F326" s="1">
        <v>43017</v>
      </c>
      <c r="G326">
        <f t="shared" si="9"/>
        <v>201</v>
      </c>
      <c r="H326" t="s">
        <v>461</v>
      </c>
      <c r="I326" t="s">
        <v>637</v>
      </c>
      <c r="J326">
        <v>-26.365555560000001</v>
      </c>
      <c r="K326">
        <v>135.79</v>
      </c>
      <c r="L326" t="s">
        <v>463</v>
      </c>
    </row>
    <row r="327" spans="1:12" x14ac:dyDescent="0.2">
      <c r="A327" t="s">
        <v>809</v>
      </c>
      <c r="B327" t="s">
        <v>636</v>
      </c>
      <c r="D327">
        <v>6</v>
      </c>
      <c r="E327" s="1">
        <v>42816</v>
      </c>
      <c r="F327" s="1">
        <v>43017</v>
      </c>
      <c r="G327">
        <f t="shared" si="9"/>
        <v>201</v>
      </c>
      <c r="H327" t="s">
        <v>461</v>
      </c>
      <c r="I327" t="s">
        <v>637</v>
      </c>
      <c r="J327">
        <v>-26.365555560000001</v>
      </c>
      <c r="K327">
        <v>135.79</v>
      </c>
      <c r="L327" t="s">
        <v>463</v>
      </c>
    </row>
    <row r="328" spans="1:12" x14ac:dyDescent="0.2">
      <c r="A328" t="s">
        <v>810</v>
      </c>
      <c r="B328" t="s">
        <v>636</v>
      </c>
      <c r="D328">
        <v>6</v>
      </c>
      <c r="E328" s="1">
        <v>42816</v>
      </c>
      <c r="F328" s="1">
        <v>43017</v>
      </c>
      <c r="G328">
        <f t="shared" si="9"/>
        <v>201</v>
      </c>
      <c r="H328" t="s">
        <v>461</v>
      </c>
      <c r="I328" t="s">
        <v>637</v>
      </c>
      <c r="J328">
        <v>-26.365555560000001</v>
      </c>
      <c r="K328">
        <v>135.79</v>
      </c>
      <c r="L328" t="s">
        <v>463</v>
      </c>
    </row>
    <row r="329" spans="1:12" x14ac:dyDescent="0.2">
      <c r="A329" t="s">
        <v>811</v>
      </c>
      <c r="B329" t="s">
        <v>636</v>
      </c>
      <c r="D329">
        <v>6</v>
      </c>
      <c r="E329" s="1">
        <v>42816</v>
      </c>
      <c r="F329" s="1">
        <v>43017</v>
      </c>
      <c r="G329">
        <f t="shared" si="9"/>
        <v>201</v>
      </c>
      <c r="H329" t="s">
        <v>461</v>
      </c>
      <c r="I329" t="s">
        <v>637</v>
      </c>
      <c r="J329">
        <v>-26.365555560000001</v>
      </c>
      <c r="K329">
        <v>135.79</v>
      </c>
      <c r="L329" t="s">
        <v>463</v>
      </c>
    </row>
    <row r="330" spans="1:12" x14ac:dyDescent="0.2">
      <c r="A330" t="s">
        <v>812</v>
      </c>
      <c r="B330" t="s">
        <v>636</v>
      </c>
      <c r="D330">
        <v>6</v>
      </c>
      <c r="E330" s="1">
        <v>42816</v>
      </c>
      <c r="F330" s="1">
        <v>43017</v>
      </c>
      <c r="G330">
        <f t="shared" si="9"/>
        <v>201</v>
      </c>
      <c r="H330" t="s">
        <v>461</v>
      </c>
      <c r="I330" t="s">
        <v>637</v>
      </c>
      <c r="J330">
        <v>-26.365555560000001</v>
      </c>
      <c r="K330">
        <v>135.79</v>
      </c>
      <c r="L330" t="s">
        <v>463</v>
      </c>
    </row>
    <row r="331" spans="1:12" x14ac:dyDescent="0.2">
      <c r="A331" t="s">
        <v>813</v>
      </c>
      <c r="B331" t="s">
        <v>636</v>
      </c>
      <c r="D331">
        <v>6</v>
      </c>
      <c r="E331" s="1">
        <v>42816</v>
      </c>
      <c r="F331" s="1">
        <v>43017</v>
      </c>
      <c r="G331">
        <f t="shared" si="9"/>
        <v>201</v>
      </c>
      <c r="H331" t="s">
        <v>461</v>
      </c>
      <c r="I331" t="s">
        <v>637</v>
      </c>
      <c r="J331">
        <v>-26.365555560000001</v>
      </c>
      <c r="K331">
        <v>135.79</v>
      </c>
      <c r="L331" t="s">
        <v>463</v>
      </c>
    </row>
    <row r="332" spans="1:12" x14ac:dyDescent="0.2">
      <c r="A332" t="s">
        <v>814</v>
      </c>
      <c r="B332" t="s">
        <v>636</v>
      </c>
      <c r="D332">
        <v>6</v>
      </c>
      <c r="E332" s="1">
        <v>42816</v>
      </c>
      <c r="F332" s="1">
        <v>43017</v>
      </c>
      <c r="G332">
        <f t="shared" si="9"/>
        <v>201</v>
      </c>
      <c r="H332" t="s">
        <v>461</v>
      </c>
      <c r="I332" t="s">
        <v>637</v>
      </c>
      <c r="J332">
        <v>-26.365555560000001</v>
      </c>
      <c r="K332">
        <v>135.79</v>
      </c>
      <c r="L332" t="s">
        <v>463</v>
      </c>
    </row>
    <row r="333" spans="1:12" x14ac:dyDescent="0.2">
      <c r="A333" t="s">
        <v>815</v>
      </c>
      <c r="B333" t="s">
        <v>636</v>
      </c>
      <c r="D333">
        <v>6</v>
      </c>
      <c r="E333" s="1">
        <v>42816</v>
      </c>
      <c r="F333" s="1">
        <v>43017</v>
      </c>
      <c r="G333">
        <f t="shared" si="9"/>
        <v>201</v>
      </c>
      <c r="H333" t="s">
        <v>461</v>
      </c>
      <c r="I333" t="s">
        <v>637</v>
      </c>
      <c r="J333">
        <v>-26.365555560000001</v>
      </c>
      <c r="K333">
        <v>135.79</v>
      </c>
      <c r="L333" t="s">
        <v>463</v>
      </c>
    </row>
    <row r="334" spans="1:12" x14ac:dyDescent="0.2">
      <c r="A334" t="s">
        <v>816</v>
      </c>
      <c r="B334" t="s">
        <v>636</v>
      </c>
      <c r="D334">
        <v>6</v>
      </c>
      <c r="E334" s="1">
        <v>42816</v>
      </c>
      <c r="F334" s="1">
        <v>43017</v>
      </c>
      <c r="G334">
        <f t="shared" si="9"/>
        <v>201</v>
      </c>
      <c r="H334" t="s">
        <v>461</v>
      </c>
      <c r="I334" t="s">
        <v>637</v>
      </c>
      <c r="J334">
        <v>-26.365555560000001</v>
      </c>
      <c r="K334">
        <v>135.79</v>
      </c>
      <c r="L334" t="s">
        <v>463</v>
      </c>
    </row>
    <row r="335" spans="1:12" x14ac:dyDescent="0.2">
      <c r="A335" t="s">
        <v>817</v>
      </c>
      <c r="B335" t="s">
        <v>636</v>
      </c>
      <c r="D335">
        <v>6</v>
      </c>
      <c r="E335" s="1">
        <v>42816</v>
      </c>
      <c r="F335" s="1">
        <v>43017</v>
      </c>
      <c r="G335">
        <f t="shared" si="9"/>
        <v>201</v>
      </c>
      <c r="H335" t="s">
        <v>461</v>
      </c>
      <c r="I335" t="s">
        <v>637</v>
      </c>
      <c r="J335">
        <v>-26.365555560000001</v>
      </c>
      <c r="K335">
        <v>135.79</v>
      </c>
      <c r="L335" t="s">
        <v>463</v>
      </c>
    </row>
    <row r="336" spans="1:12" x14ac:dyDescent="0.2">
      <c r="A336" t="s">
        <v>818</v>
      </c>
      <c r="B336" t="s">
        <v>636</v>
      </c>
      <c r="D336">
        <v>6</v>
      </c>
      <c r="E336" s="1">
        <v>42816</v>
      </c>
      <c r="F336" s="1">
        <v>43017</v>
      </c>
      <c r="G336">
        <f t="shared" si="9"/>
        <v>201</v>
      </c>
      <c r="H336" t="s">
        <v>461</v>
      </c>
      <c r="I336" t="s">
        <v>637</v>
      </c>
      <c r="J336">
        <v>-26.365555560000001</v>
      </c>
      <c r="K336">
        <v>135.79</v>
      </c>
      <c r="L336" t="s">
        <v>463</v>
      </c>
    </row>
    <row r="337" spans="1:12" x14ac:dyDescent="0.2">
      <c r="A337" t="s">
        <v>819</v>
      </c>
      <c r="B337" t="s">
        <v>636</v>
      </c>
      <c r="D337">
        <v>6</v>
      </c>
      <c r="E337" s="1">
        <v>42816</v>
      </c>
      <c r="F337" s="1">
        <v>43017</v>
      </c>
      <c r="G337">
        <f t="shared" si="9"/>
        <v>201</v>
      </c>
      <c r="H337" t="s">
        <v>461</v>
      </c>
      <c r="I337" t="s">
        <v>637</v>
      </c>
      <c r="J337">
        <v>-26.365555560000001</v>
      </c>
      <c r="K337">
        <v>135.79</v>
      </c>
      <c r="L337" t="s">
        <v>463</v>
      </c>
    </row>
    <row r="338" spans="1:12" x14ac:dyDescent="0.2">
      <c r="A338" t="s">
        <v>820</v>
      </c>
      <c r="B338" t="s">
        <v>636</v>
      </c>
      <c r="D338">
        <v>6</v>
      </c>
      <c r="E338" s="1">
        <v>42816</v>
      </c>
      <c r="F338" s="1">
        <v>43017</v>
      </c>
      <c r="G338">
        <f t="shared" si="9"/>
        <v>201</v>
      </c>
      <c r="H338" t="s">
        <v>461</v>
      </c>
      <c r="I338" t="s">
        <v>637</v>
      </c>
      <c r="J338">
        <v>-26.365555560000001</v>
      </c>
      <c r="K338">
        <v>135.79</v>
      </c>
      <c r="L338" t="s">
        <v>463</v>
      </c>
    </row>
    <row r="339" spans="1:12" x14ac:dyDescent="0.2">
      <c r="A339" t="s">
        <v>821</v>
      </c>
      <c r="B339" t="s">
        <v>636</v>
      </c>
      <c r="D339">
        <v>6</v>
      </c>
      <c r="E339" s="1">
        <v>42816</v>
      </c>
      <c r="F339" s="1">
        <v>43017</v>
      </c>
      <c r="G339">
        <f t="shared" si="9"/>
        <v>201</v>
      </c>
      <c r="H339" t="s">
        <v>461</v>
      </c>
      <c r="I339" t="s">
        <v>637</v>
      </c>
      <c r="J339">
        <v>-26.365555560000001</v>
      </c>
      <c r="K339">
        <v>135.79</v>
      </c>
      <c r="L339" t="s">
        <v>463</v>
      </c>
    </row>
    <row r="340" spans="1:12" x14ac:dyDescent="0.2">
      <c r="A340" t="s">
        <v>822</v>
      </c>
      <c r="B340" t="s">
        <v>636</v>
      </c>
      <c r="D340">
        <v>6</v>
      </c>
      <c r="E340" s="1">
        <v>42816</v>
      </c>
      <c r="F340" s="1">
        <v>43017</v>
      </c>
      <c r="G340">
        <f t="shared" si="9"/>
        <v>201</v>
      </c>
      <c r="H340" t="s">
        <v>461</v>
      </c>
      <c r="I340" t="s">
        <v>637</v>
      </c>
      <c r="J340">
        <v>-26.365555560000001</v>
      </c>
      <c r="K340">
        <v>135.79</v>
      </c>
      <c r="L340" t="s">
        <v>463</v>
      </c>
    </row>
    <row r="341" spans="1:12" x14ac:dyDescent="0.2">
      <c r="A341" t="s">
        <v>823</v>
      </c>
      <c r="B341" t="s">
        <v>636</v>
      </c>
      <c r="D341">
        <v>6</v>
      </c>
      <c r="E341" s="1">
        <v>42816</v>
      </c>
      <c r="F341" s="1">
        <v>43017</v>
      </c>
      <c r="G341">
        <f t="shared" si="9"/>
        <v>201</v>
      </c>
      <c r="H341" t="s">
        <v>461</v>
      </c>
      <c r="I341" t="s">
        <v>637</v>
      </c>
      <c r="J341">
        <v>-26.365555560000001</v>
      </c>
      <c r="K341">
        <v>135.79</v>
      </c>
      <c r="L341" t="s">
        <v>463</v>
      </c>
    </row>
    <row r="342" spans="1:12" x14ac:dyDescent="0.2">
      <c r="A342" t="s">
        <v>824</v>
      </c>
      <c r="B342" t="s">
        <v>636</v>
      </c>
      <c r="D342">
        <v>6</v>
      </c>
      <c r="E342" s="1">
        <v>42816</v>
      </c>
      <c r="F342" s="1">
        <v>43017</v>
      </c>
      <c r="G342">
        <f t="shared" si="9"/>
        <v>201</v>
      </c>
      <c r="H342" t="s">
        <v>461</v>
      </c>
      <c r="I342" t="s">
        <v>637</v>
      </c>
      <c r="J342">
        <v>-26.365555560000001</v>
      </c>
      <c r="K342">
        <v>135.79</v>
      </c>
      <c r="L342" t="s">
        <v>463</v>
      </c>
    </row>
    <row r="343" spans="1:12" x14ac:dyDescent="0.2">
      <c r="A343" t="s">
        <v>825</v>
      </c>
      <c r="B343" t="s">
        <v>636</v>
      </c>
      <c r="D343">
        <v>6</v>
      </c>
      <c r="E343" s="1">
        <v>42816</v>
      </c>
      <c r="F343" s="1">
        <v>43017</v>
      </c>
      <c r="G343">
        <f t="shared" si="9"/>
        <v>201</v>
      </c>
      <c r="H343" t="s">
        <v>461</v>
      </c>
      <c r="I343" t="s">
        <v>637</v>
      </c>
      <c r="J343">
        <v>-26.365555560000001</v>
      </c>
      <c r="K343">
        <v>135.79</v>
      </c>
      <c r="L343" t="s">
        <v>463</v>
      </c>
    </row>
    <row r="344" spans="1:12" x14ac:dyDescent="0.2">
      <c r="A344" t="s">
        <v>826</v>
      </c>
      <c r="B344" t="s">
        <v>636</v>
      </c>
      <c r="D344">
        <v>6</v>
      </c>
      <c r="E344" s="1">
        <v>42816</v>
      </c>
      <c r="F344" s="1">
        <v>43017</v>
      </c>
      <c r="G344">
        <f t="shared" si="9"/>
        <v>201</v>
      </c>
      <c r="H344" t="s">
        <v>461</v>
      </c>
      <c r="I344" t="s">
        <v>637</v>
      </c>
      <c r="J344">
        <v>-26.365555560000001</v>
      </c>
      <c r="K344">
        <v>135.79</v>
      </c>
      <c r="L344" t="s">
        <v>463</v>
      </c>
    </row>
    <row r="345" spans="1:12" x14ac:dyDescent="0.2">
      <c r="A345" t="s">
        <v>827</v>
      </c>
      <c r="B345" t="s">
        <v>636</v>
      </c>
      <c r="D345">
        <v>6</v>
      </c>
      <c r="E345" s="1">
        <v>42816</v>
      </c>
      <c r="F345" s="1">
        <v>43017</v>
      </c>
      <c r="G345">
        <f t="shared" si="9"/>
        <v>201</v>
      </c>
      <c r="H345" t="s">
        <v>461</v>
      </c>
      <c r="I345" t="s">
        <v>637</v>
      </c>
      <c r="J345">
        <v>-26.365555560000001</v>
      </c>
      <c r="K345">
        <v>135.79</v>
      </c>
      <c r="L345" t="s">
        <v>463</v>
      </c>
    </row>
    <row r="346" spans="1:12" x14ac:dyDescent="0.2">
      <c r="A346" t="s">
        <v>828</v>
      </c>
      <c r="B346" t="s">
        <v>636</v>
      </c>
      <c r="D346">
        <v>6</v>
      </c>
      <c r="E346" s="1">
        <v>42816</v>
      </c>
      <c r="F346" s="1">
        <v>43017</v>
      </c>
      <c r="G346">
        <f t="shared" si="9"/>
        <v>201</v>
      </c>
      <c r="H346" t="s">
        <v>461</v>
      </c>
      <c r="I346" t="s">
        <v>637</v>
      </c>
      <c r="J346">
        <v>-26.365555560000001</v>
      </c>
      <c r="K346">
        <v>135.79</v>
      </c>
      <c r="L346" t="s">
        <v>463</v>
      </c>
    </row>
    <row r="347" spans="1:12" x14ac:dyDescent="0.2">
      <c r="A347" t="s">
        <v>829</v>
      </c>
      <c r="B347" t="s">
        <v>636</v>
      </c>
      <c r="D347">
        <v>6</v>
      </c>
      <c r="E347" s="1">
        <v>42816</v>
      </c>
      <c r="F347" s="1">
        <v>43017</v>
      </c>
      <c r="G347">
        <f t="shared" si="9"/>
        <v>201</v>
      </c>
      <c r="H347" t="s">
        <v>461</v>
      </c>
      <c r="I347" t="s">
        <v>637</v>
      </c>
      <c r="J347">
        <v>-26.365555560000001</v>
      </c>
      <c r="K347">
        <v>135.79</v>
      </c>
      <c r="L347" t="s">
        <v>463</v>
      </c>
    </row>
    <row r="348" spans="1:12" x14ac:dyDescent="0.2">
      <c r="A348" t="s">
        <v>830</v>
      </c>
      <c r="B348" t="s">
        <v>636</v>
      </c>
      <c r="D348">
        <v>6</v>
      </c>
      <c r="E348" s="1">
        <v>42816</v>
      </c>
      <c r="F348" s="1">
        <v>43017</v>
      </c>
      <c r="G348">
        <f t="shared" si="9"/>
        <v>201</v>
      </c>
      <c r="H348" t="s">
        <v>461</v>
      </c>
      <c r="I348" t="s">
        <v>637</v>
      </c>
      <c r="J348">
        <v>-26.365555560000001</v>
      </c>
      <c r="K348">
        <v>135.79</v>
      </c>
      <c r="L348" t="s">
        <v>463</v>
      </c>
    </row>
    <row r="349" spans="1:12" x14ac:dyDescent="0.2">
      <c r="A349" t="s">
        <v>831</v>
      </c>
      <c r="B349" t="s">
        <v>636</v>
      </c>
      <c r="D349">
        <v>6</v>
      </c>
      <c r="E349" s="1">
        <v>42816</v>
      </c>
      <c r="F349" s="1">
        <v>43017</v>
      </c>
      <c r="G349">
        <f t="shared" si="9"/>
        <v>201</v>
      </c>
      <c r="H349" t="s">
        <v>461</v>
      </c>
      <c r="I349" t="s">
        <v>637</v>
      </c>
      <c r="J349">
        <v>-26.365555560000001</v>
      </c>
      <c r="K349">
        <v>135.79</v>
      </c>
      <c r="L349" t="s">
        <v>463</v>
      </c>
    </row>
    <row r="350" spans="1:12" x14ac:dyDescent="0.2">
      <c r="A350" t="s">
        <v>832</v>
      </c>
      <c r="B350" t="s">
        <v>636</v>
      </c>
      <c r="D350">
        <v>6</v>
      </c>
      <c r="E350" s="1">
        <v>42816</v>
      </c>
      <c r="F350" s="1">
        <v>43017</v>
      </c>
      <c r="G350">
        <f t="shared" si="9"/>
        <v>201</v>
      </c>
      <c r="H350" t="s">
        <v>461</v>
      </c>
      <c r="I350" t="s">
        <v>637</v>
      </c>
      <c r="J350">
        <v>-26.365555560000001</v>
      </c>
      <c r="K350">
        <v>135.79</v>
      </c>
      <c r="L350" t="s">
        <v>463</v>
      </c>
    </row>
    <row r="351" spans="1:12" x14ac:dyDescent="0.2">
      <c r="A351" t="s">
        <v>833</v>
      </c>
      <c r="B351" t="s">
        <v>636</v>
      </c>
      <c r="D351">
        <v>6</v>
      </c>
      <c r="E351" s="1">
        <v>42816</v>
      </c>
      <c r="F351" s="1">
        <v>43017</v>
      </c>
      <c r="G351">
        <f t="shared" si="9"/>
        <v>201</v>
      </c>
      <c r="H351" t="s">
        <v>461</v>
      </c>
      <c r="I351" t="s">
        <v>637</v>
      </c>
      <c r="J351">
        <v>-26.365555560000001</v>
      </c>
      <c r="K351">
        <v>135.79</v>
      </c>
      <c r="L351" t="s">
        <v>463</v>
      </c>
    </row>
    <row r="352" spans="1:12" x14ac:dyDescent="0.2">
      <c r="A352" t="s">
        <v>834</v>
      </c>
      <c r="B352" t="s">
        <v>636</v>
      </c>
      <c r="D352">
        <v>6</v>
      </c>
      <c r="E352" s="1">
        <v>42816</v>
      </c>
      <c r="F352" s="1">
        <v>43017</v>
      </c>
      <c r="G352">
        <f t="shared" si="9"/>
        <v>201</v>
      </c>
      <c r="H352" t="s">
        <v>461</v>
      </c>
      <c r="I352" t="s">
        <v>637</v>
      </c>
      <c r="J352">
        <v>-26.365555560000001</v>
      </c>
      <c r="K352">
        <v>135.79</v>
      </c>
      <c r="L352" t="s">
        <v>463</v>
      </c>
    </row>
    <row r="353" spans="1:12" x14ac:dyDescent="0.2">
      <c r="A353" t="s">
        <v>835</v>
      </c>
      <c r="B353" t="s">
        <v>636</v>
      </c>
      <c r="D353">
        <v>6</v>
      </c>
      <c r="E353" s="1">
        <v>42816</v>
      </c>
      <c r="F353" s="1">
        <v>43017</v>
      </c>
      <c r="G353">
        <f t="shared" si="9"/>
        <v>201</v>
      </c>
      <c r="H353" t="s">
        <v>461</v>
      </c>
      <c r="I353" t="s">
        <v>637</v>
      </c>
      <c r="J353">
        <v>-26.365555560000001</v>
      </c>
      <c r="K353">
        <v>135.79</v>
      </c>
      <c r="L353" t="s">
        <v>463</v>
      </c>
    </row>
    <row r="354" spans="1:12" x14ac:dyDescent="0.2">
      <c r="A354" t="s">
        <v>836</v>
      </c>
      <c r="B354" t="s">
        <v>636</v>
      </c>
      <c r="D354">
        <v>6</v>
      </c>
      <c r="E354" s="1">
        <v>42816</v>
      </c>
      <c r="F354" s="1">
        <v>43017</v>
      </c>
      <c r="G354">
        <f t="shared" si="9"/>
        <v>201</v>
      </c>
      <c r="H354" t="s">
        <v>461</v>
      </c>
      <c r="I354" t="s">
        <v>637</v>
      </c>
      <c r="J354">
        <v>-26.365555560000001</v>
      </c>
      <c r="K354">
        <v>135.79</v>
      </c>
      <c r="L354" t="s">
        <v>463</v>
      </c>
    </row>
    <row r="355" spans="1:12" x14ac:dyDescent="0.2">
      <c r="A355" t="s">
        <v>837</v>
      </c>
      <c r="B355" t="s">
        <v>636</v>
      </c>
      <c r="D355">
        <v>6</v>
      </c>
      <c r="E355" s="1">
        <v>42816</v>
      </c>
      <c r="F355" s="1">
        <v>43017</v>
      </c>
      <c r="G355">
        <f t="shared" si="9"/>
        <v>201</v>
      </c>
      <c r="H355" t="s">
        <v>461</v>
      </c>
      <c r="I355" t="s">
        <v>637</v>
      </c>
      <c r="J355">
        <v>-26.365555560000001</v>
      </c>
      <c r="K355">
        <v>135.79</v>
      </c>
      <c r="L355" t="s">
        <v>463</v>
      </c>
    </row>
    <row r="356" spans="1:12" x14ac:dyDescent="0.2">
      <c r="A356" t="s">
        <v>838</v>
      </c>
      <c r="B356" t="s">
        <v>636</v>
      </c>
      <c r="D356">
        <v>6</v>
      </c>
      <c r="E356" s="1">
        <v>42816</v>
      </c>
      <c r="F356" s="1">
        <v>43017</v>
      </c>
      <c r="G356">
        <f t="shared" si="9"/>
        <v>201</v>
      </c>
      <c r="H356" t="s">
        <v>461</v>
      </c>
      <c r="I356" t="s">
        <v>637</v>
      </c>
      <c r="J356">
        <v>-26.365555560000001</v>
      </c>
      <c r="K356">
        <v>135.79</v>
      </c>
      <c r="L356" t="s">
        <v>463</v>
      </c>
    </row>
    <row r="357" spans="1:12" x14ac:dyDescent="0.2">
      <c r="A357" t="s">
        <v>839</v>
      </c>
      <c r="B357" t="s">
        <v>636</v>
      </c>
      <c r="D357">
        <v>6</v>
      </c>
      <c r="E357" s="1">
        <v>42816</v>
      </c>
      <c r="F357" s="1">
        <v>43017</v>
      </c>
      <c r="G357">
        <f t="shared" si="9"/>
        <v>201</v>
      </c>
      <c r="H357" t="s">
        <v>461</v>
      </c>
      <c r="I357" t="s">
        <v>637</v>
      </c>
      <c r="J357">
        <v>-26.365555560000001</v>
      </c>
      <c r="K357">
        <v>135.79</v>
      </c>
      <c r="L357" t="s">
        <v>463</v>
      </c>
    </row>
    <row r="358" spans="1:12" x14ac:dyDescent="0.2">
      <c r="A358" t="s">
        <v>840</v>
      </c>
      <c r="B358" t="s">
        <v>636</v>
      </c>
      <c r="D358">
        <v>6</v>
      </c>
      <c r="E358" s="1">
        <v>42816</v>
      </c>
      <c r="F358" s="1">
        <v>43017</v>
      </c>
      <c r="G358">
        <f t="shared" si="9"/>
        <v>201</v>
      </c>
      <c r="H358" t="s">
        <v>461</v>
      </c>
      <c r="I358" t="s">
        <v>637</v>
      </c>
      <c r="J358">
        <v>-26.365555560000001</v>
      </c>
      <c r="K358">
        <v>135.79</v>
      </c>
      <c r="L358" t="s">
        <v>463</v>
      </c>
    </row>
    <row r="359" spans="1:12" x14ac:dyDescent="0.2">
      <c r="A359" t="s">
        <v>841</v>
      </c>
      <c r="B359" t="s">
        <v>636</v>
      </c>
      <c r="D359">
        <v>6</v>
      </c>
      <c r="E359" s="1">
        <v>42816</v>
      </c>
      <c r="F359" s="1">
        <v>43017</v>
      </c>
      <c r="G359">
        <f t="shared" si="9"/>
        <v>201</v>
      </c>
      <c r="H359" t="s">
        <v>461</v>
      </c>
      <c r="I359" t="s">
        <v>637</v>
      </c>
      <c r="J359">
        <v>-26.365555560000001</v>
      </c>
      <c r="K359">
        <v>135.79</v>
      </c>
      <c r="L359" t="s">
        <v>463</v>
      </c>
    </row>
    <row r="360" spans="1:12" x14ac:dyDescent="0.2">
      <c r="A360" t="s">
        <v>842</v>
      </c>
      <c r="B360" t="s">
        <v>636</v>
      </c>
      <c r="D360">
        <v>6</v>
      </c>
      <c r="E360" s="1">
        <v>42816</v>
      </c>
      <c r="F360" s="1">
        <v>43017</v>
      </c>
      <c r="G360">
        <f t="shared" si="9"/>
        <v>201</v>
      </c>
      <c r="H360" t="s">
        <v>461</v>
      </c>
      <c r="I360" t="s">
        <v>637</v>
      </c>
      <c r="J360">
        <v>-26.365555560000001</v>
      </c>
      <c r="K360">
        <v>135.79</v>
      </c>
      <c r="L360" t="s">
        <v>463</v>
      </c>
    </row>
    <row r="361" spans="1:12" x14ac:dyDescent="0.2">
      <c r="A361" t="s">
        <v>843</v>
      </c>
      <c r="B361" t="s">
        <v>636</v>
      </c>
      <c r="D361">
        <v>6</v>
      </c>
      <c r="E361" s="1">
        <v>42816</v>
      </c>
      <c r="F361" s="1">
        <v>43017</v>
      </c>
      <c r="G361">
        <f t="shared" si="9"/>
        <v>201</v>
      </c>
      <c r="H361" t="s">
        <v>461</v>
      </c>
      <c r="I361" t="s">
        <v>637</v>
      </c>
      <c r="J361">
        <v>-26.365555560000001</v>
      </c>
      <c r="K361">
        <v>135.79</v>
      </c>
      <c r="L361" t="s">
        <v>463</v>
      </c>
    </row>
    <row r="362" spans="1:12" x14ac:dyDescent="0.2">
      <c r="A362" t="s">
        <v>844</v>
      </c>
      <c r="B362" t="s">
        <v>636</v>
      </c>
      <c r="D362">
        <v>6</v>
      </c>
      <c r="E362" s="1">
        <v>42816</v>
      </c>
      <c r="F362" s="1">
        <v>43017</v>
      </c>
      <c r="G362">
        <f t="shared" si="9"/>
        <v>201</v>
      </c>
      <c r="H362" t="s">
        <v>461</v>
      </c>
      <c r="I362" t="s">
        <v>637</v>
      </c>
      <c r="J362">
        <v>-26.365555560000001</v>
      </c>
      <c r="K362">
        <v>135.79</v>
      </c>
      <c r="L362" t="s">
        <v>463</v>
      </c>
    </row>
    <row r="363" spans="1:12" x14ac:dyDescent="0.2">
      <c r="A363" t="s">
        <v>845</v>
      </c>
      <c r="B363" t="s">
        <v>636</v>
      </c>
      <c r="D363">
        <v>6</v>
      </c>
      <c r="E363" s="1">
        <v>42816</v>
      </c>
      <c r="F363" s="1">
        <v>43017</v>
      </c>
      <c r="G363">
        <f t="shared" si="9"/>
        <v>201</v>
      </c>
      <c r="H363" t="s">
        <v>461</v>
      </c>
      <c r="I363" t="s">
        <v>637</v>
      </c>
      <c r="J363">
        <v>-26.365555560000001</v>
      </c>
      <c r="K363">
        <v>135.79</v>
      </c>
      <c r="L363" t="s">
        <v>463</v>
      </c>
    </row>
    <row r="364" spans="1:12" x14ac:dyDescent="0.2">
      <c r="A364" t="s">
        <v>846</v>
      </c>
      <c r="B364" t="s">
        <v>636</v>
      </c>
      <c r="D364">
        <v>6</v>
      </c>
      <c r="E364" s="1">
        <v>42816</v>
      </c>
      <c r="F364" s="1">
        <v>43017</v>
      </c>
      <c r="G364">
        <f t="shared" si="9"/>
        <v>201</v>
      </c>
      <c r="H364" t="s">
        <v>461</v>
      </c>
      <c r="I364" t="s">
        <v>637</v>
      </c>
      <c r="J364">
        <v>-26.365555560000001</v>
      </c>
      <c r="K364">
        <v>135.79</v>
      </c>
      <c r="L364" t="s">
        <v>463</v>
      </c>
    </row>
    <row r="365" spans="1:12" x14ac:dyDescent="0.2">
      <c r="A365" t="s">
        <v>847</v>
      </c>
      <c r="B365" t="s">
        <v>636</v>
      </c>
      <c r="D365">
        <v>6</v>
      </c>
      <c r="E365" s="1">
        <v>42816</v>
      </c>
      <c r="F365" s="1">
        <v>43017</v>
      </c>
      <c r="G365">
        <f t="shared" si="9"/>
        <v>201</v>
      </c>
      <c r="H365" t="s">
        <v>461</v>
      </c>
      <c r="I365" t="s">
        <v>637</v>
      </c>
      <c r="J365">
        <v>-26.365555560000001</v>
      </c>
      <c r="K365">
        <v>135.79</v>
      </c>
      <c r="L365" t="s">
        <v>463</v>
      </c>
    </row>
    <row r="366" spans="1:12" x14ac:dyDescent="0.2">
      <c r="A366" t="s">
        <v>848</v>
      </c>
      <c r="B366" t="s">
        <v>636</v>
      </c>
      <c r="D366">
        <v>6</v>
      </c>
      <c r="E366" s="1">
        <v>42816</v>
      </c>
      <c r="F366" s="1">
        <v>43017</v>
      </c>
      <c r="G366">
        <f t="shared" si="9"/>
        <v>201</v>
      </c>
      <c r="H366" t="s">
        <v>461</v>
      </c>
      <c r="I366" t="s">
        <v>637</v>
      </c>
      <c r="J366">
        <v>-26.365555560000001</v>
      </c>
      <c r="K366">
        <v>135.79</v>
      </c>
      <c r="L366" t="s">
        <v>463</v>
      </c>
    </row>
    <row r="367" spans="1:12" x14ac:dyDescent="0.2">
      <c r="A367" t="s">
        <v>849</v>
      </c>
      <c r="B367" t="s">
        <v>636</v>
      </c>
      <c r="D367">
        <v>6</v>
      </c>
      <c r="E367" s="1">
        <v>42816</v>
      </c>
      <c r="F367" s="1">
        <v>43017</v>
      </c>
      <c r="G367">
        <f t="shared" si="9"/>
        <v>201</v>
      </c>
      <c r="H367" t="s">
        <v>461</v>
      </c>
      <c r="I367" t="s">
        <v>637</v>
      </c>
      <c r="J367">
        <v>-26.365555560000001</v>
      </c>
      <c r="K367">
        <v>135.79</v>
      </c>
      <c r="L367" t="s">
        <v>463</v>
      </c>
    </row>
    <row r="368" spans="1:12" x14ac:dyDescent="0.2">
      <c r="A368" t="s">
        <v>850</v>
      </c>
      <c r="B368" t="s">
        <v>636</v>
      </c>
      <c r="D368">
        <v>6</v>
      </c>
      <c r="E368" s="1">
        <v>42816</v>
      </c>
      <c r="F368" s="1">
        <v>43017</v>
      </c>
      <c r="G368">
        <f t="shared" si="9"/>
        <v>201</v>
      </c>
      <c r="H368" t="s">
        <v>461</v>
      </c>
      <c r="I368" t="s">
        <v>637</v>
      </c>
      <c r="J368">
        <v>-26.365555560000001</v>
      </c>
      <c r="K368">
        <v>135.79</v>
      </c>
      <c r="L368" t="s">
        <v>463</v>
      </c>
    </row>
    <row r="369" spans="1:12" x14ac:dyDescent="0.2">
      <c r="A369" t="s">
        <v>851</v>
      </c>
      <c r="B369" t="s">
        <v>636</v>
      </c>
      <c r="D369">
        <v>6</v>
      </c>
      <c r="E369" s="1">
        <v>42816</v>
      </c>
      <c r="F369" s="1">
        <v>43017</v>
      </c>
      <c r="G369">
        <f t="shared" si="9"/>
        <v>201</v>
      </c>
      <c r="H369" t="s">
        <v>461</v>
      </c>
      <c r="I369" t="s">
        <v>637</v>
      </c>
      <c r="J369">
        <v>-26.365555560000001</v>
      </c>
      <c r="K369">
        <v>135.79</v>
      </c>
      <c r="L369" t="s">
        <v>463</v>
      </c>
    </row>
    <row r="370" spans="1:12" x14ac:dyDescent="0.2">
      <c r="A370" t="s">
        <v>852</v>
      </c>
      <c r="B370" t="s">
        <v>636</v>
      </c>
      <c r="D370">
        <v>6</v>
      </c>
      <c r="E370" s="1">
        <v>42816</v>
      </c>
      <c r="F370" s="1">
        <v>43017</v>
      </c>
      <c r="G370">
        <f t="shared" si="9"/>
        <v>201</v>
      </c>
      <c r="H370" t="s">
        <v>461</v>
      </c>
      <c r="I370" t="s">
        <v>637</v>
      </c>
      <c r="J370">
        <v>-26.365555560000001</v>
      </c>
      <c r="K370">
        <v>135.79</v>
      </c>
      <c r="L370" t="s">
        <v>463</v>
      </c>
    </row>
    <row r="371" spans="1:12" x14ac:dyDescent="0.2">
      <c r="A371" t="s">
        <v>853</v>
      </c>
      <c r="B371" t="s">
        <v>636</v>
      </c>
      <c r="D371">
        <v>6</v>
      </c>
      <c r="E371" s="1">
        <v>42816</v>
      </c>
      <c r="F371" s="1">
        <v>43017</v>
      </c>
      <c r="G371">
        <f t="shared" si="9"/>
        <v>201</v>
      </c>
      <c r="H371" t="s">
        <v>461</v>
      </c>
      <c r="I371" t="s">
        <v>637</v>
      </c>
      <c r="J371">
        <v>-26.365555560000001</v>
      </c>
      <c r="K371">
        <v>135.79</v>
      </c>
      <c r="L371" t="s">
        <v>463</v>
      </c>
    </row>
    <row r="372" spans="1:12" x14ac:dyDescent="0.2">
      <c r="A372" t="s">
        <v>854</v>
      </c>
      <c r="B372" t="s">
        <v>636</v>
      </c>
      <c r="D372">
        <v>6</v>
      </c>
      <c r="E372" s="1">
        <v>42816</v>
      </c>
      <c r="F372" s="1">
        <v>43017</v>
      </c>
      <c r="G372">
        <f t="shared" si="9"/>
        <v>201</v>
      </c>
      <c r="H372" t="s">
        <v>461</v>
      </c>
      <c r="I372" t="s">
        <v>637</v>
      </c>
      <c r="J372">
        <v>-26.365555560000001</v>
      </c>
      <c r="K372">
        <v>135.79</v>
      </c>
      <c r="L372" t="s">
        <v>463</v>
      </c>
    </row>
    <row r="373" spans="1:12" x14ac:dyDescent="0.2">
      <c r="A373" t="s">
        <v>855</v>
      </c>
      <c r="B373" t="s">
        <v>636</v>
      </c>
      <c r="D373">
        <v>6</v>
      </c>
      <c r="E373" s="1">
        <v>42816</v>
      </c>
      <c r="F373" s="1">
        <v>43017</v>
      </c>
      <c r="G373">
        <f t="shared" si="9"/>
        <v>201</v>
      </c>
      <c r="H373" t="s">
        <v>461</v>
      </c>
      <c r="I373" t="s">
        <v>637</v>
      </c>
      <c r="J373">
        <v>-26.365555560000001</v>
      </c>
      <c r="K373">
        <v>135.79</v>
      </c>
      <c r="L373" t="s">
        <v>463</v>
      </c>
    </row>
    <row r="374" spans="1:12" x14ac:dyDescent="0.2">
      <c r="A374" t="s">
        <v>856</v>
      </c>
      <c r="B374" t="s">
        <v>636</v>
      </c>
      <c r="D374">
        <v>6</v>
      </c>
      <c r="E374" s="1">
        <v>42816</v>
      </c>
      <c r="F374" s="1">
        <v>43017</v>
      </c>
      <c r="G374">
        <f t="shared" si="9"/>
        <v>201</v>
      </c>
      <c r="H374" t="s">
        <v>461</v>
      </c>
      <c r="I374" t="s">
        <v>637</v>
      </c>
      <c r="J374">
        <v>-26.365555560000001</v>
      </c>
      <c r="K374">
        <v>135.79</v>
      </c>
      <c r="L374" t="s">
        <v>463</v>
      </c>
    </row>
    <row r="375" spans="1:12" x14ac:dyDescent="0.2">
      <c r="A375" t="s">
        <v>857</v>
      </c>
      <c r="B375" t="s">
        <v>636</v>
      </c>
      <c r="D375">
        <v>6</v>
      </c>
      <c r="E375" s="1">
        <v>42816</v>
      </c>
      <c r="F375" s="1">
        <v>43017</v>
      </c>
      <c r="G375">
        <f t="shared" si="9"/>
        <v>201</v>
      </c>
      <c r="H375" t="s">
        <v>461</v>
      </c>
      <c r="I375" t="s">
        <v>637</v>
      </c>
      <c r="J375">
        <v>-26.365555560000001</v>
      </c>
      <c r="K375">
        <v>135.79</v>
      </c>
      <c r="L375" t="s">
        <v>463</v>
      </c>
    </row>
    <row r="376" spans="1:12" x14ac:dyDescent="0.2">
      <c r="A376" t="s">
        <v>858</v>
      </c>
      <c r="B376" t="s">
        <v>636</v>
      </c>
      <c r="D376">
        <v>6</v>
      </c>
      <c r="E376" s="1">
        <v>42816</v>
      </c>
      <c r="F376" s="1">
        <v>43017</v>
      </c>
      <c r="G376">
        <f t="shared" si="9"/>
        <v>201</v>
      </c>
      <c r="H376" t="s">
        <v>461</v>
      </c>
      <c r="I376" t="s">
        <v>637</v>
      </c>
      <c r="J376">
        <v>-26.365555560000001</v>
      </c>
      <c r="K376">
        <v>135.79</v>
      </c>
      <c r="L376" t="s">
        <v>463</v>
      </c>
    </row>
    <row r="377" spans="1:12" x14ac:dyDescent="0.2">
      <c r="A377" t="s">
        <v>859</v>
      </c>
      <c r="B377" t="s">
        <v>636</v>
      </c>
      <c r="D377">
        <v>6</v>
      </c>
      <c r="E377" s="1">
        <v>42816</v>
      </c>
      <c r="F377" s="1">
        <v>43017</v>
      </c>
      <c r="G377">
        <f t="shared" si="9"/>
        <v>201</v>
      </c>
      <c r="H377" t="s">
        <v>461</v>
      </c>
      <c r="I377" t="s">
        <v>637</v>
      </c>
      <c r="J377">
        <v>-26.365555560000001</v>
      </c>
      <c r="K377">
        <v>135.79</v>
      </c>
      <c r="L377" t="s">
        <v>463</v>
      </c>
    </row>
    <row r="378" spans="1:12" x14ac:dyDescent="0.2">
      <c r="A378" t="s">
        <v>860</v>
      </c>
      <c r="B378" t="s">
        <v>636</v>
      </c>
      <c r="D378">
        <v>6</v>
      </c>
      <c r="E378" s="1">
        <v>42816</v>
      </c>
      <c r="F378" s="1">
        <v>43017</v>
      </c>
      <c r="G378">
        <f t="shared" si="9"/>
        <v>201</v>
      </c>
      <c r="H378" t="s">
        <v>461</v>
      </c>
      <c r="I378" t="s">
        <v>637</v>
      </c>
      <c r="J378">
        <v>-26.365555560000001</v>
      </c>
      <c r="K378">
        <v>135.79</v>
      </c>
      <c r="L378" t="s">
        <v>463</v>
      </c>
    </row>
    <row r="379" spans="1:12" x14ac:dyDescent="0.2">
      <c r="A379" t="s">
        <v>861</v>
      </c>
      <c r="B379" t="s">
        <v>636</v>
      </c>
      <c r="D379">
        <v>6</v>
      </c>
      <c r="E379" s="1">
        <v>42816</v>
      </c>
      <c r="F379" s="1">
        <v>43017</v>
      </c>
      <c r="G379">
        <f t="shared" si="9"/>
        <v>201</v>
      </c>
      <c r="H379" t="s">
        <v>461</v>
      </c>
      <c r="I379" t="s">
        <v>637</v>
      </c>
      <c r="J379">
        <v>-26.365555560000001</v>
      </c>
      <c r="K379">
        <v>135.79</v>
      </c>
      <c r="L379" t="s">
        <v>463</v>
      </c>
    </row>
    <row r="380" spans="1:12" x14ac:dyDescent="0.2">
      <c r="A380" t="s">
        <v>862</v>
      </c>
      <c r="B380" t="s">
        <v>636</v>
      </c>
      <c r="D380">
        <v>6</v>
      </c>
      <c r="E380" s="1">
        <v>42816</v>
      </c>
      <c r="F380" s="1">
        <v>43017</v>
      </c>
      <c r="G380">
        <f t="shared" si="9"/>
        <v>201</v>
      </c>
      <c r="H380" t="s">
        <v>461</v>
      </c>
      <c r="I380" t="s">
        <v>637</v>
      </c>
      <c r="J380">
        <v>-26.365555560000001</v>
      </c>
      <c r="K380">
        <v>135.79</v>
      </c>
      <c r="L380" t="s">
        <v>463</v>
      </c>
    </row>
    <row r="381" spans="1:12" x14ac:dyDescent="0.2">
      <c r="A381" t="s">
        <v>863</v>
      </c>
      <c r="B381" t="s">
        <v>636</v>
      </c>
      <c r="D381">
        <v>6</v>
      </c>
      <c r="E381" s="1">
        <v>42816</v>
      </c>
      <c r="F381" s="1">
        <v>43017</v>
      </c>
      <c r="G381">
        <f t="shared" si="9"/>
        <v>201</v>
      </c>
      <c r="H381" t="s">
        <v>461</v>
      </c>
      <c r="I381" t="s">
        <v>637</v>
      </c>
      <c r="J381">
        <v>-26.365555560000001</v>
      </c>
      <c r="K381">
        <v>135.79</v>
      </c>
      <c r="L381" t="s">
        <v>463</v>
      </c>
    </row>
    <row r="382" spans="1:12" x14ac:dyDescent="0.2">
      <c r="A382" t="s">
        <v>864</v>
      </c>
      <c r="B382" t="s">
        <v>636</v>
      </c>
      <c r="D382">
        <v>6</v>
      </c>
      <c r="E382" s="1">
        <v>42816</v>
      </c>
      <c r="F382" s="1">
        <v>43017</v>
      </c>
      <c r="G382">
        <f t="shared" si="9"/>
        <v>201</v>
      </c>
      <c r="H382" t="s">
        <v>461</v>
      </c>
      <c r="I382" t="s">
        <v>637</v>
      </c>
      <c r="J382">
        <v>-26.365555560000001</v>
      </c>
      <c r="K382">
        <v>135.79</v>
      </c>
      <c r="L382" t="s">
        <v>463</v>
      </c>
    </row>
    <row r="383" spans="1:12" x14ac:dyDescent="0.2">
      <c r="A383" t="s">
        <v>865</v>
      </c>
      <c r="B383" t="s">
        <v>636</v>
      </c>
      <c r="D383">
        <v>6</v>
      </c>
      <c r="E383" s="1">
        <v>42816</v>
      </c>
      <c r="F383" s="1">
        <v>43017</v>
      </c>
      <c r="G383">
        <f t="shared" si="9"/>
        <v>201</v>
      </c>
      <c r="H383" t="s">
        <v>461</v>
      </c>
      <c r="I383" t="s">
        <v>637</v>
      </c>
      <c r="J383">
        <v>-26.365555560000001</v>
      </c>
      <c r="K383">
        <v>135.79</v>
      </c>
      <c r="L383" t="s">
        <v>463</v>
      </c>
    </row>
    <row r="384" spans="1:12" x14ac:dyDescent="0.2">
      <c r="A384" t="s">
        <v>866</v>
      </c>
      <c r="B384" t="s">
        <v>636</v>
      </c>
      <c r="D384">
        <v>6</v>
      </c>
      <c r="E384" s="1">
        <v>42816</v>
      </c>
      <c r="F384" s="1">
        <v>43017</v>
      </c>
      <c r="G384">
        <f t="shared" si="9"/>
        <v>201</v>
      </c>
      <c r="H384" t="s">
        <v>461</v>
      </c>
      <c r="I384" t="s">
        <v>637</v>
      </c>
      <c r="J384">
        <v>-26.365555560000001</v>
      </c>
      <c r="K384">
        <v>135.79</v>
      </c>
      <c r="L384" t="s">
        <v>463</v>
      </c>
    </row>
    <row r="385" spans="1:12" x14ac:dyDescent="0.2">
      <c r="A385" t="s">
        <v>867</v>
      </c>
      <c r="B385" t="s">
        <v>636</v>
      </c>
      <c r="D385">
        <v>6</v>
      </c>
      <c r="E385" s="1">
        <v>42816</v>
      </c>
      <c r="F385" s="1">
        <v>43017</v>
      </c>
      <c r="G385">
        <f t="shared" si="9"/>
        <v>201</v>
      </c>
      <c r="H385" t="s">
        <v>461</v>
      </c>
      <c r="I385" t="s">
        <v>637</v>
      </c>
      <c r="J385">
        <v>-26.365555560000001</v>
      </c>
      <c r="K385">
        <v>135.79</v>
      </c>
      <c r="L385" t="s">
        <v>463</v>
      </c>
    </row>
    <row r="386" spans="1:12" x14ac:dyDescent="0.2">
      <c r="A386" t="s">
        <v>868</v>
      </c>
      <c r="B386" t="s">
        <v>636</v>
      </c>
      <c r="D386">
        <v>6</v>
      </c>
      <c r="E386" s="1">
        <v>42816</v>
      </c>
      <c r="F386" s="1">
        <v>43017</v>
      </c>
      <c r="G386">
        <f t="shared" si="9"/>
        <v>201</v>
      </c>
      <c r="H386" t="s">
        <v>461</v>
      </c>
      <c r="I386" t="s">
        <v>637</v>
      </c>
      <c r="J386">
        <v>-26.365555560000001</v>
      </c>
      <c r="K386">
        <v>135.79</v>
      </c>
      <c r="L386" t="s">
        <v>463</v>
      </c>
    </row>
    <row r="387" spans="1:12" x14ac:dyDescent="0.2">
      <c r="A387" t="s">
        <v>869</v>
      </c>
      <c r="B387" t="s">
        <v>636</v>
      </c>
      <c r="D387">
        <v>6</v>
      </c>
      <c r="E387" s="1">
        <v>42816</v>
      </c>
      <c r="F387" s="1">
        <v>43017</v>
      </c>
      <c r="G387">
        <f t="shared" si="9"/>
        <v>201</v>
      </c>
      <c r="H387" t="s">
        <v>461</v>
      </c>
      <c r="I387" t="s">
        <v>637</v>
      </c>
      <c r="J387">
        <v>-26.365555560000001</v>
      </c>
      <c r="K387">
        <v>135.79</v>
      </c>
      <c r="L387" t="s">
        <v>463</v>
      </c>
    </row>
    <row r="388" spans="1:12" x14ac:dyDescent="0.2">
      <c r="A388" t="s">
        <v>870</v>
      </c>
      <c r="B388" t="s">
        <v>636</v>
      </c>
      <c r="D388">
        <v>6</v>
      </c>
      <c r="E388" s="1">
        <v>42816</v>
      </c>
      <c r="F388" s="1">
        <v>43017</v>
      </c>
      <c r="G388">
        <f t="shared" ref="G388:G451" si="10">F388-E388</f>
        <v>201</v>
      </c>
      <c r="H388" t="s">
        <v>461</v>
      </c>
      <c r="I388" t="s">
        <v>637</v>
      </c>
      <c r="J388">
        <v>-26.365555560000001</v>
      </c>
      <c r="K388">
        <v>135.79</v>
      </c>
      <c r="L388" t="s">
        <v>463</v>
      </c>
    </row>
    <row r="389" spans="1:12" x14ac:dyDescent="0.2">
      <c r="A389" t="s">
        <v>871</v>
      </c>
      <c r="B389" t="s">
        <v>636</v>
      </c>
      <c r="D389">
        <v>6</v>
      </c>
      <c r="E389" s="1">
        <v>42816</v>
      </c>
      <c r="F389" s="1">
        <v>43017</v>
      </c>
      <c r="G389">
        <f t="shared" si="10"/>
        <v>201</v>
      </c>
      <c r="H389" t="s">
        <v>461</v>
      </c>
      <c r="I389" t="s">
        <v>637</v>
      </c>
      <c r="J389">
        <v>-26.365555560000001</v>
      </c>
      <c r="K389">
        <v>135.79</v>
      </c>
      <c r="L389" t="s">
        <v>463</v>
      </c>
    </row>
    <row r="390" spans="1:12" x14ac:dyDescent="0.2">
      <c r="A390" t="s">
        <v>872</v>
      </c>
      <c r="B390" t="s">
        <v>636</v>
      </c>
      <c r="D390">
        <v>6</v>
      </c>
      <c r="E390" s="1">
        <v>42816</v>
      </c>
      <c r="F390" s="1">
        <v>43017</v>
      </c>
      <c r="G390">
        <f t="shared" si="10"/>
        <v>201</v>
      </c>
      <c r="H390" t="s">
        <v>461</v>
      </c>
      <c r="I390" t="s">
        <v>637</v>
      </c>
      <c r="J390">
        <v>-26.365555560000001</v>
      </c>
      <c r="K390">
        <v>135.79</v>
      </c>
      <c r="L390" t="s">
        <v>463</v>
      </c>
    </row>
    <row r="391" spans="1:12" x14ac:dyDescent="0.2">
      <c r="A391" t="s">
        <v>873</v>
      </c>
      <c r="B391" t="s">
        <v>636</v>
      </c>
      <c r="D391">
        <v>6</v>
      </c>
      <c r="E391" s="1">
        <v>42816</v>
      </c>
      <c r="F391" s="1">
        <v>43017</v>
      </c>
      <c r="G391">
        <f t="shared" si="10"/>
        <v>201</v>
      </c>
      <c r="H391" t="s">
        <v>461</v>
      </c>
      <c r="I391" t="s">
        <v>637</v>
      </c>
      <c r="J391">
        <v>-26.365555560000001</v>
      </c>
      <c r="K391">
        <v>135.79</v>
      </c>
      <c r="L391" t="s">
        <v>463</v>
      </c>
    </row>
    <row r="392" spans="1:12" x14ac:dyDescent="0.2">
      <c r="A392" t="s">
        <v>874</v>
      </c>
      <c r="B392" t="s">
        <v>636</v>
      </c>
      <c r="D392">
        <v>6</v>
      </c>
      <c r="E392" s="1">
        <v>42816</v>
      </c>
      <c r="F392" s="1">
        <v>43017</v>
      </c>
      <c r="G392">
        <f t="shared" si="10"/>
        <v>201</v>
      </c>
      <c r="H392" t="s">
        <v>461</v>
      </c>
      <c r="I392" t="s">
        <v>637</v>
      </c>
      <c r="J392">
        <v>-26.365555560000001</v>
      </c>
      <c r="K392">
        <v>135.79</v>
      </c>
      <c r="L392" t="s">
        <v>463</v>
      </c>
    </row>
    <row r="393" spans="1:12" x14ac:dyDescent="0.2">
      <c r="A393" t="s">
        <v>875</v>
      </c>
      <c r="B393" t="s">
        <v>636</v>
      </c>
      <c r="D393">
        <v>6</v>
      </c>
      <c r="E393" s="1">
        <v>42816</v>
      </c>
      <c r="F393" s="1">
        <v>43017</v>
      </c>
      <c r="G393">
        <f t="shared" si="10"/>
        <v>201</v>
      </c>
      <c r="H393" t="s">
        <v>461</v>
      </c>
      <c r="I393" t="s">
        <v>637</v>
      </c>
      <c r="J393">
        <v>-26.365555560000001</v>
      </c>
      <c r="K393">
        <v>135.79</v>
      </c>
      <c r="L393" t="s">
        <v>463</v>
      </c>
    </row>
    <row r="394" spans="1:12" x14ac:dyDescent="0.2">
      <c r="A394" t="s">
        <v>876</v>
      </c>
      <c r="B394" t="s">
        <v>636</v>
      </c>
      <c r="D394">
        <v>6</v>
      </c>
      <c r="E394" s="1">
        <v>42816</v>
      </c>
      <c r="F394" s="1">
        <v>43017</v>
      </c>
      <c r="G394">
        <f t="shared" si="10"/>
        <v>201</v>
      </c>
      <c r="H394" t="s">
        <v>461</v>
      </c>
      <c r="I394" t="s">
        <v>637</v>
      </c>
      <c r="J394">
        <v>-26.365555560000001</v>
      </c>
      <c r="K394">
        <v>135.79</v>
      </c>
      <c r="L394" t="s">
        <v>463</v>
      </c>
    </row>
    <row r="395" spans="1:12" x14ac:dyDescent="0.2">
      <c r="A395" t="s">
        <v>877</v>
      </c>
      <c r="B395" t="s">
        <v>636</v>
      </c>
      <c r="D395">
        <v>6</v>
      </c>
      <c r="E395" s="1">
        <v>42816</v>
      </c>
      <c r="F395" s="1">
        <v>43017</v>
      </c>
      <c r="G395">
        <f t="shared" si="10"/>
        <v>201</v>
      </c>
      <c r="H395" t="s">
        <v>461</v>
      </c>
      <c r="I395" t="s">
        <v>637</v>
      </c>
      <c r="J395">
        <v>-26.365555560000001</v>
      </c>
      <c r="K395">
        <v>135.79</v>
      </c>
      <c r="L395" t="s">
        <v>463</v>
      </c>
    </row>
    <row r="396" spans="1:12" x14ac:dyDescent="0.2">
      <c r="A396" t="s">
        <v>878</v>
      </c>
      <c r="B396" t="s">
        <v>636</v>
      </c>
      <c r="D396">
        <v>6</v>
      </c>
      <c r="E396" s="1">
        <v>42816</v>
      </c>
      <c r="F396" s="1">
        <v>43017</v>
      </c>
      <c r="G396">
        <f t="shared" si="10"/>
        <v>201</v>
      </c>
      <c r="H396" t="s">
        <v>461</v>
      </c>
      <c r="I396" t="s">
        <v>637</v>
      </c>
      <c r="J396">
        <v>-26.365555560000001</v>
      </c>
      <c r="K396">
        <v>135.79</v>
      </c>
      <c r="L396" t="s">
        <v>463</v>
      </c>
    </row>
    <row r="397" spans="1:12" x14ac:dyDescent="0.2">
      <c r="A397" t="s">
        <v>879</v>
      </c>
      <c r="B397" t="s">
        <v>636</v>
      </c>
      <c r="D397">
        <v>6</v>
      </c>
      <c r="E397" s="1">
        <v>42816</v>
      </c>
      <c r="F397" s="1">
        <v>43017</v>
      </c>
      <c r="G397">
        <f t="shared" si="10"/>
        <v>201</v>
      </c>
      <c r="H397" t="s">
        <v>461</v>
      </c>
      <c r="I397" t="s">
        <v>637</v>
      </c>
      <c r="J397">
        <v>-26.365555560000001</v>
      </c>
      <c r="K397">
        <v>135.79</v>
      </c>
      <c r="L397" t="s">
        <v>463</v>
      </c>
    </row>
    <row r="398" spans="1:12" x14ac:dyDescent="0.2">
      <c r="A398" t="s">
        <v>880</v>
      </c>
      <c r="B398" t="s">
        <v>636</v>
      </c>
      <c r="D398">
        <v>6</v>
      </c>
      <c r="E398" s="1">
        <v>42816</v>
      </c>
      <c r="F398" s="1">
        <v>43017</v>
      </c>
      <c r="G398">
        <f t="shared" si="10"/>
        <v>201</v>
      </c>
      <c r="H398" t="s">
        <v>461</v>
      </c>
      <c r="I398" t="s">
        <v>637</v>
      </c>
      <c r="J398">
        <v>-26.365555560000001</v>
      </c>
      <c r="K398">
        <v>135.79</v>
      </c>
      <c r="L398" t="s">
        <v>463</v>
      </c>
    </row>
    <row r="399" spans="1:12" x14ac:dyDescent="0.2">
      <c r="A399" t="s">
        <v>881</v>
      </c>
      <c r="B399" t="s">
        <v>636</v>
      </c>
      <c r="D399">
        <v>6</v>
      </c>
      <c r="E399" s="1">
        <v>42816</v>
      </c>
      <c r="F399" s="1">
        <v>43017</v>
      </c>
      <c r="G399">
        <f t="shared" si="10"/>
        <v>201</v>
      </c>
      <c r="H399" t="s">
        <v>461</v>
      </c>
      <c r="I399" t="s">
        <v>637</v>
      </c>
      <c r="J399">
        <v>-26.365555560000001</v>
      </c>
      <c r="K399">
        <v>135.79</v>
      </c>
      <c r="L399" t="s">
        <v>463</v>
      </c>
    </row>
    <row r="400" spans="1:12" x14ac:dyDescent="0.2">
      <c r="A400" t="s">
        <v>882</v>
      </c>
      <c r="B400" t="s">
        <v>636</v>
      </c>
      <c r="D400">
        <v>6</v>
      </c>
      <c r="E400" s="1">
        <v>42816</v>
      </c>
      <c r="F400" s="1">
        <v>43017</v>
      </c>
      <c r="G400">
        <f t="shared" si="10"/>
        <v>201</v>
      </c>
      <c r="H400" t="s">
        <v>461</v>
      </c>
      <c r="I400" t="s">
        <v>637</v>
      </c>
      <c r="J400">
        <v>-26.365555560000001</v>
      </c>
      <c r="K400">
        <v>135.79</v>
      </c>
      <c r="L400" t="s">
        <v>463</v>
      </c>
    </row>
    <row r="401" spans="1:12" x14ac:dyDescent="0.2">
      <c r="A401" t="s">
        <v>883</v>
      </c>
      <c r="B401" t="s">
        <v>636</v>
      </c>
      <c r="D401">
        <v>6</v>
      </c>
      <c r="E401" s="1">
        <v>42816</v>
      </c>
      <c r="F401" s="1">
        <v>43017</v>
      </c>
      <c r="G401">
        <f t="shared" si="10"/>
        <v>201</v>
      </c>
      <c r="H401" t="s">
        <v>461</v>
      </c>
      <c r="I401" t="s">
        <v>637</v>
      </c>
      <c r="J401">
        <v>-26.365555560000001</v>
      </c>
      <c r="K401">
        <v>135.79</v>
      </c>
      <c r="L401" t="s">
        <v>463</v>
      </c>
    </row>
    <row r="402" spans="1:12" x14ac:dyDescent="0.2">
      <c r="A402" t="s">
        <v>884</v>
      </c>
      <c r="B402" t="s">
        <v>636</v>
      </c>
      <c r="D402">
        <v>6</v>
      </c>
      <c r="E402" s="1">
        <v>42816</v>
      </c>
      <c r="F402" s="1">
        <v>43017</v>
      </c>
      <c r="G402">
        <f t="shared" si="10"/>
        <v>201</v>
      </c>
      <c r="H402" t="s">
        <v>461</v>
      </c>
      <c r="I402" t="s">
        <v>637</v>
      </c>
      <c r="J402">
        <v>-26.365555560000001</v>
      </c>
      <c r="K402">
        <v>135.79</v>
      </c>
      <c r="L402" t="s">
        <v>463</v>
      </c>
    </row>
    <row r="403" spans="1:12" x14ac:dyDescent="0.2">
      <c r="A403" t="s">
        <v>885</v>
      </c>
      <c r="B403" t="s">
        <v>636</v>
      </c>
      <c r="D403">
        <v>6</v>
      </c>
      <c r="E403" s="1">
        <v>42816</v>
      </c>
      <c r="F403" s="1">
        <v>43017</v>
      </c>
      <c r="G403">
        <f t="shared" si="10"/>
        <v>201</v>
      </c>
      <c r="H403" t="s">
        <v>461</v>
      </c>
      <c r="I403" t="s">
        <v>637</v>
      </c>
      <c r="J403">
        <v>-26.365555560000001</v>
      </c>
      <c r="K403">
        <v>135.79</v>
      </c>
      <c r="L403" t="s">
        <v>463</v>
      </c>
    </row>
    <row r="404" spans="1:12" x14ac:dyDescent="0.2">
      <c r="A404" t="s">
        <v>886</v>
      </c>
      <c r="B404" t="s">
        <v>636</v>
      </c>
      <c r="D404">
        <v>6</v>
      </c>
      <c r="E404" s="1">
        <v>42816</v>
      </c>
      <c r="F404" s="1">
        <v>43017</v>
      </c>
      <c r="G404">
        <f t="shared" si="10"/>
        <v>201</v>
      </c>
      <c r="H404" t="s">
        <v>461</v>
      </c>
      <c r="I404" t="s">
        <v>637</v>
      </c>
      <c r="J404">
        <v>-26.365555560000001</v>
      </c>
      <c r="K404">
        <v>135.79</v>
      </c>
      <c r="L404" t="s">
        <v>463</v>
      </c>
    </row>
    <row r="405" spans="1:12" x14ac:dyDescent="0.2">
      <c r="A405" t="s">
        <v>887</v>
      </c>
      <c r="B405" t="s">
        <v>636</v>
      </c>
      <c r="D405">
        <v>6</v>
      </c>
      <c r="E405" s="1">
        <v>42816</v>
      </c>
      <c r="F405" s="1">
        <v>43017</v>
      </c>
      <c r="G405">
        <f t="shared" si="10"/>
        <v>201</v>
      </c>
      <c r="H405" t="s">
        <v>461</v>
      </c>
      <c r="I405" t="s">
        <v>637</v>
      </c>
      <c r="J405">
        <v>-26.365555560000001</v>
      </c>
      <c r="K405">
        <v>135.79</v>
      </c>
      <c r="L405" t="s">
        <v>463</v>
      </c>
    </row>
    <row r="406" spans="1:12" x14ac:dyDescent="0.2">
      <c r="A406" t="s">
        <v>888</v>
      </c>
      <c r="B406" t="s">
        <v>636</v>
      </c>
      <c r="D406">
        <v>6</v>
      </c>
      <c r="E406" s="1">
        <v>42816</v>
      </c>
      <c r="F406" s="1">
        <v>43017</v>
      </c>
      <c r="G406">
        <f t="shared" si="10"/>
        <v>201</v>
      </c>
      <c r="H406" t="s">
        <v>461</v>
      </c>
      <c r="I406" t="s">
        <v>637</v>
      </c>
      <c r="J406">
        <v>-26.365555560000001</v>
      </c>
      <c r="K406">
        <v>135.79</v>
      </c>
      <c r="L406" t="s">
        <v>463</v>
      </c>
    </row>
    <row r="407" spans="1:12" x14ac:dyDescent="0.2">
      <c r="A407" t="s">
        <v>889</v>
      </c>
      <c r="B407" t="s">
        <v>636</v>
      </c>
      <c r="D407">
        <v>6</v>
      </c>
      <c r="E407" s="1">
        <v>42816</v>
      </c>
      <c r="F407" s="1">
        <v>43017</v>
      </c>
      <c r="G407">
        <f t="shared" si="10"/>
        <v>201</v>
      </c>
      <c r="H407" t="s">
        <v>461</v>
      </c>
      <c r="I407" t="s">
        <v>637</v>
      </c>
      <c r="J407">
        <v>-26.365555560000001</v>
      </c>
      <c r="K407">
        <v>135.79</v>
      </c>
      <c r="L407" t="s">
        <v>463</v>
      </c>
    </row>
    <row r="408" spans="1:12" x14ac:dyDescent="0.2">
      <c r="A408" t="s">
        <v>890</v>
      </c>
      <c r="B408" t="s">
        <v>636</v>
      </c>
      <c r="D408">
        <v>6</v>
      </c>
      <c r="E408" s="1">
        <v>42816</v>
      </c>
      <c r="F408" s="1">
        <v>43017</v>
      </c>
      <c r="G408">
        <f t="shared" si="10"/>
        <v>201</v>
      </c>
      <c r="H408" t="s">
        <v>461</v>
      </c>
      <c r="I408" t="s">
        <v>637</v>
      </c>
      <c r="J408">
        <v>-26.365555560000001</v>
      </c>
      <c r="K408">
        <v>135.79</v>
      </c>
      <c r="L408" t="s">
        <v>463</v>
      </c>
    </row>
    <row r="409" spans="1:12" x14ac:dyDescent="0.2">
      <c r="A409" t="s">
        <v>891</v>
      </c>
      <c r="B409" t="s">
        <v>636</v>
      </c>
      <c r="D409">
        <v>6</v>
      </c>
      <c r="E409" s="1">
        <v>42816</v>
      </c>
      <c r="F409" s="1">
        <v>43017</v>
      </c>
      <c r="G409">
        <f t="shared" si="10"/>
        <v>201</v>
      </c>
      <c r="H409" t="s">
        <v>461</v>
      </c>
      <c r="I409" t="s">
        <v>637</v>
      </c>
      <c r="J409">
        <v>-26.365555560000001</v>
      </c>
      <c r="K409">
        <v>135.79</v>
      </c>
      <c r="L409" t="s">
        <v>463</v>
      </c>
    </row>
    <row r="410" spans="1:12" x14ac:dyDescent="0.2">
      <c r="A410" t="s">
        <v>892</v>
      </c>
      <c r="B410" t="s">
        <v>893</v>
      </c>
      <c r="D410">
        <v>7</v>
      </c>
      <c r="E410" s="1">
        <v>42812</v>
      </c>
      <c r="F410" s="1">
        <v>43017</v>
      </c>
      <c r="G410">
        <f t="shared" si="10"/>
        <v>205</v>
      </c>
      <c r="H410" t="s">
        <v>506</v>
      </c>
      <c r="I410" t="s">
        <v>894</v>
      </c>
      <c r="J410">
        <v>-25.6175</v>
      </c>
      <c r="K410">
        <v>134.92277777999999</v>
      </c>
      <c r="L410" t="s">
        <v>895</v>
      </c>
    </row>
    <row r="411" spans="1:12" x14ac:dyDescent="0.2">
      <c r="A411" t="s">
        <v>896</v>
      </c>
      <c r="B411" t="s">
        <v>893</v>
      </c>
      <c r="D411">
        <v>7</v>
      </c>
      <c r="E411" s="1">
        <v>42812</v>
      </c>
      <c r="F411" s="1">
        <v>43017</v>
      </c>
      <c r="G411">
        <f t="shared" si="10"/>
        <v>205</v>
      </c>
      <c r="H411" t="s">
        <v>506</v>
      </c>
      <c r="I411" t="s">
        <v>894</v>
      </c>
      <c r="J411">
        <v>-25.6175</v>
      </c>
      <c r="K411">
        <v>134.92277777999999</v>
      </c>
      <c r="L411" t="s">
        <v>895</v>
      </c>
    </row>
    <row r="412" spans="1:12" x14ac:dyDescent="0.2">
      <c r="A412" t="s">
        <v>897</v>
      </c>
      <c r="B412" t="s">
        <v>893</v>
      </c>
      <c r="D412">
        <v>7</v>
      </c>
      <c r="E412" s="1">
        <v>42812</v>
      </c>
      <c r="F412" s="1">
        <v>43017</v>
      </c>
      <c r="G412">
        <f t="shared" si="10"/>
        <v>205</v>
      </c>
      <c r="H412" t="s">
        <v>506</v>
      </c>
      <c r="I412" t="s">
        <v>894</v>
      </c>
      <c r="J412">
        <v>-25.6175</v>
      </c>
      <c r="K412">
        <v>134.92277777999999</v>
      </c>
      <c r="L412" t="s">
        <v>895</v>
      </c>
    </row>
    <row r="413" spans="1:12" x14ac:dyDescent="0.2">
      <c r="A413" t="s">
        <v>898</v>
      </c>
      <c r="B413" t="s">
        <v>893</v>
      </c>
      <c r="D413">
        <v>7</v>
      </c>
      <c r="E413" s="1">
        <v>42812</v>
      </c>
      <c r="F413" s="1">
        <v>43017</v>
      </c>
      <c r="G413">
        <f t="shared" si="10"/>
        <v>205</v>
      </c>
      <c r="H413" t="s">
        <v>506</v>
      </c>
      <c r="I413" t="s">
        <v>894</v>
      </c>
      <c r="J413">
        <v>-25.6175</v>
      </c>
      <c r="K413">
        <v>134.92277777999999</v>
      </c>
      <c r="L413" t="s">
        <v>895</v>
      </c>
    </row>
    <row r="414" spans="1:12" x14ac:dyDescent="0.2">
      <c r="A414" t="s">
        <v>899</v>
      </c>
      <c r="B414" t="s">
        <v>893</v>
      </c>
      <c r="D414">
        <v>7</v>
      </c>
      <c r="E414" s="1">
        <v>42812</v>
      </c>
      <c r="F414" s="1">
        <v>43017</v>
      </c>
      <c r="G414">
        <f t="shared" si="10"/>
        <v>205</v>
      </c>
      <c r="H414" t="s">
        <v>506</v>
      </c>
      <c r="I414" t="s">
        <v>894</v>
      </c>
      <c r="J414">
        <v>-25.6175</v>
      </c>
      <c r="K414">
        <v>134.92277777999999</v>
      </c>
      <c r="L414" t="s">
        <v>895</v>
      </c>
    </row>
    <row r="415" spans="1:12" x14ac:dyDescent="0.2">
      <c r="A415" t="s">
        <v>900</v>
      </c>
      <c r="B415" t="s">
        <v>893</v>
      </c>
      <c r="D415">
        <v>7</v>
      </c>
      <c r="E415" s="1">
        <v>42812</v>
      </c>
      <c r="F415" s="1">
        <v>43017</v>
      </c>
      <c r="G415">
        <f t="shared" si="10"/>
        <v>205</v>
      </c>
      <c r="H415" t="s">
        <v>506</v>
      </c>
      <c r="I415" t="s">
        <v>894</v>
      </c>
      <c r="J415">
        <v>-25.6175</v>
      </c>
      <c r="K415">
        <v>134.92277777999999</v>
      </c>
      <c r="L415" t="s">
        <v>895</v>
      </c>
    </row>
    <row r="416" spans="1:12" x14ac:dyDescent="0.2">
      <c r="A416" t="s">
        <v>901</v>
      </c>
      <c r="B416" t="s">
        <v>893</v>
      </c>
      <c r="D416">
        <v>7</v>
      </c>
      <c r="E416" s="1">
        <v>42812</v>
      </c>
      <c r="F416" s="1">
        <v>43017</v>
      </c>
      <c r="G416">
        <f t="shared" si="10"/>
        <v>205</v>
      </c>
      <c r="H416" t="s">
        <v>506</v>
      </c>
      <c r="I416" t="s">
        <v>894</v>
      </c>
      <c r="J416">
        <v>-25.6175</v>
      </c>
      <c r="K416">
        <v>134.92277777999999</v>
      </c>
      <c r="L416" t="s">
        <v>895</v>
      </c>
    </row>
    <row r="417" spans="1:12" x14ac:dyDescent="0.2">
      <c r="A417" t="s">
        <v>902</v>
      </c>
      <c r="B417" t="s">
        <v>893</v>
      </c>
      <c r="D417">
        <v>7</v>
      </c>
      <c r="E417" s="1">
        <v>42812</v>
      </c>
      <c r="F417" s="1">
        <v>43017</v>
      </c>
      <c r="G417">
        <f t="shared" si="10"/>
        <v>205</v>
      </c>
      <c r="H417" t="s">
        <v>506</v>
      </c>
      <c r="I417" t="s">
        <v>894</v>
      </c>
      <c r="J417">
        <v>-25.6175</v>
      </c>
      <c r="K417">
        <v>134.92277777999999</v>
      </c>
      <c r="L417" t="s">
        <v>895</v>
      </c>
    </row>
    <row r="418" spans="1:12" x14ac:dyDescent="0.2">
      <c r="A418" t="s">
        <v>903</v>
      </c>
      <c r="B418" t="s">
        <v>893</v>
      </c>
      <c r="D418">
        <v>7</v>
      </c>
      <c r="E418" s="1">
        <v>42812</v>
      </c>
      <c r="F418" s="1">
        <v>43017</v>
      </c>
      <c r="G418">
        <f t="shared" si="10"/>
        <v>205</v>
      </c>
      <c r="H418" t="s">
        <v>506</v>
      </c>
      <c r="I418" t="s">
        <v>894</v>
      </c>
      <c r="J418">
        <v>-25.6175</v>
      </c>
      <c r="K418">
        <v>134.92277777999999</v>
      </c>
      <c r="L418" t="s">
        <v>895</v>
      </c>
    </row>
    <row r="419" spans="1:12" x14ac:dyDescent="0.2">
      <c r="A419" t="s">
        <v>904</v>
      </c>
      <c r="B419" t="s">
        <v>893</v>
      </c>
      <c r="D419">
        <v>7</v>
      </c>
      <c r="E419" s="1">
        <v>42812</v>
      </c>
      <c r="F419" s="1">
        <v>43017</v>
      </c>
      <c r="G419">
        <f t="shared" si="10"/>
        <v>205</v>
      </c>
      <c r="H419" t="s">
        <v>506</v>
      </c>
      <c r="I419" t="s">
        <v>894</v>
      </c>
      <c r="J419">
        <v>-25.6175</v>
      </c>
      <c r="K419">
        <v>134.92277777999999</v>
      </c>
      <c r="L419" t="s">
        <v>895</v>
      </c>
    </row>
    <row r="420" spans="1:12" x14ac:dyDescent="0.2">
      <c r="A420" t="s">
        <v>905</v>
      </c>
      <c r="B420" t="s">
        <v>893</v>
      </c>
      <c r="D420">
        <v>7</v>
      </c>
      <c r="E420" s="1">
        <v>42812</v>
      </c>
      <c r="F420" s="1">
        <v>43017</v>
      </c>
      <c r="G420">
        <f t="shared" si="10"/>
        <v>205</v>
      </c>
      <c r="H420" t="s">
        <v>506</v>
      </c>
      <c r="I420" t="s">
        <v>894</v>
      </c>
      <c r="J420">
        <v>-25.6175</v>
      </c>
      <c r="K420">
        <v>134.92277777999999</v>
      </c>
      <c r="L420" t="s">
        <v>895</v>
      </c>
    </row>
    <row r="421" spans="1:12" x14ac:dyDescent="0.2">
      <c r="A421" t="s">
        <v>906</v>
      </c>
      <c r="B421" t="s">
        <v>893</v>
      </c>
      <c r="D421">
        <v>7</v>
      </c>
      <c r="E421" s="1">
        <v>42812</v>
      </c>
      <c r="F421" s="1">
        <v>43017</v>
      </c>
      <c r="G421">
        <f t="shared" si="10"/>
        <v>205</v>
      </c>
      <c r="H421" t="s">
        <v>506</v>
      </c>
      <c r="I421" t="s">
        <v>894</v>
      </c>
      <c r="J421">
        <v>-25.6175</v>
      </c>
      <c r="K421">
        <v>134.92277777999999</v>
      </c>
      <c r="L421" t="s">
        <v>895</v>
      </c>
    </row>
    <row r="422" spans="1:12" x14ac:dyDescent="0.2">
      <c r="A422" t="s">
        <v>907</v>
      </c>
      <c r="B422" t="s">
        <v>893</v>
      </c>
      <c r="D422">
        <v>7</v>
      </c>
      <c r="E422" s="1">
        <v>42812</v>
      </c>
      <c r="F422" s="1">
        <v>43017</v>
      </c>
      <c r="G422">
        <f t="shared" si="10"/>
        <v>205</v>
      </c>
      <c r="H422" t="s">
        <v>506</v>
      </c>
      <c r="I422" t="s">
        <v>894</v>
      </c>
      <c r="J422">
        <v>-25.6175</v>
      </c>
      <c r="K422">
        <v>134.92277777999999</v>
      </c>
      <c r="L422" t="s">
        <v>895</v>
      </c>
    </row>
    <row r="423" spans="1:12" x14ac:dyDescent="0.2">
      <c r="A423" t="s">
        <v>908</v>
      </c>
      <c r="B423" t="s">
        <v>893</v>
      </c>
      <c r="D423">
        <v>7</v>
      </c>
      <c r="E423" s="1">
        <v>42812</v>
      </c>
      <c r="F423" s="1">
        <v>43017</v>
      </c>
      <c r="G423">
        <f t="shared" si="10"/>
        <v>205</v>
      </c>
      <c r="H423" t="s">
        <v>506</v>
      </c>
      <c r="I423" t="s">
        <v>894</v>
      </c>
      <c r="J423">
        <v>-25.6175</v>
      </c>
      <c r="K423">
        <v>134.92277777999999</v>
      </c>
      <c r="L423" t="s">
        <v>895</v>
      </c>
    </row>
    <row r="424" spans="1:12" x14ac:dyDescent="0.2">
      <c r="A424" t="s">
        <v>909</v>
      </c>
      <c r="B424" t="s">
        <v>893</v>
      </c>
      <c r="D424">
        <v>7</v>
      </c>
      <c r="E424" s="1">
        <v>42812</v>
      </c>
      <c r="F424" s="1">
        <v>43017</v>
      </c>
      <c r="G424">
        <f t="shared" si="10"/>
        <v>205</v>
      </c>
      <c r="H424" t="s">
        <v>506</v>
      </c>
      <c r="I424" t="s">
        <v>894</v>
      </c>
      <c r="J424">
        <v>-25.6175</v>
      </c>
      <c r="K424">
        <v>134.92277777999999</v>
      </c>
      <c r="L424" t="s">
        <v>895</v>
      </c>
    </row>
    <row r="425" spans="1:12" x14ac:dyDescent="0.2">
      <c r="A425" t="s">
        <v>910</v>
      </c>
      <c r="B425" t="s">
        <v>893</v>
      </c>
      <c r="D425">
        <v>7</v>
      </c>
      <c r="E425" s="1">
        <v>42812</v>
      </c>
      <c r="F425" s="1">
        <v>43017</v>
      </c>
      <c r="G425">
        <f t="shared" si="10"/>
        <v>205</v>
      </c>
      <c r="H425" t="s">
        <v>506</v>
      </c>
      <c r="I425" t="s">
        <v>894</v>
      </c>
      <c r="J425">
        <v>-25.6175</v>
      </c>
      <c r="K425">
        <v>134.92277777999999</v>
      </c>
      <c r="L425" t="s">
        <v>895</v>
      </c>
    </row>
    <row r="426" spans="1:12" x14ac:dyDescent="0.2">
      <c r="A426" t="s">
        <v>911</v>
      </c>
      <c r="B426" t="s">
        <v>893</v>
      </c>
      <c r="D426">
        <v>7</v>
      </c>
      <c r="E426" s="1">
        <v>42812</v>
      </c>
      <c r="F426" s="1">
        <v>43017</v>
      </c>
      <c r="G426">
        <f t="shared" si="10"/>
        <v>205</v>
      </c>
      <c r="H426" t="s">
        <v>506</v>
      </c>
      <c r="I426" t="s">
        <v>894</v>
      </c>
      <c r="J426">
        <v>-25.6175</v>
      </c>
      <c r="K426">
        <v>134.92277777999999</v>
      </c>
      <c r="L426" t="s">
        <v>895</v>
      </c>
    </row>
    <row r="427" spans="1:12" x14ac:dyDescent="0.2">
      <c r="A427" t="s">
        <v>912</v>
      </c>
      <c r="B427" t="s">
        <v>893</v>
      </c>
      <c r="D427">
        <v>7</v>
      </c>
      <c r="E427" s="1">
        <v>42812</v>
      </c>
      <c r="F427" s="1">
        <v>43017</v>
      </c>
      <c r="G427">
        <f t="shared" si="10"/>
        <v>205</v>
      </c>
      <c r="H427" t="s">
        <v>506</v>
      </c>
      <c r="I427" t="s">
        <v>894</v>
      </c>
      <c r="J427">
        <v>-25.6175</v>
      </c>
      <c r="K427">
        <v>134.92277777999999</v>
      </c>
      <c r="L427" t="s">
        <v>895</v>
      </c>
    </row>
    <row r="428" spans="1:12" x14ac:dyDescent="0.2">
      <c r="A428" t="s">
        <v>913</v>
      </c>
      <c r="B428" t="s">
        <v>893</v>
      </c>
      <c r="D428">
        <v>7</v>
      </c>
      <c r="E428" s="1">
        <v>42812</v>
      </c>
      <c r="F428" s="1">
        <v>43017</v>
      </c>
      <c r="G428">
        <f t="shared" si="10"/>
        <v>205</v>
      </c>
      <c r="H428" t="s">
        <v>506</v>
      </c>
      <c r="I428" t="s">
        <v>894</v>
      </c>
      <c r="J428">
        <v>-25.6175</v>
      </c>
      <c r="K428">
        <v>134.92277777999999</v>
      </c>
      <c r="L428" t="s">
        <v>895</v>
      </c>
    </row>
    <row r="429" spans="1:12" x14ac:dyDescent="0.2">
      <c r="A429" t="s">
        <v>914</v>
      </c>
      <c r="B429" t="s">
        <v>893</v>
      </c>
      <c r="D429">
        <v>7</v>
      </c>
      <c r="E429" s="1">
        <v>42812</v>
      </c>
      <c r="F429" s="1">
        <v>43017</v>
      </c>
      <c r="G429">
        <f t="shared" si="10"/>
        <v>205</v>
      </c>
      <c r="H429" t="s">
        <v>506</v>
      </c>
      <c r="I429" t="s">
        <v>894</v>
      </c>
      <c r="J429">
        <v>-25.6175</v>
      </c>
      <c r="K429">
        <v>134.92277777999999</v>
      </c>
      <c r="L429" t="s">
        <v>895</v>
      </c>
    </row>
    <row r="430" spans="1:12" x14ac:dyDescent="0.2">
      <c r="A430" t="s">
        <v>915</v>
      </c>
      <c r="B430" t="s">
        <v>893</v>
      </c>
      <c r="D430">
        <v>7</v>
      </c>
      <c r="E430" s="1">
        <v>42812</v>
      </c>
      <c r="F430" s="1">
        <v>43017</v>
      </c>
      <c r="G430">
        <f t="shared" si="10"/>
        <v>205</v>
      </c>
      <c r="H430" t="s">
        <v>506</v>
      </c>
      <c r="I430" t="s">
        <v>894</v>
      </c>
      <c r="J430">
        <v>-25.6175</v>
      </c>
      <c r="K430">
        <v>134.92277777999999</v>
      </c>
      <c r="L430" t="s">
        <v>895</v>
      </c>
    </row>
    <row r="431" spans="1:12" x14ac:dyDescent="0.2">
      <c r="A431" t="s">
        <v>916</v>
      </c>
      <c r="B431" t="s">
        <v>893</v>
      </c>
      <c r="D431">
        <v>7</v>
      </c>
      <c r="E431" s="1">
        <v>42812</v>
      </c>
      <c r="F431" s="1">
        <v>43017</v>
      </c>
      <c r="G431">
        <f t="shared" si="10"/>
        <v>205</v>
      </c>
      <c r="H431" t="s">
        <v>506</v>
      </c>
      <c r="I431" t="s">
        <v>894</v>
      </c>
      <c r="J431">
        <v>-25.6175</v>
      </c>
      <c r="K431">
        <v>134.92277777999999</v>
      </c>
      <c r="L431" t="s">
        <v>895</v>
      </c>
    </row>
    <row r="432" spans="1:12" x14ac:dyDescent="0.2">
      <c r="A432" t="s">
        <v>917</v>
      </c>
      <c r="B432" t="s">
        <v>893</v>
      </c>
      <c r="D432">
        <v>7</v>
      </c>
      <c r="E432" s="1">
        <v>42812</v>
      </c>
      <c r="F432" s="1">
        <v>43017</v>
      </c>
      <c r="G432">
        <f t="shared" si="10"/>
        <v>205</v>
      </c>
      <c r="H432" t="s">
        <v>506</v>
      </c>
      <c r="I432" t="s">
        <v>894</v>
      </c>
      <c r="J432">
        <v>-25.6175</v>
      </c>
      <c r="K432">
        <v>134.92277777999999</v>
      </c>
      <c r="L432" t="s">
        <v>895</v>
      </c>
    </row>
    <row r="433" spans="1:12" x14ac:dyDescent="0.2">
      <c r="A433" t="s">
        <v>918</v>
      </c>
      <c r="B433" t="s">
        <v>893</v>
      </c>
      <c r="D433">
        <v>7</v>
      </c>
      <c r="E433" s="1">
        <v>42812</v>
      </c>
      <c r="F433" s="1">
        <v>43017</v>
      </c>
      <c r="G433">
        <f t="shared" si="10"/>
        <v>205</v>
      </c>
      <c r="H433" t="s">
        <v>506</v>
      </c>
      <c r="I433" t="s">
        <v>894</v>
      </c>
      <c r="J433">
        <v>-25.6175</v>
      </c>
      <c r="K433">
        <v>134.92277777999999</v>
      </c>
      <c r="L433" t="s">
        <v>895</v>
      </c>
    </row>
    <row r="434" spans="1:12" x14ac:dyDescent="0.2">
      <c r="A434" t="s">
        <v>919</v>
      </c>
      <c r="B434" t="s">
        <v>893</v>
      </c>
      <c r="D434">
        <v>7</v>
      </c>
      <c r="E434" s="1">
        <v>42812</v>
      </c>
      <c r="F434" s="1">
        <v>43017</v>
      </c>
      <c r="G434">
        <f t="shared" si="10"/>
        <v>205</v>
      </c>
      <c r="H434" t="s">
        <v>506</v>
      </c>
      <c r="I434" t="s">
        <v>894</v>
      </c>
      <c r="J434">
        <v>-25.6175</v>
      </c>
      <c r="K434">
        <v>134.92277777999999</v>
      </c>
      <c r="L434" t="s">
        <v>895</v>
      </c>
    </row>
    <row r="435" spans="1:12" x14ac:dyDescent="0.2">
      <c r="A435" t="s">
        <v>920</v>
      </c>
      <c r="B435" t="s">
        <v>893</v>
      </c>
      <c r="D435">
        <v>7</v>
      </c>
      <c r="E435" s="1">
        <v>42812</v>
      </c>
      <c r="F435" s="1">
        <v>43017</v>
      </c>
      <c r="G435">
        <f t="shared" si="10"/>
        <v>205</v>
      </c>
      <c r="H435" t="s">
        <v>506</v>
      </c>
      <c r="I435" t="s">
        <v>894</v>
      </c>
      <c r="J435">
        <v>-25.6175</v>
      </c>
      <c r="K435">
        <v>134.92277777999999</v>
      </c>
      <c r="L435" t="s">
        <v>895</v>
      </c>
    </row>
    <row r="436" spans="1:12" x14ac:dyDescent="0.2">
      <c r="A436" t="s">
        <v>921</v>
      </c>
      <c r="B436" t="s">
        <v>893</v>
      </c>
      <c r="D436">
        <v>7</v>
      </c>
      <c r="E436" s="1">
        <v>42812</v>
      </c>
      <c r="F436" s="1">
        <v>43017</v>
      </c>
      <c r="G436">
        <f t="shared" si="10"/>
        <v>205</v>
      </c>
      <c r="H436" t="s">
        <v>506</v>
      </c>
      <c r="I436" t="s">
        <v>894</v>
      </c>
      <c r="J436">
        <v>-25.6175</v>
      </c>
      <c r="K436">
        <v>134.92277777999999</v>
      </c>
      <c r="L436" t="s">
        <v>895</v>
      </c>
    </row>
    <row r="437" spans="1:12" x14ac:dyDescent="0.2">
      <c r="A437" t="s">
        <v>922</v>
      </c>
      <c r="B437" t="s">
        <v>893</v>
      </c>
      <c r="D437">
        <v>7</v>
      </c>
      <c r="E437" s="1">
        <v>42812</v>
      </c>
      <c r="F437" s="1">
        <v>43017</v>
      </c>
      <c r="G437">
        <f t="shared" si="10"/>
        <v>205</v>
      </c>
      <c r="H437" t="s">
        <v>506</v>
      </c>
      <c r="I437" t="s">
        <v>894</v>
      </c>
      <c r="J437">
        <v>-25.6175</v>
      </c>
      <c r="K437">
        <v>134.92277777999999</v>
      </c>
      <c r="L437" t="s">
        <v>895</v>
      </c>
    </row>
    <row r="438" spans="1:12" x14ac:dyDescent="0.2">
      <c r="A438" t="s">
        <v>923</v>
      </c>
      <c r="B438" t="s">
        <v>893</v>
      </c>
      <c r="D438">
        <v>7</v>
      </c>
      <c r="E438" s="1">
        <v>42812</v>
      </c>
      <c r="F438" s="1">
        <v>43017</v>
      </c>
      <c r="G438">
        <f t="shared" si="10"/>
        <v>205</v>
      </c>
      <c r="H438" t="s">
        <v>506</v>
      </c>
      <c r="I438" t="s">
        <v>894</v>
      </c>
      <c r="J438">
        <v>-25.6175</v>
      </c>
      <c r="K438">
        <v>134.92277777999999</v>
      </c>
      <c r="L438" t="s">
        <v>895</v>
      </c>
    </row>
    <row r="439" spans="1:12" x14ac:dyDescent="0.2">
      <c r="A439" t="s">
        <v>924</v>
      </c>
      <c r="B439" t="s">
        <v>893</v>
      </c>
      <c r="D439">
        <v>7</v>
      </c>
      <c r="E439" s="1">
        <v>42812</v>
      </c>
      <c r="F439" s="1">
        <v>43017</v>
      </c>
      <c r="G439">
        <f t="shared" si="10"/>
        <v>205</v>
      </c>
      <c r="H439" t="s">
        <v>506</v>
      </c>
      <c r="I439" t="s">
        <v>894</v>
      </c>
      <c r="J439">
        <v>-25.6175</v>
      </c>
      <c r="K439">
        <v>134.92277777999999</v>
      </c>
      <c r="L439" t="s">
        <v>895</v>
      </c>
    </row>
    <row r="440" spans="1:12" x14ac:dyDescent="0.2">
      <c r="A440" t="s">
        <v>925</v>
      </c>
      <c r="B440" t="s">
        <v>893</v>
      </c>
      <c r="D440">
        <v>7</v>
      </c>
      <c r="E440" s="1">
        <v>42812</v>
      </c>
      <c r="F440" s="1">
        <v>43017</v>
      </c>
      <c r="G440">
        <f t="shared" si="10"/>
        <v>205</v>
      </c>
      <c r="H440" t="s">
        <v>506</v>
      </c>
      <c r="I440" t="s">
        <v>894</v>
      </c>
      <c r="J440">
        <v>-25.6175</v>
      </c>
      <c r="K440">
        <v>134.92277777999999</v>
      </c>
      <c r="L440" t="s">
        <v>895</v>
      </c>
    </row>
    <row r="441" spans="1:12" x14ac:dyDescent="0.2">
      <c r="A441" t="s">
        <v>926</v>
      </c>
      <c r="B441" t="s">
        <v>893</v>
      </c>
      <c r="D441">
        <v>7</v>
      </c>
      <c r="E441" s="1">
        <v>42812</v>
      </c>
      <c r="F441" s="1">
        <v>43017</v>
      </c>
      <c r="G441">
        <f t="shared" si="10"/>
        <v>205</v>
      </c>
      <c r="H441" t="s">
        <v>506</v>
      </c>
      <c r="I441" t="s">
        <v>894</v>
      </c>
      <c r="J441">
        <v>-25.6175</v>
      </c>
      <c r="K441">
        <v>134.92277777999999</v>
      </c>
      <c r="L441" t="s">
        <v>895</v>
      </c>
    </row>
    <row r="442" spans="1:12" x14ac:dyDescent="0.2">
      <c r="A442" t="s">
        <v>927</v>
      </c>
      <c r="B442" t="s">
        <v>893</v>
      </c>
      <c r="D442">
        <v>7</v>
      </c>
      <c r="E442" s="1">
        <v>42812</v>
      </c>
      <c r="F442" s="1">
        <v>43017</v>
      </c>
      <c r="G442">
        <f t="shared" si="10"/>
        <v>205</v>
      </c>
      <c r="H442" t="s">
        <v>506</v>
      </c>
      <c r="I442" t="s">
        <v>894</v>
      </c>
      <c r="J442">
        <v>-25.6175</v>
      </c>
      <c r="K442">
        <v>134.92277777999999</v>
      </c>
      <c r="L442" t="s">
        <v>895</v>
      </c>
    </row>
    <row r="443" spans="1:12" x14ac:dyDescent="0.2">
      <c r="A443" t="s">
        <v>928</v>
      </c>
      <c r="B443" t="s">
        <v>893</v>
      </c>
      <c r="D443">
        <v>7</v>
      </c>
      <c r="E443" s="1">
        <v>42812</v>
      </c>
      <c r="F443" s="1">
        <v>43017</v>
      </c>
      <c r="G443">
        <f t="shared" si="10"/>
        <v>205</v>
      </c>
      <c r="H443" t="s">
        <v>506</v>
      </c>
      <c r="I443" t="s">
        <v>894</v>
      </c>
      <c r="J443">
        <v>-25.6175</v>
      </c>
      <c r="K443">
        <v>134.92277777999999</v>
      </c>
      <c r="L443" t="s">
        <v>895</v>
      </c>
    </row>
    <row r="444" spans="1:12" x14ac:dyDescent="0.2">
      <c r="A444" t="s">
        <v>929</v>
      </c>
      <c r="B444" t="s">
        <v>893</v>
      </c>
      <c r="D444">
        <v>7</v>
      </c>
      <c r="E444" s="1">
        <v>42812</v>
      </c>
      <c r="F444" s="1">
        <v>43017</v>
      </c>
      <c r="G444">
        <f t="shared" si="10"/>
        <v>205</v>
      </c>
      <c r="H444" t="s">
        <v>506</v>
      </c>
      <c r="I444" t="s">
        <v>894</v>
      </c>
      <c r="J444">
        <v>-25.6175</v>
      </c>
      <c r="K444">
        <v>134.92277777999999</v>
      </c>
      <c r="L444" t="s">
        <v>895</v>
      </c>
    </row>
    <row r="445" spans="1:12" x14ac:dyDescent="0.2">
      <c r="A445" t="s">
        <v>930</v>
      </c>
      <c r="B445" t="s">
        <v>893</v>
      </c>
      <c r="D445">
        <v>7</v>
      </c>
      <c r="E445" s="1">
        <v>42812</v>
      </c>
      <c r="F445" s="1">
        <v>43017</v>
      </c>
      <c r="G445">
        <f t="shared" si="10"/>
        <v>205</v>
      </c>
      <c r="H445" t="s">
        <v>506</v>
      </c>
      <c r="I445" t="s">
        <v>894</v>
      </c>
      <c r="J445">
        <v>-25.6175</v>
      </c>
      <c r="K445">
        <v>134.92277777999999</v>
      </c>
      <c r="L445" t="s">
        <v>895</v>
      </c>
    </row>
    <row r="446" spans="1:12" x14ac:dyDescent="0.2">
      <c r="A446" t="s">
        <v>931</v>
      </c>
      <c r="B446" t="s">
        <v>932</v>
      </c>
      <c r="D446">
        <v>4</v>
      </c>
      <c r="E446" s="1">
        <v>42811</v>
      </c>
      <c r="F446" s="1">
        <v>43017</v>
      </c>
      <c r="G446">
        <f t="shared" si="10"/>
        <v>206</v>
      </c>
      <c r="H446" t="s">
        <v>461</v>
      </c>
      <c r="I446" t="s">
        <v>608</v>
      </c>
      <c r="J446">
        <v>-25.999166670000001</v>
      </c>
      <c r="K446">
        <v>135.33250000000001</v>
      </c>
      <c r="L446" t="s">
        <v>463</v>
      </c>
    </row>
    <row r="447" spans="1:12" x14ac:dyDescent="0.2">
      <c r="A447" t="s">
        <v>933</v>
      </c>
      <c r="B447" t="s">
        <v>932</v>
      </c>
      <c r="D447">
        <v>4</v>
      </c>
      <c r="E447" s="1">
        <v>42811</v>
      </c>
      <c r="F447" s="1">
        <v>43017</v>
      </c>
      <c r="G447">
        <f t="shared" si="10"/>
        <v>206</v>
      </c>
      <c r="H447" t="s">
        <v>461</v>
      </c>
      <c r="I447" t="s">
        <v>608</v>
      </c>
      <c r="J447">
        <v>-25.999166670000001</v>
      </c>
      <c r="K447">
        <v>135.33250000000001</v>
      </c>
      <c r="L447" t="s">
        <v>463</v>
      </c>
    </row>
    <row r="448" spans="1:12" x14ac:dyDescent="0.2">
      <c r="A448" t="s">
        <v>934</v>
      </c>
      <c r="B448" t="s">
        <v>932</v>
      </c>
      <c r="D448">
        <v>4</v>
      </c>
      <c r="E448" s="1">
        <v>42811</v>
      </c>
      <c r="F448" s="1">
        <v>43017</v>
      </c>
      <c r="G448">
        <f t="shared" si="10"/>
        <v>206</v>
      </c>
      <c r="H448" t="s">
        <v>461</v>
      </c>
      <c r="I448" t="s">
        <v>608</v>
      </c>
      <c r="J448">
        <v>-25.999166670000001</v>
      </c>
      <c r="K448">
        <v>135.33250000000001</v>
      </c>
      <c r="L448" t="s">
        <v>463</v>
      </c>
    </row>
    <row r="449" spans="1:12" x14ac:dyDescent="0.2">
      <c r="A449" t="s">
        <v>935</v>
      </c>
      <c r="B449" t="s">
        <v>932</v>
      </c>
      <c r="D449">
        <v>4</v>
      </c>
      <c r="E449" s="1">
        <v>42811</v>
      </c>
      <c r="F449" s="1">
        <v>43017</v>
      </c>
      <c r="G449">
        <f t="shared" si="10"/>
        <v>206</v>
      </c>
      <c r="H449" t="s">
        <v>461</v>
      </c>
      <c r="I449" t="s">
        <v>608</v>
      </c>
      <c r="J449">
        <v>-25.999166670000001</v>
      </c>
      <c r="K449">
        <v>135.33250000000001</v>
      </c>
      <c r="L449" t="s">
        <v>463</v>
      </c>
    </row>
    <row r="450" spans="1:12" x14ac:dyDescent="0.2">
      <c r="A450" t="s">
        <v>936</v>
      </c>
      <c r="B450" t="s">
        <v>932</v>
      </c>
      <c r="D450">
        <v>4</v>
      </c>
      <c r="E450" s="1">
        <v>42811</v>
      </c>
      <c r="F450" s="1">
        <v>43017</v>
      </c>
      <c r="G450">
        <f t="shared" si="10"/>
        <v>206</v>
      </c>
      <c r="H450" t="s">
        <v>461</v>
      </c>
      <c r="I450" t="s">
        <v>608</v>
      </c>
      <c r="J450">
        <v>-25.999166670000001</v>
      </c>
      <c r="K450">
        <v>135.33250000000001</v>
      </c>
      <c r="L450" t="s">
        <v>463</v>
      </c>
    </row>
    <row r="451" spans="1:12" x14ac:dyDescent="0.2">
      <c r="A451" t="s">
        <v>937</v>
      </c>
      <c r="B451" t="s">
        <v>932</v>
      </c>
      <c r="D451">
        <v>4</v>
      </c>
      <c r="E451" s="1">
        <v>42811</v>
      </c>
      <c r="F451" s="1">
        <v>43017</v>
      </c>
      <c r="G451">
        <f t="shared" si="10"/>
        <v>206</v>
      </c>
      <c r="H451" t="s">
        <v>461</v>
      </c>
      <c r="I451" t="s">
        <v>608</v>
      </c>
      <c r="J451">
        <v>-25.999166670000001</v>
      </c>
      <c r="K451">
        <v>135.33250000000001</v>
      </c>
      <c r="L451" t="s">
        <v>463</v>
      </c>
    </row>
    <row r="452" spans="1:12" x14ac:dyDescent="0.2">
      <c r="A452" t="s">
        <v>938</v>
      </c>
      <c r="B452" t="s">
        <v>932</v>
      </c>
      <c r="D452">
        <v>4</v>
      </c>
      <c r="E452" s="1">
        <v>42811</v>
      </c>
      <c r="F452" s="1">
        <v>43017</v>
      </c>
      <c r="G452">
        <f t="shared" ref="G452:G462" si="11">F452-E452</f>
        <v>206</v>
      </c>
      <c r="H452" t="s">
        <v>461</v>
      </c>
      <c r="I452" t="s">
        <v>608</v>
      </c>
      <c r="J452">
        <v>-25.999166670000001</v>
      </c>
      <c r="K452">
        <v>135.33250000000001</v>
      </c>
      <c r="L452" t="s">
        <v>463</v>
      </c>
    </row>
    <row r="453" spans="1:12" x14ac:dyDescent="0.2">
      <c r="A453" t="s">
        <v>939</v>
      </c>
      <c r="B453" t="s">
        <v>932</v>
      </c>
      <c r="D453">
        <v>4</v>
      </c>
      <c r="E453" s="1">
        <v>42811</v>
      </c>
      <c r="F453" s="1">
        <v>43017</v>
      </c>
      <c r="G453">
        <f t="shared" si="11"/>
        <v>206</v>
      </c>
      <c r="H453" t="s">
        <v>461</v>
      </c>
      <c r="I453" t="s">
        <v>608</v>
      </c>
      <c r="J453">
        <v>-25.999166670000001</v>
      </c>
      <c r="K453">
        <v>135.33250000000001</v>
      </c>
      <c r="L453" t="s">
        <v>463</v>
      </c>
    </row>
    <row r="454" spans="1:12" x14ac:dyDescent="0.2">
      <c r="A454" t="s">
        <v>940</v>
      </c>
      <c r="B454" t="s">
        <v>932</v>
      </c>
      <c r="D454">
        <v>4</v>
      </c>
      <c r="E454" s="1">
        <v>42811</v>
      </c>
      <c r="F454" s="1">
        <v>43017</v>
      </c>
      <c r="G454">
        <f t="shared" si="11"/>
        <v>206</v>
      </c>
      <c r="H454" t="s">
        <v>461</v>
      </c>
      <c r="I454" t="s">
        <v>608</v>
      </c>
      <c r="J454">
        <v>-25.999166670000001</v>
      </c>
      <c r="K454">
        <v>135.33250000000001</v>
      </c>
      <c r="L454" t="s">
        <v>463</v>
      </c>
    </row>
    <row r="455" spans="1:12" x14ac:dyDescent="0.2">
      <c r="A455" t="s">
        <v>941</v>
      </c>
      <c r="B455" t="s">
        <v>932</v>
      </c>
      <c r="D455">
        <v>4</v>
      </c>
      <c r="E455" s="1">
        <v>42811</v>
      </c>
      <c r="F455" s="1">
        <v>43017</v>
      </c>
      <c r="G455">
        <f t="shared" si="11"/>
        <v>206</v>
      </c>
      <c r="H455" t="s">
        <v>461</v>
      </c>
      <c r="I455" t="s">
        <v>608</v>
      </c>
      <c r="J455">
        <v>-25.999166670000001</v>
      </c>
      <c r="K455">
        <v>135.33250000000001</v>
      </c>
      <c r="L455" t="s">
        <v>463</v>
      </c>
    </row>
    <row r="456" spans="1:12" x14ac:dyDescent="0.2">
      <c r="A456" t="s">
        <v>942</v>
      </c>
      <c r="B456" t="s">
        <v>932</v>
      </c>
      <c r="D456">
        <v>4</v>
      </c>
      <c r="E456" s="1">
        <v>42811</v>
      </c>
      <c r="F456" s="1">
        <v>43017</v>
      </c>
      <c r="G456">
        <f t="shared" si="11"/>
        <v>206</v>
      </c>
      <c r="H456" t="s">
        <v>461</v>
      </c>
      <c r="I456" t="s">
        <v>608</v>
      </c>
      <c r="J456">
        <v>-25.999166670000001</v>
      </c>
      <c r="K456">
        <v>135.33250000000001</v>
      </c>
      <c r="L456" t="s">
        <v>463</v>
      </c>
    </row>
    <row r="457" spans="1:12" x14ac:dyDescent="0.2">
      <c r="A457" t="s">
        <v>943</v>
      </c>
      <c r="B457" t="s">
        <v>932</v>
      </c>
      <c r="D457">
        <v>4</v>
      </c>
      <c r="E457" s="1">
        <v>42811</v>
      </c>
      <c r="F457" s="1">
        <v>43017</v>
      </c>
      <c r="G457">
        <f t="shared" si="11"/>
        <v>206</v>
      </c>
      <c r="H457" t="s">
        <v>461</v>
      </c>
      <c r="I457" t="s">
        <v>608</v>
      </c>
      <c r="J457">
        <v>-25.999166670000001</v>
      </c>
      <c r="K457">
        <v>135.33250000000001</v>
      </c>
      <c r="L457" t="s">
        <v>463</v>
      </c>
    </row>
    <row r="458" spans="1:12" x14ac:dyDescent="0.2">
      <c r="A458" t="s">
        <v>944</v>
      </c>
      <c r="B458" t="s">
        <v>932</v>
      </c>
      <c r="D458">
        <v>4</v>
      </c>
      <c r="E458" s="1">
        <v>42811</v>
      </c>
      <c r="F458" s="1">
        <v>43017</v>
      </c>
      <c r="G458">
        <f t="shared" si="11"/>
        <v>206</v>
      </c>
      <c r="H458" t="s">
        <v>461</v>
      </c>
      <c r="I458" t="s">
        <v>608</v>
      </c>
      <c r="J458">
        <v>-25.999166670000001</v>
      </c>
      <c r="K458">
        <v>135.33250000000001</v>
      </c>
      <c r="L458" t="s">
        <v>463</v>
      </c>
    </row>
    <row r="459" spans="1:12" x14ac:dyDescent="0.2">
      <c r="A459" t="s">
        <v>945</v>
      </c>
      <c r="B459" t="s">
        <v>932</v>
      </c>
      <c r="D459">
        <v>4</v>
      </c>
      <c r="E459" s="1">
        <v>42811</v>
      </c>
      <c r="F459" s="1">
        <v>43017</v>
      </c>
      <c r="G459">
        <f t="shared" si="11"/>
        <v>206</v>
      </c>
      <c r="H459" t="s">
        <v>461</v>
      </c>
      <c r="I459" t="s">
        <v>608</v>
      </c>
      <c r="J459">
        <v>-25.999166670000001</v>
      </c>
      <c r="K459">
        <v>135.33250000000001</v>
      </c>
      <c r="L459" t="s">
        <v>463</v>
      </c>
    </row>
    <row r="460" spans="1:12" x14ac:dyDescent="0.2">
      <c r="A460" t="s">
        <v>946</v>
      </c>
      <c r="B460" t="s">
        <v>932</v>
      </c>
      <c r="D460">
        <v>4</v>
      </c>
      <c r="E460" s="1">
        <v>42811</v>
      </c>
      <c r="F460" s="1">
        <v>43017</v>
      </c>
      <c r="G460">
        <f t="shared" si="11"/>
        <v>206</v>
      </c>
      <c r="H460" t="s">
        <v>461</v>
      </c>
      <c r="I460" t="s">
        <v>608</v>
      </c>
      <c r="J460">
        <v>-25.999166670000001</v>
      </c>
      <c r="K460">
        <v>135.33250000000001</v>
      </c>
      <c r="L460" t="s">
        <v>463</v>
      </c>
    </row>
    <row r="461" spans="1:12" x14ac:dyDescent="0.2">
      <c r="A461" t="s">
        <v>947</v>
      </c>
      <c r="B461" t="s">
        <v>932</v>
      </c>
      <c r="D461">
        <v>4</v>
      </c>
      <c r="E461" s="1">
        <v>42811</v>
      </c>
      <c r="F461" s="1">
        <v>43017</v>
      </c>
      <c r="G461">
        <f t="shared" si="11"/>
        <v>206</v>
      </c>
      <c r="H461" t="s">
        <v>461</v>
      </c>
      <c r="I461" t="s">
        <v>608</v>
      </c>
      <c r="J461">
        <v>-25.999166670000001</v>
      </c>
      <c r="K461">
        <v>135.33250000000001</v>
      </c>
      <c r="L461" t="s">
        <v>463</v>
      </c>
    </row>
    <row r="462" spans="1:12" x14ac:dyDescent="0.2">
      <c r="A462" t="s">
        <v>948</v>
      </c>
      <c r="B462" t="s">
        <v>932</v>
      </c>
      <c r="D462">
        <v>4</v>
      </c>
      <c r="E462" s="1">
        <v>42811</v>
      </c>
      <c r="F462" s="1">
        <v>43017</v>
      </c>
      <c r="G462">
        <f t="shared" si="11"/>
        <v>206</v>
      </c>
      <c r="H462" t="s">
        <v>461</v>
      </c>
      <c r="I462" t="s">
        <v>608</v>
      </c>
      <c r="J462">
        <v>-25.999166670000001</v>
      </c>
      <c r="K462">
        <v>135.33250000000001</v>
      </c>
      <c r="L462" t="s">
        <v>463</v>
      </c>
    </row>
  </sheetData>
  <conditionalFormatting sqref="D1:D46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workbookViewId="0">
      <selection activeCell="I23" sqref="I23"/>
    </sheetView>
  </sheetViews>
  <sheetFormatPr baseColWidth="10" defaultColWidth="8.83203125" defaultRowHeight="15" x14ac:dyDescent="0.2"/>
  <sheetData>
    <row r="1" spans="1:17" x14ac:dyDescent="0.2">
      <c r="A1" t="s">
        <v>328</v>
      </c>
      <c r="B1" t="s">
        <v>329</v>
      </c>
      <c r="C1" t="s">
        <v>330</v>
      </c>
      <c r="D1" t="s">
        <v>331</v>
      </c>
      <c r="E1" t="s">
        <v>332</v>
      </c>
      <c r="F1" t="s">
        <v>333</v>
      </c>
      <c r="H1" t="s">
        <v>9</v>
      </c>
      <c r="I1" t="s">
        <v>10</v>
      </c>
      <c r="J1" t="s">
        <v>11</v>
      </c>
      <c r="K1" t="s">
        <v>1</v>
      </c>
      <c r="L1" t="s">
        <v>386</v>
      </c>
      <c r="M1" t="s">
        <v>387</v>
      </c>
      <c r="N1" t="s">
        <v>388</v>
      </c>
      <c r="O1" t="s">
        <v>389</v>
      </c>
      <c r="P1" t="s">
        <v>390</v>
      </c>
      <c r="Q1" t="s">
        <v>5</v>
      </c>
    </row>
    <row r="2" spans="1:17" x14ac:dyDescent="0.2">
      <c r="A2" t="s">
        <v>14</v>
      </c>
      <c r="B2" t="s">
        <v>334</v>
      </c>
      <c r="C2" t="s">
        <v>335</v>
      </c>
      <c r="D2">
        <v>4.5900000000000003E-2</v>
      </c>
      <c r="E2">
        <v>3</v>
      </c>
      <c r="F2">
        <v>1</v>
      </c>
      <c r="G2" t="s">
        <v>336</v>
      </c>
      <c r="H2">
        <v>1</v>
      </c>
      <c r="I2">
        <v>2.4529999999999998</v>
      </c>
      <c r="J2">
        <f>5.047+4.888</f>
        <v>9.9349999999999987</v>
      </c>
    </row>
    <row r="3" spans="1:17" x14ac:dyDescent="0.2">
      <c r="A3" t="s">
        <v>14</v>
      </c>
      <c r="B3" t="s">
        <v>337</v>
      </c>
      <c r="C3" t="s">
        <v>335</v>
      </c>
      <c r="D3">
        <v>6.3200000000000006E-2</v>
      </c>
      <c r="E3">
        <v>3</v>
      </c>
      <c r="F3">
        <v>1</v>
      </c>
      <c r="G3" t="s">
        <v>336</v>
      </c>
      <c r="H3">
        <v>2</v>
      </c>
      <c r="I3">
        <v>3.7909999999999999</v>
      </c>
      <c r="J3">
        <f>7.341+7.646</f>
        <v>14.987</v>
      </c>
    </row>
    <row r="4" spans="1:17" x14ac:dyDescent="0.2">
      <c r="A4" t="s">
        <v>14</v>
      </c>
      <c r="B4" t="s">
        <v>338</v>
      </c>
      <c r="C4" t="s">
        <v>335</v>
      </c>
      <c r="D4">
        <v>8.1500000000000003E-2</v>
      </c>
      <c r="E4">
        <v>3</v>
      </c>
      <c r="F4">
        <v>1</v>
      </c>
      <c r="G4" t="s">
        <v>336</v>
      </c>
      <c r="H4">
        <v>3</v>
      </c>
      <c r="I4">
        <v>4.8010000000000002</v>
      </c>
      <c r="J4">
        <f>9.38+8.263</f>
        <v>17.643000000000001</v>
      </c>
    </row>
    <row r="5" spans="1:17" x14ac:dyDescent="0.2">
      <c r="A5" t="s">
        <v>14</v>
      </c>
      <c r="B5" t="s">
        <v>339</v>
      </c>
      <c r="C5" t="s">
        <v>335</v>
      </c>
      <c r="D5">
        <v>0.24460000000000001</v>
      </c>
      <c r="E5">
        <v>3</v>
      </c>
      <c r="F5">
        <v>1</v>
      </c>
      <c r="G5" t="s">
        <v>336</v>
      </c>
      <c r="H5">
        <v>4</v>
      </c>
      <c r="I5">
        <v>8.7309999999999999</v>
      </c>
      <c r="J5">
        <f>11.497+11.61</f>
        <v>23.106999999999999</v>
      </c>
    </row>
    <row r="6" spans="1:17" x14ac:dyDescent="0.2">
      <c r="A6" t="s">
        <v>14</v>
      </c>
      <c r="B6" t="s">
        <v>340</v>
      </c>
      <c r="C6" t="s">
        <v>335</v>
      </c>
      <c r="D6">
        <v>9.8400000000000001E-2</v>
      </c>
      <c r="E6">
        <v>3</v>
      </c>
      <c r="F6">
        <v>1</v>
      </c>
      <c r="G6" t="s">
        <v>336</v>
      </c>
      <c r="H6">
        <v>5</v>
      </c>
      <c r="I6">
        <v>5.7750000000000004</v>
      </c>
      <c r="J6">
        <f>8.182+7.621</f>
        <v>15.803000000000001</v>
      </c>
    </row>
    <row r="7" spans="1:17" x14ac:dyDescent="0.2">
      <c r="A7" t="s">
        <v>14</v>
      </c>
      <c r="B7" t="s">
        <v>341</v>
      </c>
      <c r="C7" t="s">
        <v>335</v>
      </c>
      <c r="D7">
        <v>8.1299999999999997E-2</v>
      </c>
      <c r="E7">
        <v>3</v>
      </c>
      <c r="F7">
        <v>1</v>
      </c>
      <c r="G7" t="s">
        <v>336</v>
      </c>
      <c r="H7">
        <v>6</v>
      </c>
      <c r="I7">
        <v>5.274</v>
      </c>
      <c r="J7">
        <f>7.399+7.324</f>
        <v>14.722999999999999</v>
      </c>
    </row>
    <row r="8" spans="1:17" x14ac:dyDescent="0.2">
      <c r="A8" t="s">
        <v>14</v>
      </c>
      <c r="B8" t="s">
        <v>342</v>
      </c>
      <c r="C8" t="s">
        <v>335</v>
      </c>
      <c r="D8">
        <v>6.9999999999999999E-4</v>
      </c>
      <c r="E8" t="s">
        <v>40</v>
      </c>
      <c r="F8">
        <v>1</v>
      </c>
    </row>
    <row r="9" spans="1:17" x14ac:dyDescent="0.2">
      <c r="A9" t="s">
        <v>14</v>
      </c>
      <c r="B9" t="s">
        <v>343</v>
      </c>
      <c r="C9" t="s">
        <v>335</v>
      </c>
      <c r="D9">
        <v>9.6100000000000005E-2</v>
      </c>
      <c r="E9">
        <v>3</v>
      </c>
      <c r="F9">
        <v>1</v>
      </c>
      <c r="G9" t="s">
        <v>336</v>
      </c>
      <c r="H9">
        <v>8</v>
      </c>
      <c r="I9">
        <v>6.0129999999999999</v>
      </c>
      <c r="J9">
        <f>6.013+9.304</f>
        <v>15.317</v>
      </c>
    </row>
    <row r="10" spans="1:17" x14ac:dyDescent="0.2">
      <c r="A10" t="s">
        <v>14</v>
      </c>
      <c r="B10" t="s">
        <v>344</v>
      </c>
      <c r="C10" t="s">
        <v>335</v>
      </c>
      <c r="D10">
        <v>0.1116</v>
      </c>
      <c r="E10">
        <v>3</v>
      </c>
      <c r="F10">
        <v>1</v>
      </c>
      <c r="G10" t="s">
        <v>336</v>
      </c>
      <c r="H10">
        <v>9</v>
      </c>
      <c r="I10">
        <v>7.3529999999999998</v>
      </c>
      <c r="J10">
        <f>8.811+8.437</f>
        <v>17.247999999999998</v>
      </c>
    </row>
    <row r="11" spans="1:17" x14ac:dyDescent="0.2">
      <c r="A11" t="s">
        <v>14</v>
      </c>
      <c r="B11" t="s">
        <v>345</v>
      </c>
      <c r="C11" t="s">
        <v>335</v>
      </c>
      <c r="D11">
        <v>8.2100000000000006E-2</v>
      </c>
      <c r="E11">
        <v>3</v>
      </c>
      <c r="F11">
        <v>1</v>
      </c>
      <c r="G11" t="s">
        <v>336</v>
      </c>
      <c r="H11">
        <v>10</v>
      </c>
      <c r="I11">
        <v>6.1429999999999998</v>
      </c>
      <c r="J11">
        <f>9.854+5.421</f>
        <v>15.274999999999999</v>
      </c>
    </row>
    <row r="12" spans="1:17" x14ac:dyDescent="0.2">
      <c r="A12" t="s">
        <v>14</v>
      </c>
      <c r="B12" t="s">
        <v>346</v>
      </c>
      <c r="C12" t="s">
        <v>335</v>
      </c>
      <c r="D12">
        <v>7.3000000000000001E-3</v>
      </c>
      <c r="E12" t="s">
        <v>40</v>
      </c>
      <c r="F12">
        <v>5</v>
      </c>
    </row>
    <row r="13" spans="1:17" x14ac:dyDescent="0.2">
      <c r="A13" t="s">
        <v>14</v>
      </c>
      <c r="B13" t="s">
        <v>347</v>
      </c>
      <c r="C13" t="s">
        <v>335</v>
      </c>
      <c r="D13">
        <v>6.59E-2</v>
      </c>
      <c r="E13">
        <v>3</v>
      </c>
      <c r="F13">
        <v>1</v>
      </c>
      <c r="G13" t="s">
        <v>336</v>
      </c>
      <c r="H13">
        <v>12</v>
      </c>
      <c r="I13">
        <v>4.5579999999999998</v>
      </c>
      <c r="J13">
        <f>7.623+8.42</f>
        <v>16.042999999999999</v>
      </c>
    </row>
    <row r="14" spans="1:17" x14ac:dyDescent="0.2">
      <c r="A14" t="s">
        <v>14</v>
      </c>
      <c r="B14" t="s">
        <v>348</v>
      </c>
      <c r="C14" t="s">
        <v>335</v>
      </c>
      <c r="D14">
        <v>0.31929999999999997</v>
      </c>
      <c r="E14">
        <v>3</v>
      </c>
      <c r="F14">
        <v>1</v>
      </c>
      <c r="G14" t="s">
        <v>336</v>
      </c>
      <c r="H14">
        <v>13</v>
      </c>
      <c r="I14">
        <v>9.4450000000000003</v>
      </c>
      <c r="J14">
        <f>16.468+12.708</f>
        <v>29.176000000000002</v>
      </c>
    </row>
    <row r="15" spans="1:17" x14ac:dyDescent="0.2">
      <c r="A15" t="s">
        <v>14</v>
      </c>
      <c r="B15" t="s">
        <v>349</v>
      </c>
      <c r="C15" t="s">
        <v>335</v>
      </c>
      <c r="D15">
        <v>6.2300000000000001E-2</v>
      </c>
      <c r="E15">
        <v>3</v>
      </c>
      <c r="F15">
        <v>1</v>
      </c>
      <c r="G15" t="s">
        <v>336</v>
      </c>
      <c r="H15">
        <v>14</v>
      </c>
      <c r="I15">
        <v>4.5519999999999996</v>
      </c>
      <c r="J15">
        <f>7.713+7.338</f>
        <v>15.051</v>
      </c>
    </row>
    <row r="16" spans="1:17" x14ac:dyDescent="0.2">
      <c r="A16" t="s">
        <v>14</v>
      </c>
      <c r="B16" t="s">
        <v>350</v>
      </c>
      <c r="C16" t="s">
        <v>335</v>
      </c>
      <c r="D16">
        <v>3.78E-2</v>
      </c>
      <c r="E16">
        <v>3</v>
      </c>
      <c r="F16">
        <v>1</v>
      </c>
      <c r="G16" t="s">
        <v>336</v>
      </c>
      <c r="H16">
        <v>15</v>
      </c>
      <c r="I16">
        <v>8.9309999999999992</v>
      </c>
      <c r="J16">
        <f>11.654+11.837</f>
        <v>23.491</v>
      </c>
    </row>
    <row r="17" spans="1:10" x14ac:dyDescent="0.2">
      <c r="A17" t="s">
        <v>14</v>
      </c>
      <c r="B17" t="s">
        <v>351</v>
      </c>
      <c r="C17" t="s">
        <v>335</v>
      </c>
      <c r="D17">
        <v>4.5400000000000003E-2</v>
      </c>
      <c r="E17">
        <v>3</v>
      </c>
      <c r="F17">
        <v>1</v>
      </c>
      <c r="G17" t="s">
        <v>336</v>
      </c>
      <c r="H17">
        <v>16</v>
      </c>
      <c r="I17">
        <v>2.6659999999999999</v>
      </c>
      <c r="J17">
        <f>4.561+5.14</f>
        <v>9.7010000000000005</v>
      </c>
    </row>
    <row r="18" spans="1:10" x14ac:dyDescent="0.2">
      <c r="A18" t="s">
        <v>14</v>
      </c>
      <c r="B18" t="s">
        <v>352</v>
      </c>
      <c r="C18" t="s">
        <v>335</v>
      </c>
      <c r="D18">
        <v>6.1999999999999998E-3</v>
      </c>
      <c r="E18" t="s">
        <v>40</v>
      </c>
      <c r="F18">
        <v>5</v>
      </c>
    </row>
    <row r="19" spans="1:10" x14ac:dyDescent="0.2">
      <c r="A19" t="s">
        <v>14</v>
      </c>
      <c r="B19" t="s">
        <v>353</v>
      </c>
      <c r="C19" t="s">
        <v>335</v>
      </c>
      <c r="D19">
        <v>0.34050000000000002</v>
      </c>
      <c r="E19">
        <v>1</v>
      </c>
      <c r="F19">
        <v>1</v>
      </c>
      <c r="G19" t="s">
        <v>336</v>
      </c>
      <c r="H19">
        <v>18</v>
      </c>
      <c r="I19">
        <v>8.8689999999999998</v>
      </c>
      <c r="J19">
        <f>15.065+13.1</f>
        <v>28.164999999999999</v>
      </c>
    </row>
    <row r="20" spans="1:10" x14ac:dyDescent="0.2">
      <c r="A20" t="s">
        <v>14</v>
      </c>
      <c r="B20" t="s">
        <v>354</v>
      </c>
      <c r="C20" t="s">
        <v>335</v>
      </c>
      <c r="D20">
        <v>8.7499999999999994E-2</v>
      </c>
      <c r="E20">
        <v>3</v>
      </c>
      <c r="F20">
        <v>1</v>
      </c>
      <c r="G20" t="s">
        <v>336</v>
      </c>
      <c r="H20">
        <v>19</v>
      </c>
      <c r="I20">
        <v>5.77</v>
      </c>
      <c r="J20">
        <f>6.886+8.263</f>
        <v>15.149000000000001</v>
      </c>
    </row>
    <row r="21" spans="1:10" x14ac:dyDescent="0.2">
      <c r="A21" t="s">
        <v>14</v>
      </c>
      <c r="B21" t="s">
        <v>355</v>
      </c>
      <c r="C21" t="s">
        <v>335</v>
      </c>
      <c r="D21">
        <v>0.1014</v>
      </c>
      <c r="E21">
        <v>3</v>
      </c>
      <c r="F21">
        <v>1</v>
      </c>
      <c r="G21" t="s">
        <v>336</v>
      </c>
      <c r="H21">
        <v>20</v>
      </c>
      <c r="I21">
        <v>6.44</v>
      </c>
      <c r="J21">
        <f>9.267+7.953</f>
        <v>17.22</v>
      </c>
    </row>
    <row r="22" spans="1:10" x14ac:dyDescent="0.2">
      <c r="A22" t="s">
        <v>14</v>
      </c>
      <c r="B22" t="s">
        <v>356</v>
      </c>
      <c r="C22" t="s">
        <v>335</v>
      </c>
      <c r="D22">
        <v>0.48820000000000002</v>
      </c>
      <c r="E22">
        <v>1</v>
      </c>
      <c r="F22">
        <v>1</v>
      </c>
      <c r="G22" t="s">
        <v>336</v>
      </c>
      <c r="H22">
        <v>21</v>
      </c>
      <c r="I22">
        <v>10.37</v>
      </c>
      <c r="J22">
        <f>16.643+16.271</f>
        <v>32.914000000000001</v>
      </c>
    </row>
    <row r="23" spans="1:10" x14ac:dyDescent="0.2">
      <c r="A23" t="s">
        <v>14</v>
      </c>
      <c r="B23" t="s">
        <v>357</v>
      </c>
      <c r="C23" t="s">
        <v>335</v>
      </c>
      <c r="D23">
        <v>6.1999999999999998E-3</v>
      </c>
      <c r="E23" t="s">
        <v>40</v>
      </c>
      <c r="F23">
        <v>5</v>
      </c>
    </row>
    <row r="24" spans="1:10" x14ac:dyDescent="0.2">
      <c r="A24" t="s">
        <v>14</v>
      </c>
      <c r="B24" t="s">
        <v>358</v>
      </c>
      <c r="C24" t="s">
        <v>335</v>
      </c>
      <c r="D24">
        <v>7.4999999999999997E-2</v>
      </c>
      <c r="E24">
        <v>3</v>
      </c>
      <c r="F24">
        <v>1</v>
      </c>
      <c r="G24" t="s">
        <v>336</v>
      </c>
      <c r="H24">
        <v>23</v>
      </c>
      <c r="I24">
        <v>5.3029999999999999</v>
      </c>
      <c r="J24">
        <f>8.73+8.79</f>
        <v>17.52</v>
      </c>
    </row>
    <row r="25" spans="1:10" x14ac:dyDescent="0.2">
      <c r="A25" t="s">
        <v>14</v>
      </c>
      <c r="B25" t="s">
        <v>359</v>
      </c>
      <c r="C25" t="s">
        <v>335</v>
      </c>
      <c r="D25">
        <v>0.106</v>
      </c>
      <c r="E25">
        <v>3</v>
      </c>
      <c r="F25">
        <v>1</v>
      </c>
      <c r="G25" t="s">
        <v>336</v>
      </c>
      <c r="H25">
        <v>24</v>
      </c>
      <c r="I25">
        <v>5.3550000000000004</v>
      </c>
      <c r="J25">
        <f>8.131+5.922</f>
        <v>14.053000000000001</v>
      </c>
    </row>
    <row r="26" spans="1:10" x14ac:dyDescent="0.2">
      <c r="A26" t="s">
        <v>14</v>
      </c>
      <c r="B26" t="s">
        <v>360</v>
      </c>
      <c r="C26" t="s">
        <v>335</v>
      </c>
      <c r="D26">
        <v>7.1599999999999997E-2</v>
      </c>
      <c r="E26">
        <v>3</v>
      </c>
      <c r="F26">
        <v>1</v>
      </c>
      <c r="G26" t="s">
        <v>336</v>
      </c>
      <c r="H26">
        <v>25</v>
      </c>
      <c r="I26">
        <v>8.67</v>
      </c>
      <c r="J26">
        <f>10.447+7.41+6.879</f>
        <v>24.735999999999997</v>
      </c>
    </row>
    <row r="27" spans="1:10" x14ac:dyDescent="0.2">
      <c r="A27" t="s">
        <v>14</v>
      </c>
      <c r="B27" t="s">
        <v>361</v>
      </c>
      <c r="C27" t="s">
        <v>335</v>
      </c>
      <c r="D27">
        <v>0.222</v>
      </c>
      <c r="E27">
        <v>3</v>
      </c>
      <c r="F27">
        <v>1</v>
      </c>
    </row>
    <row r="28" spans="1:10" x14ac:dyDescent="0.2">
      <c r="A28" t="s">
        <v>14</v>
      </c>
      <c r="B28" t="s">
        <v>362</v>
      </c>
      <c r="C28" t="s">
        <v>335</v>
      </c>
      <c r="D28">
        <v>5.0000000000000001E-3</v>
      </c>
      <c r="E28" t="s">
        <v>40</v>
      </c>
      <c r="F28">
        <v>5</v>
      </c>
      <c r="G28" t="s">
        <v>336</v>
      </c>
      <c r="H28">
        <v>27</v>
      </c>
      <c r="I28">
        <v>3.54</v>
      </c>
      <c r="J28">
        <f>4.875+4.963</f>
        <v>9.838000000000001</v>
      </c>
    </row>
    <row r="29" spans="1:10" x14ac:dyDescent="0.2">
      <c r="A29" t="s">
        <v>14</v>
      </c>
      <c r="B29" t="s">
        <v>363</v>
      </c>
      <c r="C29" t="s">
        <v>335</v>
      </c>
      <c r="D29">
        <v>4.9399999999999999E-2</v>
      </c>
      <c r="E29">
        <v>3</v>
      </c>
      <c r="F29">
        <v>1</v>
      </c>
      <c r="G29" t="s">
        <v>336</v>
      </c>
      <c r="H29">
        <v>28</v>
      </c>
      <c r="I29">
        <v>7.5529999999999999</v>
      </c>
      <c r="J29">
        <f>10.528+9.579</f>
        <v>20.106999999999999</v>
      </c>
    </row>
    <row r="30" spans="1:10" x14ac:dyDescent="0.2">
      <c r="A30" t="s">
        <v>14</v>
      </c>
      <c r="B30" t="s">
        <v>364</v>
      </c>
      <c r="C30" t="s">
        <v>335</v>
      </c>
      <c r="D30">
        <v>0.1285</v>
      </c>
      <c r="E30">
        <v>3</v>
      </c>
      <c r="F30">
        <v>1</v>
      </c>
    </row>
    <row r="31" spans="1:10" x14ac:dyDescent="0.2">
      <c r="A31" t="s">
        <v>14</v>
      </c>
      <c r="B31" t="s">
        <v>365</v>
      </c>
      <c r="C31" t="s">
        <v>335</v>
      </c>
      <c r="D31">
        <v>7.3000000000000001E-3</v>
      </c>
      <c r="E31" t="s">
        <v>40</v>
      </c>
      <c r="F31">
        <v>5</v>
      </c>
      <c r="G31" t="s">
        <v>336</v>
      </c>
      <c r="H31">
        <v>30</v>
      </c>
      <c r="I31">
        <v>5.5789999999999997</v>
      </c>
      <c r="J31">
        <f>10.412+9.699</f>
        <v>20.111000000000001</v>
      </c>
    </row>
    <row r="32" spans="1:10" x14ac:dyDescent="0.2">
      <c r="A32" t="s">
        <v>14</v>
      </c>
      <c r="B32" t="s">
        <v>366</v>
      </c>
      <c r="C32" t="s">
        <v>335</v>
      </c>
      <c r="D32">
        <v>9.7799999999999998E-2</v>
      </c>
      <c r="E32">
        <v>3</v>
      </c>
      <c r="F32">
        <v>1</v>
      </c>
      <c r="G32" t="s">
        <v>336</v>
      </c>
      <c r="H32">
        <v>31</v>
      </c>
      <c r="I32">
        <v>5.5179999999999998</v>
      </c>
      <c r="J32">
        <f>10.866+8.484</f>
        <v>19.350000000000001</v>
      </c>
    </row>
    <row r="33" spans="1:10" x14ac:dyDescent="0.2">
      <c r="A33" t="s">
        <v>14</v>
      </c>
      <c r="B33" t="s">
        <v>367</v>
      </c>
      <c r="C33" t="s">
        <v>335</v>
      </c>
      <c r="D33">
        <v>0.1079</v>
      </c>
      <c r="E33">
        <v>3</v>
      </c>
      <c r="F33">
        <v>1</v>
      </c>
      <c r="G33" t="s">
        <v>336</v>
      </c>
      <c r="H33">
        <v>32</v>
      </c>
      <c r="I33">
        <v>4.0330000000000004</v>
      </c>
      <c r="J33">
        <f>7.706+7.78</f>
        <v>15.486000000000001</v>
      </c>
    </row>
    <row r="34" spans="1:10" x14ac:dyDescent="0.2">
      <c r="A34" t="s">
        <v>14</v>
      </c>
      <c r="B34" t="s">
        <v>368</v>
      </c>
      <c r="C34" t="s">
        <v>335</v>
      </c>
      <c r="D34">
        <v>5.0599999999999999E-2</v>
      </c>
      <c r="E34">
        <v>3</v>
      </c>
      <c r="F34">
        <v>1</v>
      </c>
      <c r="G34" t="s">
        <v>336</v>
      </c>
      <c r="H34">
        <v>33</v>
      </c>
      <c r="I34">
        <v>3.1549999999999998</v>
      </c>
      <c r="J34">
        <f>5.399+3.889</f>
        <v>9.2880000000000003</v>
      </c>
    </row>
    <row r="35" spans="1:10" x14ac:dyDescent="0.2">
      <c r="A35" t="s">
        <v>14</v>
      </c>
      <c r="B35" t="s">
        <v>369</v>
      </c>
      <c r="C35" t="s">
        <v>335</v>
      </c>
      <c r="D35">
        <v>0.11169999999999999</v>
      </c>
      <c r="E35">
        <v>3</v>
      </c>
      <c r="F35">
        <v>1</v>
      </c>
      <c r="G35" t="s">
        <v>336</v>
      </c>
      <c r="H35">
        <v>34</v>
      </c>
      <c r="I35">
        <v>4.0819999999999999</v>
      </c>
      <c r="J35">
        <v>12.737</v>
      </c>
    </row>
    <row r="36" spans="1:10" x14ac:dyDescent="0.2">
      <c r="A36" t="s">
        <v>14</v>
      </c>
      <c r="B36" t="s">
        <v>370</v>
      </c>
      <c r="C36" t="s">
        <v>335</v>
      </c>
      <c r="D36">
        <v>0.15140000000000001</v>
      </c>
      <c r="E36">
        <v>3</v>
      </c>
      <c r="F36">
        <v>1</v>
      </c>
      <c r="G36" t="s">
        <v>336</v>
      </c>
      <c r="H36">
        <v>35</v>
      </c>
      <c r="I36">
        <v>6.1470000000000002</v>
      </c>
      <c r="J36">
        <f>10.115+7.994</f>
        <v>18.109000000000002</v>
      </c>
    </row>
    <row r="37" spans="1:10" x14ac:dyDescent="0.2">
      <c r="A37" t="s">
        <v>14</v>
      </c>
      <c r="B37" t="s">
        <v>371</v>
      </c>
      <c r="C37" t="s">
        <v>335</v>
      </c>
      <c r="D37">
        <v>0.51659999999999995</v>
      </c>
      <c r="E37">
        <v>3</v>
      </c>
      <c r="F37">
        <v>1</v>
      </c>
      <c r="G37" t="s">
        <v>336</v>
      </c>
      <c r="H37">
        <v>36</v>
      </c>
      <c r="I37">
        <v>5.617</v>
      </c>
      <c r="J37">
        <f>7.804+9.178</f>
        <v>16.981999999999999</v>
      </c>
    </row>
    <row r="38" spans="1:10" x14ac:dyDescent="0.2">
      <c r="A38" t="s">
        <v>14</v>
      </c>
      <c r="B38" t="s">
        <v>372</v>
      </c>
      <c r="C38" t="s">
        <v>335</v>
      </c>
      <c r="D38">
        <v>4.7E-2</v>
      </c>
      <c r="E38">
        <v>3</v>
      </c>
      <c r="F38">
        <v>1</v>
      </c>
      <c r="G38" t="s">
        <v>336</v>
      </c>
      <c r="H38">
        <v>37</v>
      </c>
      <c r="I38">
        <v>9.8360000000000003</v>
      </c>
      <c r="J38">
        <f>16.646+16.17</f>
        <v>32.816000000000003</v>
      </c>
    </row>
    <row r="39" spans="1:10" x14ac:dyDescent="0.2">
      <c r="A39" t="s">
        <v>14</v>
      </c>
      <c r="B39" t="s">
        <v>373</v>
      </c>
      <c r="C39" t="s">
        <v>335</v>
      </c>
      <c r="D39">
        <v>5.91E-2</v>
      </c>
      <c r="E39">
        <v>3</v>
      </c>
      <c r="F39">
        <v>1</v>
      </c>
      <c r="G39" t="s">
        <v>336</v>
      </c>
      <c r="H39">
        <v>38</v>
      </c>
      <c r="I39">
        <v>2.2709999999999999</v>
      </c>
      <c r="J39">
        <f>5.004+5.492</f>
        <v>10.495999999999999</v>
      </c>
    </row>
    <row r="40" spans="1:10" x14ac:dyDescent="0.2">
      <c r="A40" t="s">
        <v>14</v>
      </c>
      <c r="B40" t="s">
        <v>374</v>
      </c>
      <c r="C40" t="s">
        <v>335</v>
      </c>
      <c r="D40">
        <v>7.7600000000000002E-2</v>
      </c>
      <c r="E40">
        <v>3</v>
      </c>
      <c r="F40">
        <v>1</v>
      </c>
      <c r="G40" t="s">
        <v>336</v>
      </c>
      <c r="H40">
        <v>39</v>
      </c>
      <c r="I40">
        <v>5.5819999999999999</v>
      </c>
      <c r="J40">
        <f>8.399+7.797</f>
        <v>16.195999999999998</v>
      </c>
    </row>
    <row r="41" spans="1:10" x14ac:dyDescent="0.2">
      <c r="A41" t="s">
        <v>14</v>
      </c>
      <c r="B41" t="s">
        <v>375</v>
      </c>
      <c r="C41" t="s">
        <v>335</v>
      </c>
      <c r="D41">
        <v>0.10979999999999999</v>
      </c>
      <c r="E41">
        <v>3</v>
      </c>
      <c r="F41">
        <v>1</v>
      </c>
      <c r="G41" t="s">
        <v>336</v>
      </c>
      <c r="H41">
        <v>40</v>
      </c>
      <c r="I41">
        <v>5.8029999999999999</v>
      </c>
      <c r="J41">
        <f>10.848+9.422</f>
        <v>20.270000000000003</v>
      </c>
    </row>
    <row r="42" spans="1:10" x14ac:dyDescent="0.2">
      <c r="A42" t="s">
        <v>14</v>
      </c>
      <c r="B42" t="s">
        <v>376</v>
      </c>
      <c r="C42" t="s">
        <v>335</v>
      </c>
      <c r="D42">
        <v>5.2200000000000003E-2</v>
      </c>
      <c r="E42">
        <v>3</v>
      </c>
      <c r="F42">
        <v>1</v>
      </c>
      <c r="G42" t="s">
        <v>336</v>
      </c>
      <c r="H42">
        <v>41</v>
      </c>
      <c r="I42">
        <v>3.4870000000000001</v>
      </c>
      <c r="J42">
        <f>6.227+5.732</f>
        <v>11.959</v>
      </c>
    </row>
    <row r="43" spans="1:10" x14ac:dyDescent="0.2">
      <c r="A43" t="s">
        <v>14</v>
      </c>
      <c r="B43" t="s">
        <v>377</v>
      </c>
      <c r="C43" t="s">
        <v>335</v>
      </c>
      <c r="D43">
        <v>9.0499999999999997E-2</v>
      </c>
      <c r="E43">
        <v>3</v>
      </c>
      <c r="F43">
        <v>1</v>
      </c>
      <c r="G43" t="s">
        <v>336</v>
      </c>
      <c r="H43">
        <v>42</v>
      </c>
      <c r="I43">
        <v>4.9180000000000001</v>
      </c>
      <c r="J43">
        <f>8.31+6.807</f>
        <v>15.117000000000001</v>
      </c>
    </row>
    <row r="44" spans="1:10" x14ac:dyDescent="0.2">
      <c r="A44" t="s">
        <v>14</v>
      </c>
      <c r="B44" t="s">
        <v>378</v>
      </c>
      <c r="C44" t="s">
        <v>335</v>
      </c>
      <c r="D44">
        <v>4.9799999999999997E-2</v>
      </c>
      <c r="E44">
        <v>3</v>
      </c>
      <c r="F44">
        <v>1</v>
      </c>
      <c r="G44" t="s">
        <v>336</v>
      </c>
      <c r="H44">
        <v>43</v>
      </c>
      <c r="I44">
        <v>3.1709999999999998</v>
      </c>
      <c r="J44">
        <f>2.903+2.96+5.067</f>
        <v>10.93</v>
      </c>
    </row>
    <row r="45" spans="1:10" x14ac:dyDescent="0.2">
      <c r="A45" t="s">
        <v>14</v>
      </c>
      <c r="B45" t="s">
        <v>379</v>
      </c>
      <c r="C45" t="s">
        <v>335</v>
      </c>
      <c r="D45">
        <v>7.7000000000000002E-3</v>
      </c>
      <c r="E45" t="s">
        <v>40</v>
      </c>
      <c r="F45">
        <v>6</v>
      </c>
    </row>
    <row r="46" spans="1:10" x14ac:dyDescent="0.2">
      <c r="A46" t="s">
        <v>14</v>
      </c>
      <c r="B46" t="s">
        <v>380</v>
      </c>
      <c r="C46" t="s">
        <v>335</v>
      </c>
      <c r="D46">
        <v>0.24640000000000001</v>
      </c>
      <c r="E46">
        <v>3</v>
      </c>
      <c r="F46">
        <v>1</v>
      </c>
      <c r="G46" t="s">
        <v>336</v>
      </c>
      <c r="H46">
        <v>45</v>
      </c>
      <c r="I46">
        <v>9.5470000000000006</v>
      </c>
      <c r="J46">
        <f>13.896+12.765</f>
        <v>26.661000000000001</v>
      </c>
    </row>
    <row r="47" spans="1:10" x14ac:dyDescent="0.2">
      <c r="A47" t="s">
        <v>14</v>
      </c>
      <c r="B47" t="s">
        <v>381</v>
      </c>
      <c r="C47" t="s">
        <v>335</v>
      </c>
      <c r="D47">
        <v>0.23860000000000001</v>
      </c>
      <c r="E47">
        <v>3</v>
      </c>
      <c r="F47">
        <v>1</v>
      </c>
      <c r="G47" t="s">
        <v>336</v>
      </c>
      <c r="H47">
        <v>46</v>
      </c>
      <c r="I47">
        <v>7.7480000000000002</v>
      </c>
      <c r="J47">
        <f>10.36+13.076</f>
        <v>23.436</v>
      </c>
    </row>
    <row r="48" spans="1:10" x14ac:dyDescent="0.2">
      <c r="A48" t="s">
        <v>14</v>
      </c>
      <c r="B48" t="s">
        <v>382</v>
      </c>
      <c r="C48" t="s">
        <v>335</v>
      </c>
      <c r="D48">
        <v>8.8999999999999999E-3</v>
      </c>
      <c r="E48" t="s">
        <v>40</v>
      </c>
      <c r="F48">
        <v>5</v>
      </c>
    </row>
    <row r="49" spans="1:6" x14ac:dyDescent="0.2">
      <c r="A49" t="s">
        <v>14</v>
      </c>
      <c r="B49" t="s">
        <v>383</v>
      </c>
      <c r="C49" t="s">
        <v>335</v>
      </c>
      <c r="D49">
        <v>9.1999999999999998E-3</v>
      </c>
      <c r="E49" t="s">
        <v>40</v>
      </c>
      <c r="F49">
        <v>5</v>
      </c>
    </row>
    <row r="50" spans="1:6" x14ac:dyDescent="0.2">
      <c r="A50" t="s">
        <v>14</v>
      </c>
      <c r="B50" t="s">
        <v>384</v>
      </c>
      <c r="C50" t="s">
        <v>335</v>
      </c>
      <c r="D50">
        <v>2.0000000000000001E-4</v>
      </c>
      <c r="E50" t="s">
        <v>40</v>
      </c>
      <c r="F50">
        <v>1</v>
      </c>
    </row>
    <row r="51" spans="1:6" x14ac:dyDescent="0.2">
      <c r="A51" t="s">
        <v>14</v>
      </c>
      <c r="B51" t="s">
        <v>385</v>
      </c>
      <c r="C51" t="s">
        <v>335</v>
      </c>
      <c r="D51">
        <v>1E-4</v>
      </c>
      <c r="E51" t="s">
        <v>40</v>
      </c>
      <c r="F51">
        <v>1</v>
      </c>
    </row>
  </sheetData>
  <conditionalFormatting sqref="H46:H47 H31:H44 H1:H22 H28:H29 H24:H26">
    <cfRule type="duplicat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Australia</vt:lpstr>
      <vt:lpstr>Germany</vt:lpstr>
      <vt:lpstr>UK</vt:lpstr>
      <vt:lpstr>CSIRO-australia</vt:lpstr>
      <vt:lpstr>Chile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Kendall</dc:creator>
  <cp:lastModifiedBy>Microsoft Office User</cp:lastModifiedBy>
  <dcterms:created xsi:type="dcterms:W3CDTF">2017-08-09T04:10:58Z</dcterms:created>
  <dcterms:modified xsi:type="dcterms:W3CDTF">2017-12-16T23:38:34Z</dcterms:modified>
</cp:coreProperties>
</file>