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liamkendall/OneDrive - University of New England/pollimetry/raw_data/"/>
    </mc:Choice>
  </mc:AlternateContent>
  <xr:revisionPtr revIDLastSave="0" documentId="13_ncr:1_{74569B87-B1E7-E44C-9B23-CE58CDC09986}" xr6:coauthVersionLast="32" xr6:coauthVersionMax="32" xr10:uidLastSave="{00000000-0000-0000-0000-000000000000}"/>
  <bookViews>
    <workbookView xWindow="6380" yWindow="460" windowWidth="28600" windowHeight="17540" activeTab="11" xr2:uid="{00000000-000D-0000-FFFF-FFFF00000000}"/>
  </bookViews>
  <sheets>
    <sheet name="Bees" sheetId="10" r:id="rId1"/>
    <sheet name="Hoverflies" sheetId="9" r:id="rId2"/>
    <sheet name="Spain" sheetId="11" r:id="rId3"/>
    <sheet name="Australia" sheetId="1" r:id="rId4"/>
    <sheet name="Germany" sheetId="3" r:id="rId5"/>
    <sheet name="Ireland" sheetId="8" r:id="rId6"/>
    <sheet name="UK" sheetId="5" r:id="rId7"/>
    <sheet name="CSIRO-australia" sheetId="4" r:id="rId8"/>
    <sheet name="Mark-AUS" sheetId="12" r:id="rId9"/>
    <sheet name="Pin weights" sheetId="6" r:id="rId10"/>
    <sheet name="Chile" sheetId="2" r:id="rId11"/>
    <sheet name="Excluded specimens" sheetId="7" r:id="rId1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96" i="7" l="1"/>
  <c r="R96" i="7"/>
  <c r="S96" i="7" s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74" i="9"/>
  <c r="D75" i="9"/>
  <c r="D76" i="9"/>
  <c r="D2" i="9"/>
  <c r="W1078" i="10" l="1"/>
  <c r="X1078" i="10" s="1"/>
  <c r="U1078" i="10"/>
  <c r="W1077" i="10"/>
  <c r="X1077" i="10" s="1"/>
  <c r="U1077" i="10"/>
  <c r="W1076" i="10"/>
  <c r="X1076" i="10" s="1"/>
  <c r="U1076" i="10"/>
  <c r="X1075" i="10"/>
  <c r="W1075" i="10"/>
  <c r="U1075" i="10"/>
  <c r="W1074" i="10"/>
  <c r="X1074" i="10" s="1"/>
  <c r="U1074" i="10"/>
  <c r="W1073" i="10"/>
  <c r="X1073" i="10" s="1"/>
  <c r="U1073" i="10"/>
  <c r="X1072" i="10"/>
  <c r="W1072" i="10"/>
  <c r="U1072" i="10"/>
  <c r="W1071" i="10"/>
  <c r="X1071" i="10" s="1"/>
  <c r="U1071" i="10"/>
  <c r="W1070" i="10"/>
  <c r="X1070" i="10" s="1"/>
  <c r="U1070" i="10"/>
  <c r="W1069" i="10"/>
  <c r="X1069" i="10" s="1"/>
  <c r="U1069" i="10"/>
  <c r="X1068" i="10"/>
  <c r="U1068" i="10"/>
  <c r="X1067" i="10"/>
  <c r="W1067" i="10"/>
  <c r="U1067" i="10"/>
  <c r="W1066" i="10"/>
  <c r="X1066" i="10" s="1"/>
  <c r="U1066" i="10"/>
  <c r="W1065" i="10"/>
  <c r="X1065" i="10" s="1"/>
  <c r="U1065" i="10"/>
  <c r="W1064" i="10"/>
  <c r="X1064" i="10" s="1"/>
  <c r="U1064" i="10"/>
  <c r="W1063" i="10"/>
  <c r="X1063" i="10" s="1"/>
  <c r="U1063" i="10"/>
  <c r="W1062" i="10"/>
  <c r="X1062" i="10" s="1"/>
  <c r="U1062" i="10"/>
  <c r="W1061" i="10"/>
  <c r="X1061" i="10" s="1"/>
  <c r="U1061" i="10"/>
  <c r="W1060" i="10"/>
  <c r="X1060" i="10" s="1"/>
  <c r="U1060" i="10"/>
  <c r="W1059" i="10"/>
  <c r="X1059" i="10" s="1"/>
  <c r="U1059" i="10"/>
  <c r="X1058" i="10"/>
  <c r="U1058" i="10"/>
  <c r="X1057" i="10"/>
  <c r="U1057" i="10"/>
  <c r="W1056" i="10"/>
  <c r="X1056" i="10" s="1"/>
  <c r="U1056" i="10"/>
  <c r="X1055" i="10"/>
  <c r="W1055" i="10"/>
  <c r="U1055" i="10"/>
  <c r="X1054" i="10"/>
  <c r="U1054" i="10"/>
  <c r="W1053" i="10"/>
  <c r="X1053" i="10" s="1"/>
  <c r="U1053" i="10"/>
  <c r="W1052" i="10"/>
  <c r="X1052" i="10" s="1"/>
  <c r="U1052" i="10"/>
  <c r="W1051" i="10"/>
  <c r="X1051" i="10" s="1"/>
  <c r="U1051" i="10"/>
  <c r="X1050" i="10"/>
  <c r="W1050" i="10"/>
  <c r="U1050" i="10"/>
  <c r="W1049" i="10"/>
  <c r="X1049" i="10" s="1"/>
  <c r="U1049" i="10"/>
  <c r="W1048" i="10"/>
  <c r="X1048" i="10" s="1"/>
  <c r="U1048" i="10"/>
  <c r="W1047" i="10"/>
  <c r="X1047" i="10" s="1"/>
  <c r="U1047" i="10"/>
  <c r="W1046" i="10"/>
  <c r="X1046" i="10" s="1"/>
  <c r="U1046" i="10"/>
  <c r="W1045" i="10"/>
  <c r="X1045" i="10" s="1"/>
  <c r="U1045" i="10"/>
  <c r="W1044" i="10"/>
  <c r="X1044" i="10" s="1"/>
  <c r="U1044" i="10"/>
  <c r="W1043" i="10"/>
  <c r="X1043" i="10" s="1"/>
  <c r="U1043" i="10"/>
  <c r="W1042" i="10"/>
  <c r="X1042" i="10" s="1"/>
  <c r="U1042" i="10"/>
  <c r="W1041" i="10"/>
  <c r="X1041" i="10" s="1"/>
  <c r="U1041" i="10"/>
  <c r="W1040" i="10"/>
  <c r="X1040" i="10" s="1"/>
  <c r="U1040" i="10"/>
  <c r="W1039" i="10"/>
  <c r="X1039" i="10" s="1"/>
  <c r="U1039" i="10"/>
  <c r="W1038" i="10"/>
  <c r="X1038" i="10" s="1"/>
  <c r="U1038" i="10"/>
  <c r="W1037" i="10"/>
  <c r="X1037" i="10" s="1"/>
  <c r="U1037" i="10"/>
  <c r="X1036" i="10"/>
  <c r="U1036" i="10"/>
  <c r="W1035" i="10"/>
  <c r="X1035" i="10" s="1"/>
  <c r="U1035" i="10"/>
  <c r="W1034" i="10"/>
  <c r="X1034" i="10" s="1"/>
  <c r="U1034" i="10"/>
  <c r="W1033" i="10"/>
  <c r="X1033" i="10" s="1"/>
  <c r="U1033" i="10"/>
  <c r="W1032" i="10"/>
  <c r="X1032" i="10" s="1"/>
  <c r="U1032" i="10"/>
  <c r="W1031" i="10"/>
  <c r="X1031" i="10" s="1"/>
  <c r="U1031" i="10"/>
  <c r="W1030" i="10"/>
  <c r="X1030" i="10" s="1"/>
  <c r="U1030" i="10"/>
  <c r="X1029" i="10"/>
  <c r="W1029" i="10"/>
  <c r="U1029" i="10"/>
  <c r="W1028" i="10"/>
  <c r="X1028" i="10" s="1"/>
  <c r="U1028" i="10"/>
  <c r="W1027" i="10"/>
  <c r="X1027" i="10" s="1"/>
  <c r="U1027" i="10"/>
  <c r="W1026" i="10"/>
  <c r="X1026" i="10" s="1"/>
  <c r="U1026" i="10"/>
  <c r="X1025" i="10"/>
  <c r="U1025" i="10"/>
  <c r="W1024" i="10"/>
  <c r="X1024" i="10" s="1"/>
  <c r="U1024" i="10"/>
  <c r="W1023" i="10"/>
  <c r="X1023" i="10" s="1"/>
  <c r="S1023" i="10"/>
  <c r="U1023" i="10" s="1"/>
  <c r="W1022" i="10"/>
  <c r="X1022" i="10" s="1"/>
  <c r="U1022" i="10"/>
  <c r="W1021" i="10"/>
  <c r="X1021" i="10" s="1"/>
  <c r="U1021" i="10"/>
  <c r="X1020" i="10"/>
  <c r="W1020" i="10"/>
  <c r="U1020" i="10"/>
  <c r="W1019" i="10"/>
  <c r="X1019" i="10" s="1"/>
  <c r="U1019" i="10"/>
  <c r="W1018" i="10"/>
  <c r="X1018" i="10" s="1"/>
  <c r="U1018" i="10"/>
  <c r="W1017" i="10"/>
  <c r="X1017" i="10" s="1"/>
  <c r="U1017" i="10"/>
  <c r="W1016" i="10"/>
  <c r="X1016" i="10" s="1"/>
  <c r="U1016" i="10"/>
  <c r="X1015" i="10"/>
  <c r="W1015" i="10"/>
  <c r="U1015" i="10"/>
  <c r="X1014" i="10"/>
  <c r="U1014" i="10"/>
  <c r="W1013" i="10"/>
  <c r="X1013" i="10" s="1"/>
  <c r="U1013" i="10"/>
  <c r="X1012" i="10"/>
  <c r="W1012" i="10"/>
  <c r="U1012" i="10"/>
  <c r="X1011" i="10"/>
  <c r="U1011" i="10"/>
  <c r="W1010" i="10"/>
  <c r="X1010" i="10" s="1"/>
  <c r="U1010" i="10"/>
  <c r="W1009" i="10"/>
  <c r="X1009" i="10" s="1"/>
  <c r="U1009" i="10"/>
  <c r="W1008" i="10"/>
  <c r="X1008" i="10" s="1"/>
  <c r="U1008" i="10"/>
  <c r="X1007" i="10"/>
  <c r="W1007" i="10"/>
  <c r="U1007" i="10"/>
  <c r="W1006" i="10"/>
  <c r="X1006" i="10" s="1"/>
  <c r="U1006" i="10"/>
  <c r="W1005" i="10"/>
  <c r="X1005" i="10" s="1"/>
  <c r="U1005" i="10"/>
  <c r="W1004" i="10"/>
  <c r="X1004" i="10" s="1"/>
  <c r="U1004" i="10"/>
  <c r="W1003" i="10"/>
  <c r="X1003" i="10" s="1"/>
  <c r="U1003" i="10"/>
  <c r="W1002" i="10"/>
  <c r="X1002" i="10" s="1"/>
  <c r="U1002" i="10"/>
  <c r="X1001" i="10"/>
  <c r="U1001" i="10"/>
  <c r="W1000" i="10"/>
  <c r="X1000" i="10" s="1"/>
  <c r="U1000" i="10"/>
  <c r="X999" i="10"/>
  <c r="U999" i="10"/>
  <c r="W998" i="10"/>
  <c r="X998" i="10" s="1"/>
  <c r="U998" i="10"/>
  <c r="W997" i="10"/>
  <c r="X997" i="10" s="1"/>
  <c r="U997" i="10"/>
  <c r="W996" i="10"/>
  <c r="X996" i="10" s="1"/>
  <c r="U996" i="10"/>
  <c r="W995" i="10"/>
  <c r="X995" i="10" s="1"/>
  <c r="U995" i="10"/>
  <c r="W994" i="10"/>
  <c r="X994" i="10" s="1"/>
  <c r="U994" i="10"/>
  <c r="W993" i="10"/>
  <c r="X993" i="10" s="1"/>
  <c r="U993" i="10"/>
  <c r="W992" i="10"/>
  <c r="X992" i="10" s="1"/>
  <c r="U992" i="10"/>
  <c r="W991" i="10"/>
  <c r="X991" i="10" s="1"/>
  <c r="U991" i="10"/>
  <c r="W990" i="10"/>
  <c r="X990" i="10" s="1"/>
  <c r="U990" i="10"/>
  <c r="W989" i="10"/>
  <c r="X989" i="10" s="1"/>
  <c r="U989" i="10"/>
  <c r="W988" i="10"/>
  <c r="X988" i="10" s="1"/>
  <c r="U988" i="10"/>
  <c r="W987" i="10"/>
  <c r="X987" i="10" s="1"/>
  <c r="U987" i="10"/>
  <c r="W986" i="10"/>
  <c r="X986" i="10" s="1"/>
  <c r="U986" i="10"/>
  <c r="X985" i="10"/>
  <c r="W985" i="10"/>
  <c r="U985" i="10"/>
  <c r="W984" i="10"/>
  <c r="X984" i="10" s="1"/>
  <c r="U984" i="10"/>
  <c r="W983" i="10"/>
  <c r="X983" i="10" s="1"/>
  <c r="U983" i="10"/>
  <c r="W982" i="10"/>
  <c r="X982" i="10" s="1"/>
  <c r="U982" i="10"/>
  <c r="W981" i="10"/>
  <c r="X981" i="10" s="1"/>
  <c r="U981" i="10"/>
  <c r="X980" i="10"/>
  <c r="W980" i="10"/>
  <c r="U980" i="10"/>
  <c r="W979" i="10"/>
  <c r="X979" i="10" s="1"/>
  <c r="U979" i="10"/>
  <c r="W978" i="10"/>
  <c r="X978" i="10" s="1"/>
  <c r="U978" i="10"/>
  <c r="W977" i="10"/>
  <c r="X977" i="10" s="1"/>
  <c r="U977" i="10"/>
  <c r="W976" i="10"/>
  <c r="X976" i="10" s="1"/>
  <c r="U976" i="10"/>
  <c r="X975" i="10"/>
  <c r="W975" i="10"/>
  <c r="U975" i="10"/>
  <c r="X974" i="10"/>
  <c r="U974" i="10"/>
  <c r="W973" i="10"/>
  <c r="V973" i="10"/>
  <c r="X973" i="10" s="1"/>
  <c r="U973" i="10"/>
  <c r="W972" i="10"/>
  <c r="X972" i="10" s="1"/>
  <c r="U972" i="10"/>
  <c r="X971" i="10"/>
  <c r="W971" i="10"/>
  <c r="U971" i="10"/>
  <c r="W970" i="10"/>
  <c r="X970" i="10" s="1"/>
  <c r="U970" i="10"/>
  <c r="X969" i="10"/>
  <c r="U969" i="10"/>
  <c r="W968" i="10"/>
  <c r="X968" i="10" s="1"/>
  <c r="U968" i="10"/>
  <c r="X967" i="10"/>
  <c r="U967" i="10"/>
  <c r="X966" i="10"/>
  <c r="U966" i="10"/>
  <c r="W965" i="10"/>
  <c r="X965" i="10" s="1"/>
  <c r="U965" i="10"/>
  <c r="W964" i="10"/>
  <c r="X964" i="10" s="1"/>
  <c r="U964" i="10"/>
  <c r="X963" i="10"/>
  <c r="U963" i="10"/>
  <c r="W962" i="10"/>
  <c r="X962" i="10" s="1"/>
  <c r="U962" i="10"/>
  <c r="W961" i="10"/>
  <c r="X961" i="10" s="1"/>
  <c r="U961" i="10"/>
  <c r="X960" i="10"/>
  <c r="W960" i="10"/>
  <c r="U960" i="10"/>
  <c r="X959" i="10"/>
  <c r="U959" i="10"/>
  <c r="W958" i="10"/>
  <c r="X958" i="10" s="1"/>
  <c r="U958" i="10"/>
  <c r="W957" i="10"/>
  <c r="X957" i="10" s="1"/>
  <c r="U957" i="10"/>
  <c r="W956" i="10"/>
  <c r="X956" i="10" s="1"/>
  <c r="U956" i="10"/>
  <c r="W955" i="10"/>
  <c r="X955" i="10" s="1"/>
  <c r="U955" i="10"/>
  <c r="X954" i="10"/>
  <c r="U954" i="10"/>
  <c r="X953" i="10"/>
  <c r="W953" i="10"/>
  <c r="U953" i="10"/>
  <c r="X952" i="10"/>
  <c r="U952" i="10"/>
  <c r="X951" i="10"/>
  <c r="U951" i="10"/>
  <c r="W950" i="10"/>
  <c r="X950" i="10" s="1"/>
  <c r="U950" i="10"/>
  <c r="W949" i="10"/>
  <c r="X949" i="10" s="1"/>
  <c r="U949" i="10"/>
  <c r="X948" i="10"/>
  <c r="U948" i="10"/>
  <c r="W947" i="10"/>
  <c r="X947" i="10" s="1"/>
  <c r="U947" i="10"/>
  <c r="X946" i="10"/>
  <c r="U946" i="10"/>
  <c r="W945" i="10"/>
  <c r="X945" i="10" s="1"/>
  <c r="U945" i="10"/>
  <c r="X944" i="10"/>
  <c r="U944" i="10"/>
  <c r="X943" i="10"/>
  <c r="U943" i="10"/>
  <c r="W942" i="10"/>
  <c r="X942" i="10" s="1"/>
  <c r="U942" i="10"/>
  <c r="W941" i="10"/>
  <c r="X941" i="10" s="1"/>
  <c r="U941" i="10"/>
  <c r="X940" i="10"/>
  <c r="W940" i="10"/>
  <c r="U940" i="10"/>
  <c r="W939" i="10"/>
  <c r="X939" i="10" s="1"/>
  <c r="U939" i="10"/>
  <c r="W938" i="10"/>
  <c r="X938" i="10" s="1"/>
  <c r="U938" i="10"/>
  <c r="W937" i="10"/>
  <c r="X937" i="10" s="1"/>
  <c r="U937" i="10"/>
  <c r="W936" i="10"/>
  <c r="X936" i="10" s="1"/>
  <c r="U936" i="10"/>
  <c r="X935" i="10"/>
  <c r="W935" i="10"/>
  <c r="U935" i="10"/>
  <c r="W934" i="10"/>
  <c r="X934" i="10" s="1"/>
  <c r="U934" i="10"/>
  <c r="W933" i="10"/>
  <c r="X933" i="10" s="1"/>
  <c r="U933" i="10"/>
  <c r="W932" i="10"/>
  <c r="X932" i="10" s="1"/>
  <c r="U932" i="10"/>
  <c r="W931" i="10"/>
  <c r="X931" i="10" s="1"/>
  <c r="U931" i="10"/>
  <c r="W930" i="10"/>
  <c r="X930" i="10" s="1"/>
  <c r="U930" i="10"/>
  <c r="W929" i="10"/>
  <c r="X929" i="10" s="1"/>
  <c r="U929" i="10"/>
  <c r="W928" i="10"/>
  <c r="X928" i="10" s="1"/>
  <c r="U928" i="10"/>
  <c r="X927" i="10"/>
  <c r="U927" i="10"/>
  <c r="W926" i="10"/>
  <c r="X926" i="10" s="1"/>
  <c r="U926" i="10"/>
  <c r="X925" i="10"/>
  <c r="U925" i="10"/>
  <c r="W924" i="10"/>
  <c r="X924" i="10" s="1"/>
  <c r="U924" i="10"/>
  <c r="W923" i="10"/>
  <c r="X923" i="10" s="1"/>
  <c r="U923" i="10"/>
  <c r="W922" i="10"/>
  <c r="X922" i="10" s="1"/>
  <c r="U922" i="10"/>
  <c r="W921" i="10"/>
  <c r="X921" i="10" s="1"/>
  <c r="U921" i="10"/>
  <c r="W920" i="10"/>
  <c r="X920" i="10" s="1"/>
  <c r="U920" i="10"/>
  <c r="W919" i="10"/>
  <c r="X919" i="10" s="1"/>
  <c r="U919" i="10"/>
  <c r="W918" i="10"/>
  <c r="X918" i="10" s="1"/>
  <c r="U918" i="10"/>
  <c r="W917" i="10"/>
  <c r="X917" i="10" s="1"/>
  <c r="U917" i="10"/>
  <c r="W916" i="10"/>
  <c r="X916" i="10" s="1"/>
  <c r="U916" i="10"/>
  <c r="W915" i="10"/>
  <c r="X915" i="10" s="1"/>
  <c r="U915" i="10"/>
  <c r="W914" i="10"/>
  <c r="X914" i="10" s="1"/>
  <c r="U914" i="10"/>
  <c r="X913" i="10"/>
  <c r="U913" i="10"/>
  <c r="X912" i="10"/>
  <c r="U912" i="10"/>
  <c r="W911" i="10"/>
  <c r="X911" i="10" s="1"/>
  <c r="U911" i="10"/>
  <c r="W910" i="10"/>
  <c r="X910" i="10" s="1"/>
  <c r="U910" i="10"/>
  <c r="X909" i="10"/>
  <c r="U909" i="10"/>
  <c r="X908" i="10"/>
  <c r="U908" i="10"/>
  <c r="X907" i="10"/>
  <c r="W907" i="10"/>
  <c r="U907" i="10"/>
  <c r="X906" i="10"/>
  <c r="U906" i="10"/>
  <c r="W905" i="10"/>
  <c r="X905" i="10" s="1"/>
  <c r="U905" i="10"/>
  <c r="W904" i="10"/>
  <c r="X904" i="10" s="1"/>
  <c r="U904" i="10"/>
  <c r="W903" i="10"/>
  <c r="X903" i="10" s="1"/>
  <c r="U903" i="10"/>
  <c r="W902" i="10"/>
  <c r="X902" i="10" s="1"/>
  <c r="U902" i="10"/>
  <c r="W901" i="10"/>
  <c r="X901" i="10" s="1"/>
  <c r="U901" i="10"/>
  <c r="X900" i="10"/>
  <c r="W900" i="10"/>
  <c r="U900" i="10"/>
  <c r="W899" i="10"/>
  <c r="X899" i="10" s="1"/>
  <c r="U899" i="10"/>
  <c r="W898" i="10"/>
  <c r="X898" i="10" s="1"/>
  <c r="U898" i="10"/>
  <c r="W897" i="10"/>
  <c r="X897" i="10" s="1"/>
  <c r="U897" i="10"/>
  <c r="W896" i="10"/>
  <c r="X896" i="10" s="1"/>
  <c r="U896" i="10"/>
  <c r="X895" i="10"/>
  <c r="W895" i="10"/>
  <c r="U895" i="10"/>
  <c r="W894" i="10"/>
  <c r="X894" i="10" s="1"/>
  <c r="U894" i="10"/>
  <c r="W893" i="10"/>
  <c r="X893" i="10" s="1"/>
  <c r="U893" i="10"/>
  <c r="W892" i="10"/>
  <c r="X892" i="10" s="1"/>
  <c r="U892" i="10"/>
  <c r="W891" i="10"/>
  <c r="X891" i="10" s="1"/>
  <c r="U891" i="10"/>
  <c r="X890" i="10"/>
  <c r="W890" i="10"/>
  <c r="U890" i="10"/>
  <c r="W889" i="10"/>
  <c r="X889" i="10" s="1"/>
  <c r="U889" i="10"/>
  <c r="X888" i="10"/>
  <c r="U888" i="10"/>
  <c r="W887" i="10"/>
  <c r="X887" i="10" s="1"/>
  <c r="U887" i="10"/>
  <c r="W886" i="10"/>
  <c r="X886" i="10" s="1"/>
  <c r="U886" i="10"/>
  <c r="W885" i="10"/>
  <c r="X885" i="10" s="1"/>
  <c r="U885" i="10"/>
  <c r="W884" i="10"/>
  <c r="X884" i="10" s="1"/>
  <c r="U884" i="10"/>
  <c r="X883" i="10"/>
  <c r="W883" i="10"/>
  <c r="U883" i="10"/>
  <c r="W882" i="10"/>
  <c r="X882" i="10" s="1"/>
  <c r="U882" i="10"/>
  <c r="W881" i="10"/>
  <c r="X881" i="10" s="1"/>
  <c r="U881" i="10"/>
  <c r="W880" i="10"/>
  <c r="X880" i="10" s="1"/>
  <c r="U880" i="10"/>
  <c r="X879" i="10"/>
  <c r="S879" i="10"/>
  <c r="X878" i="10"/>
  <c r="S878" i="10"/>
  <c r="X877" i="10"/>
  <c r="S877" i="10"/>
  <c r="X876" i="10"/>
  <c r="S876" i="10"/>
  <c r="X875" i="10"/>
  <c r="S875" i="10"/>
  <c r="X874" i="10"/>
  <c r="S874" i="10"/>
  <c r="X873" i="10"/>
  <c r="S873" i="10"/>
  <c r="X872" i="10"/>
  <c r="S872" i="10"/>
  <c r="X871" i="10"/>
  <c r="S871" i="10"/>
  <c r="X870" i="10"/>
  <c r="S870" i="10"/>
  <c r="X869" i="10"/>
  <c r="S869" i="10"/>
  <c r="X868" i="10"/>
  <c r="S868" i="10"/>
  <c r="X867" i="10"/>
  <c r="S867" i="10"/>
  <c r="X866" i="10"/>
  <c r="S866" i="10"/>
  <c r="X865" i="10"/>
  <c r="S865" i="10"/>
  <c r="X864" i="10"/>
  <c r="S864" i="10"/>
  <c r="X863" i="10"/>
  <c r="S863" i="10"/>
  <c r="X862" i="10"/>
  <c r="S862" i="10"/>
  <c r="X861" i="10"/>
  <c r="S861" i="10"/>
  <c r="X860" i="10"/>
  <c r="S860" i="10"/>
  <c r="X859" i="10"/>
  <c r="S859" i="10"/>
  <c r="X858" i="10"/>
  <c r="S858" i="10"/>
  <c r="X857" i="10"/>
  <c r="S857" i="10"/>
  <c r="X856" i="10"/>
  <c r="S856" i="10"/>
  <c r="X855" i="10"/>
  <c r="S855" i="10"/>
  <c r="X854" i="10"/>
  <c r="S854" i="10"/>
  <c r="X853" i="10"/>
  <c r="S853" i="10"/>
  <c r="X852" i="10"/>
  <c r="S852" i="10"/>
  <c r="X851" i="10"/>
  <c r="S851" i="10"/>
  <c r="X850" i="10"/>
  <c r="S850" i="10"/>
  <c r="X849" i="10"/>
  <c r="S849" i="10"/>
  <c r="X848" i="10"/>
  <c r="S848" i="10"/>
  <c r="X847" i="10"/>
  <c r="S847" i="10"/>
  <c r="X846" i="10"/>
  <c r="S846" i="10"/>
  <c r="X845" i="10"/>
  <c r="S845" i="10"/>
  <c r="X844" i="10"/>
  <c r="S844" i="10"/>
  <c r="X843" i="10"/>
  <c r="S843" i="10"/>
  <c r="X842" i="10"/>
  <c r="S842" i="10"/>
  <c r="X841" i="10"/>
  <c r="S841" i="10"/>
  <c r="X840" i="10"/>
  <c r="S840" i="10"/>
  <c r="X839" i="10"/>
  <c r="S839" i="10"/>
  <c r="X838" i="10"/>
  <c r="S838" i="10"/>
  <c r="X837" i="10"/>
  <c r="S837" i="10"/>
  <c r="X836" i="10"/>
  <c r="S836" i="10"/>
  <c r="X835" i="10"/>
  <c r="S835" i="10"/>
  <c r="X834" i="10"/>
  <c r="S834" i="10"/>
  <c r="X833" i="10"/>
  <c r="S833" i="10"/>
  <c r="X832" i="10"/>
  <c r="S832" i="10"/>
  <c r="X831" i="10"/>
  <c r="S831" i="10"/>
  <c r="X830" i="10"/>
  <c r="S830" i="10"/>
  <c r="X829" i="10"/>
  <c r="S829" i="10"/>
  <c r="X828" i="10"/>
  <c r="S828" i="10"/>
  <c r="X827" i="10"/>
  <c r="S827" i="10"/>
  <c r="X826" i="10"/>
  <c r="S826" i="10"/>
  <c r="X825" i="10"/>
  <c r="S825" i="10"/>
  <c r="X824" i="10"/>
  <c r="S824" i="10"/>
  <c r="X823" i="10"/>
  <c r="S823" i="10"/>
  <c r="X822" i="10"/>
  <c r="S822" i="10"/>
  <c r="X821" i="10"/>
  <c r="S821" i="10"/>
  <c r="X820" i="10"/>
  <c r="S820" i="10"/>
  <c r="X819" i="10"/>
  <c r="S819" i="10"/>
  <c r="X818" i="10"/>
  <c r="S818" i="10"/>
  <c r="X817" i="10"/>
  <c r="S817" i="10"/>
  <c r="X816" i="10"/>
  <c r="S816" i="10"/>
  <c r="X815" i="10"/>
  <c r="S815" i="10"/>
  <c r="X814" i="10"/>
  <c r="S814" i="10"/>
  <c r="X813" i="10"/>
  <c r="S813" i="10"/>
  <c r="X812" i="10"/>
  <c r="S812" i="10"/>
  <c r="X811" i="10"/>
  <c r="S811" i="10"/>
  <c r="X810" i="10"/>
  <c r="S810" i="10"/>
  <c r="X809" i="10"/>
  <c r="S809" i="10"/>
  <c r="X808" i="10"/>
  <c r="S808" i="10"/>
  <c r="X807" i="10"/>
  <c r="S807" i="10"/>
  <c r="X806" i="10"/>
  <c r="S806" i="10"/>
  <c r="X805" i="10"/>
  <c r="S805" i="10"/>
  <c r="X804" i="10"/>
  <c r="S804" i="10"/>
  <c r="X803" i="10"/>
  <c r="S803" i="10"/>
  <c r="X802" i="10"/>
  <c r="S802" i="10"/>
  <c r="X801" i="10"/>
  <c r="S801" i="10"/>
  <c r="X800" i="10"/>
  <c r="S800" i="10"/>
  <c r="X799" i="10"/>
  <c r="S799" i="10"/>
  <c r="X798" i="10"/>
  <c r="S798" i="10"/>
  <c r="X797" i="10"/>
  <c r="S797" i="10"/>
  <c r="X796" i="10"/>
  <c r="S796" i="10"/>
  <c r="X795" i="10"/>
  <c r="S795" i="10"/>
  <c r="X794" i="10"/>
  <c r="S794" i="10"/>
  <c r="X793" i="10"/>
  <c r="S793" i="10"/>
  <c r="X792" i="10"/>
  <c r="S792" i="10"/>
  <c r="X791" i="10"/>
  <c r="S791" i="10"/>
  <c r="X790" i="10"/>
  <c r="S790" i="10"/>
  <c r="X789" i="10"/>
  <c r="S789" i="10"/>
  <c r="X788" i="10"/>
  <c r="S788" i="10"/>
  <c r="X787" i="10"/>
  <c r="S787" i="10"/>
  <c r="X786" i="10"/>
  <c r="S786" i="10"/>
  <c r="X785" i="10"/>
  <c r="S785" i="10"/>
  <c r="X784" i="10"/>
  <c r="S784" i="10"/>
  <c r="X783" i="10"/>
  <c r="S783" i="10"/>
  <c r="X782" i="10"/>
  <c r="S782" i="10"/>
  <c r="X781" i="10"/>
  <c r="S781" i="10"/>
  <c r="X780" i="10"/>
  <c r="S780" i="10"/>
  <c r="X779" i="10"/>
  <c r="S779" i="10"/>
  <c r="X778" i="10"/>
  <c r="S778" i="10"/>
  <c r="X777" i="10"/>
  <c r="S777" i="10"/>
  <c r="X776" i="10"/>
  <c r="S776" i="10"/>
  <c r="X775" i="10"/>
  <c r="S775" i="10"/>
  <c r="X774" i="10"/>
  <c r="S774" i="10"/>
  <c r="X773" i="10"/>
  <c r="S773" i="10"/>
  <c r="X772" i="10"/>
  <c r="S772" i="10"/>
  <c r="X771" i="10"/>
  <c r="S771" i="10"/>
  <c r="X770" i="10"/>
  <c r="S770" i="10"/>
  <c r="X769" i="10"/>
  <c r="S769" i="10"/>
  <c r="X768" i="10"/>
  <c r="S768" i="10"/>
  <c r="X767" i="10"/>
  <c r="S767" i="10"/>
  <c r="X766" i="10"/>
  <c r="S766" i="10"/>
  <c r="X765" i="10"/>
  <c r="S765" i="10"/>
  <c r="X764" i="10"/>
  <c r="S764" i="10"/>
  <c r="X763" i="10"/>
  <c r="S763" i="10"/>
  <c r="X762" i="10"/>
  <c r="S762" i="10"/>
  <c r="X761" i="10"/>
  <c r="S761" i="10"/>
  <c r="X760" i="10"/>
  <c r="S760" i="10"/>
  <c r="X759" i="10"/>
  <c r="S759" i="10"/>
  <c r="X758" i="10"/>
  <c r="S758" i="10"/>
  <c r="X757" i="10"/>
  <c r="S757" i="10"/>
  <c r="X756" i="10"/>
  <c r="S756" i="10"/>
  <c r="X755" i="10"/>
  <c r="S755" i="10"/>
  <c r="X754" i="10"/>
  <c r="S754" i="10"/>
  <c r="X753" i="10"/>
  <c r="S753" i="10"/>
  <c r="X752" i="10"/>
  <c r="S752" i="10"/>
  <c r="X751" i="10"/>
  <c r="S751" i="10"/>
  <c r="X750" i="10"/>
  <c r="S750" i="10"/>
  <c r="X749" i="10"/>
  <c r="S749" i="10"/>
  <c r="X748" i="10"/>
  <c r="S748" i="10"/>
  <c r="X747" i="10"/>
  <c r="S747" i="10"/>
  <c r="X746" i="10"/>
  <c r="S746" i="10"/>
  <c r="X745" i="10"/>
  <c r="S745" i="10"/>
  <c r="X744" i="10"/>
  <c r="S744" i="10"/>
  <c r="X743" i="10"/>
  <c r="S743" i="10"/>
  <c r="X742" i="10"/>
  <c r="S742" i="10"/>
  <c r="X741" i="10"/>
  <c r="S741" i="10"/>
  <c r="X740" i="10"/>
  <c r="S740" i="10"/>
  <c r="X739" i="10"/>
  <c r="S739" i="10"/>
  <c r="X738" i="10"/>
  <c r="S738" i="10"/>
  <c r="X737" i="10"/>
  <c r="S737" i="10"/>
  <c r="X736" i="10"/>
  <c r="S736" i="10"/>
  <c r="X735" i="10"/>
  <c r="S735" i="10"/>
  <c r="X734" i="10"/>
  <c r="S734" i="10"/>
  <c r="X733" i="10"/>
  <c r="S733" i="10"/>
  <c r="X732" i="10"/>
  <c r="S732" i="10"/>
  <c r="X731" i="10"/>
  <c r="S731" i="10"/>
  <c r="X730" i="10"/>
  <c r="S730" i="10"/>
  <c r="X729" i="10"/>
  <c r="S729" i="10"/>
  <c r="X728" i="10"/>
  <c r="S728" i="10"/>
  <c r="X727" i="10"/>
  <c r="S727" i="10"/>
  <c r="X726" i="10"/>
  <c r="S726" i="10"/>
  <c r="X725" i="10"/>
  <c r="S725" i="10"/>
  <c r="X724" i="10"/>
  <c r="S724" i="10"/>
  <c r="X723" i="10"/>
  <c r="S723" i="10"/>
  <c r="X722" i="10"/>
  <c r="S722" i="10"/>
  <c r="X721" i="10"/>
  <c r="S721" i="10"/>
  <c r="W720" i="10"/>
  <c r="X720" i="10" s="1"/>
  <c r="S720" i="10"/>
  <c r="W719" i="10"/>
  <c r="X719" i="10" s="1"/>
  <c r="S719" i="10"/>
  <c r="X718" i="10"/>
  <c r="W718" i="10"/>
  <c r="S718" i="10"/>
  <c r="W717" i="10"/>
  <c r="X717" i="10" s="1"/>
  <c r="S717" i="10"/>
  <c r="W716" i="10"/>
  <c r="X716" i="10" s="1"/>
  <c r="S716" i="10"/>
  <c r="X715" i="10"/>
  <c r="S715" i="10"/>
  <c r="W714" i="10"/>
  <c r="X714" i="10" s="1"/>
  <c r="S714" i="10"/>
  <c r="W713" i="10"/>
  <c r="X713" i="10" s="1"/>
  <c r="S713" i="10"/>
  <c r="X712" i="10"/>
  <c r="S712" i="10"/>
  <c r="X711" i="10"/>
  <c r="S711" i="10"/>
  <c r="X710" i="10"/>
  <c r="S710" i="10"/>
  <c r="X709" i="10"/>
  <c r="S709" i="10"/>
  <c r="W708" i="10"/>
  <c r="X708" i="10" s="1"/>
  <c r="S708" i="10"/>
  <c r="W707" i="10"/>
  <c r="X707" i="10" s="1"/>
  <c r="S707" i="10"/>
  <c r="X706" i="10"/>
  <c r="S706" i="10"/>
  <c r="W705" i="10"/>
  <c r="X705" i="10" s="1"/>
  <c r="S705" i="10"/>
  <c r="W704" i="10"/>
  <c r="X704" i="10" s="1"/>
  <c r="S704" i="10"/>
  <c r="W703" i="10"/>
  <c r="X703" i="10" s="1"/>
  <c r="S703" i="10"/>
  <c r="W702" i="10"/>
  <c r="X702" i="10" s="1"/>
  <c r="S702" i="10"/>
  <c r="W701" i="10"/>
  <c r="X701" i="10" s="1"/>
  <c r="S701" i="10"/>
  <c r="W700" i="10"/>
  <c r="X700" i="10" s="1"/>
  <c r="S700" i="10"/>
  <c r="W699" i="10"/>
  <c r="X699" i="10" s="1"/>
  <c r="S699" i="10"/>
  <c r="W698" i="10"/>
  <c r="X698" i="10" s="1"/>
  <c r="S698" i="10"/>
  <c r="X697" i="10"/>
  <c r="S697" i="10"/>
  <c r="W696" i="10"/>
  <c r="X696" i="10" s="1"/>
  <c r="S696" i="10"/>
  <c r="W695" i="10"/>
  <c r="X695" i="10" s="1"/>
  <c r="S695" i="10"/>
  <c r="W694" i="10"/>
  <c r="X694" i="10" s="1"/>
  <c r="S694" i="10"/>
  <c r="W693" i="10"/>
  <c r="X693" i="10" s="1"/>
  <c r="S693" i="10"/>
  <c r="W692" i="10"/>
  <c r="X692" i="10" s="1"/>
  <c r="S692" i="10"/>
  <c r="W691" i="10"/>
  <c r="X691" i="10" s="1"/>
  <c r="S691" i="10"/>
  <c r="X690" i="10"/>
  <c r="W690" i="10"/>
  <c r="S690" i="10"/>
  <c r="W689" i="10"/>
  <c r="X689" i="10" s="1"/>
  <c r="S689" i="10"/>
  <c r="X688" i="10"/>
  <c r="S688" i="10"/>
  <c r="X687" i="10"/>
  <c r="W687" i="10"/>
  <c r="S687" i="10"/>
  <c r="W686" i="10"/>
  <c r="X686" i="10" s="1"/>
  <c r="S686" i="10"/>
  <c r="W685" i="10"/>
  <c r="X685" i="10" s="1"/>
  <c r="S685" i="10"/>
  <c r="W684" i="10"/>
  <c r="X684" i="10" s="1"/>
  <c r="S684" i="10"/>
  <c r="W683" i="10"/>
  <c r="X683" i="10" s="1"/>
  <c r="S683" i="10"/>
  <c r="X682" i="10"/>
  <c r="W682" i="10"/>
  <c r="S682" i="10"/>
  <c r="W681" i="10"/>
  <c r="X681" i="10" s="1"/>
  <c r="S681" i="10"/>
  <c r="W680" i="10"/>
  <c r="X680" i="10" s="1"/>
  <c r="S680" i="10"/>
  <c r="W679" i="10"/>
  <c r="X679" i="10" s="1"/>
  <c r="S679" i="10"/>
  <c r="W678" i="10"/>
  <c r="X678" i="10" s="1"/>
  <c r="S678" i="10"/>
  <c r="X677" i="10"/>
  <c r="S677" i="10"/>
  <c r="W676" i="10"/>
  <c r="X676" i="10" s="1"/>
  <c r="S676" i="10"/>
  <c r="W675" i="10"/>
  <c r="X675" i="10" s="1"/>
  <c r="S675" i="10"/>
  <c r="W674" i="10"/>
  <c r="X674" i="10" s="1"/>
  <c r="S674" i="10"/>
  <c r="W673" i="10"/>
  <c r="X673" i="10" s="1"/>
  <c r="S673" i="10"/>
  <c r="W672" i="10"/>
  <c r="X672" i="10" s="1"/>
  <c r="S672" i="10"/>
  <c r="W671" i="10"/>
  <c r="X671" i="10" s="1"/>
  <c r="S671" i="10"/>
  <c r="W670" i="10"/>
  <c r="X670" i="10" s="1"/>
  <c r="S670" i="10"/>
  <c r="W669" i="10"/>
  <c r="X669" i="10" s="1"/>
  <c r="S669" i="10"/>
  <c r="W668" i="10"/>
  <c r="X668" i="10" s="1"/>
  <c r="S668" i="10"/>
  <c r="X667" i="10"/>
  <c r="S667" i="10"/>
  <c r="W666" i="10"/>
  <c r="X666" i="10" s="1"/>
  <c r="S666" i="10"/>
  <c r="W665" i="10"/>
  <c r="X665" i="10" s="1"/>
  <c r="S665" i="10"/>
  <c r="W664" i="10"/>
  <c r="X664" i="10" s="1"/>
  <c r="S664" i="10"/>
  <c r="W663" i="10"/>
  <c r="X663" i="10" s="1"/>
  <c r="S663" i="10"/>
  <c r="W662" i="10"/>
  <c r="V662" i="10"/>
  <c r="S662" i="10"/>
  <c r="W661" i="10"/>
  <c r="X661" i="10" s="1"/>
  <c r="S661" i="10"/>
  <c r="W660" i="10"/>
  <c r="X660" i="10" s="1"/>
  <c r="S660" i="10"/>
  <c r="X659" i="10"/>
  <c r="W659" i="10"/>
  <c r="S659" i="10"/>
  <c r="W658" i="10"/>
  <c r="X658" i="10" s="1"/>
  <c r="S658" i="10"/>
  <c r="W657" i="10"/>
  <c r="X657" i="10" s="1"/>
  <c r="S657" i="10"/>
  <c r="X656" i="10"/>
  <c r="S656" i="10"/>
  <c r="X655" i="10"/>
  <c r="S655" i="10"/>
  <c r="W654" i="10"/>
  <c r="X654" i="10" s="1"/>
  <c r="S654" i="10"/>
  <c r="W653" i="10"/>
  <c r="X653" i="10" s="1"/>
  <c r="S653" i="10"/>
  <c r="W652" i="10"/>
  <c r="X652" i="10" s="1"/>
  <c r="S652" i="10"/>
  <c r="W651" i="10"/>
  <c r="X651" i="10" s="1"/>
  <c r="S651" i="10"/>
  <c r="W650" i="10"/>
  <c r="X650" i="10" s="1"/>
  <c r="S650" i="10"/>
  <c r="W649" i="10"/>
  <c r="X649" i="10" s="1"/>
  <c r="S649" i="10"/>
  <c r="W648" i="10"/>
  <c r="X648" i="10" s="1"/>
  <c r="S648" i="10"/>
  <c r="W647" i="10"/>
  <c r="X647" i="10" s="1"/>
  <c r="S647" i="10"/>
  <c r="W646" i="10"/>
  <c r="X646" i="10" s="1"/>
  <c r="S646" i="10"/>
  <c r="X645" i="10"/>
  <c r="S645" i="10"/>
  <c r="X644" i="10"/>
  <c r="W644" i="10"/>
  <c r="S644" i="10"/>
  <c r="W643" i="10"/>
  <c r="X643" i="10" s="1"/>
  <c r="S643" i="10"/>
  <c r="W642" i="10"/>
  <c r="X642" i="10" s="1"/>
  <c r="S642" i="10"/>
  <c r="W641" i="10"/>
  <c r="X641" i="10" s="1"/>
  <c r="S641" i="10"/>
  <c r="W640" i="10"/>
  <c r="X640" i="10" s="1"/>
  <c r="S640" i="10"/>
  <c r="W639" i="10"/>
  <c r="X639" i="10" s="1"/>
  <c r="S639" i="10"/>
  <c r="W638" i="10"/>
  <c r="X638" i="10" s="1"/>
  <c r="S638" i="10"/>
  <c r="W637" i="10"/>
  <c r="X637" i="10" s="1"/>
  <c r="S637" i="10"/>
  <c r="W636" i="10"/>
  <c r="X636" i="10" s="1"/>
  <c r="S636" i="10"/>
  <c r="W635" i="10"/>
  <c r="X635" i="10" s="1"/>
  <c r="S635" i="10"/>
  <c r="X634" i="10"/>
  <c r="S634" i="10"/>
  <c r="W633" i="10"/>
  <c r="X633" i="10" s="1"/>
  <c r="S633" i="10"/>
  <c r="W632" i="10"/>
  <c r="X632" i="10" s="1"/>
  <c r="S632" i="10"/>
  <c r="W631" i="10"/>
  <c r="X631" i="10" s="1"/>
  <c r="S631" i="10"/>
  <c r="W630" i="10"/>
  <c r="X630" i="10" s="1"/>
  <c r="S630" i="10"/>
  <c r="W629" i="10"/>
  <c r="X629" i="10" s="1"/>
  <c r="S629" i="10"/>
  <c r="X628" i="10"/>
  <c r="W628" i="10"/>
  <c r="S628" i="10"/>
  <c r="W627" i="10"/>
  <c r="X627" i="10" s="1"/>
  <c r="S627" i="10"/>
  <c r="W626" i="10"/>
  <c r="X626" i="10" s="1"/>
  <c r="S626" i="10"/>
  <c r="W625" i="10"/>
  <c r="X625" i="10" s="1"/>
  <c r="S625" i="10"/>
  <c r="W624" i="10"/>
  <c r="X624" i="10" s="1"/>
  <c r="S624" i="10"/>
  <c r="W623" i="10"/>
  <c r="X623" i="10" s="1"/>
  <c r="S623" i="10"/>
  <c r="W622" i="10"/>
  <c r="X622" i="10" s="1"/>
  <c r="S622" i="10"/>
  <c r="W621" i="10"/>
  <c r="X621" i="10" s="1"/>
  <c r="S621" i="10"/>
  <c r="X620" i="10"/>
  <c r="W620" i="10"/>
  <c r="S620" i="10"/>
  <c r="W619" i="10"/>
  <c r="X619" i="10" s="1"/>
  <c r="S619" i="10"/>
  <c r="W618" i="10"/>
  <c r="X618" i="10" s="1"/>
  <c r="S618" i="10"/>
  <c r="W617" i="10"/>
  <c r="X617" i="10" s="1"/>
  <c r="S617" i="10"/>
  <c r="W616" i="10"/>
  <c r="X616" i="10" s="1"/>
  <c r="S616" i="10"/>
  <c r="W615" i="10"/>
  <c r="V615" i="10"/>
  <c r="S615" i="10"/>
  <c r="X614" i="10"/>
  <c r="S614" i="10"/>
  <c r="W613" i="10"/>
  <c r="X613" i="10" s="1"/>
  <c r="S613" i="10"/>
  <c r="W612" i="10"/>
  <c r="X612" i="10" s="1"/>
  <c r="S612" i="10"/>
  <c r="X611" i="10"/>
  <c r="W611" i="10"/>
  <c r="S611" i="10"/>
  <c r="W610" i="10"/>
  <c r="X610" i="10" s="1"/>
  <c r="S610" i="10"/>
  <c r="X609" i="10"/>
  <c r="S609" i="10"/>
  <c r="X608" i="10"/>
  <c r="S608" i="10"/>
  <c r="X607" i="10"/>
  <c r="S607" i="10"/>
  <c r="X606" i="10"/>
  <c r="S606" i="10"/>
  <c r="X605" i="10"/>
  <c r="S605" i="10"/>
  <c r="X604" i="10"/>
  <c r="S604" i="10"/>
  <c r="X603" i="10"/>
  <c r="S603" i="10"/>
  <c r="X602" i="10"/>
  <c r="S602" i="10"/>
  <c r="X601" i="10"/>
  <c r="S601" i="10"/>
  <c r="X600" i="10"/>
  <c r="S600" i="10"/>
  <c r="X599" i="10"/>
  <c r="S599" i="10"/>
  <c r="X598" i="10"/>
  <c r="S598" i="10"/>
  <c r="X597" i="10"/>
  <c r="S597" i="10"/>
  <c r="X596" i="10"/>
  <c r="S596" i="10"/>
  <c r="X595" i="10"/>
  <c r="S595" i="10"/>
  <c r="X594" i="10"/>
  <c r="S594" i="10"/>
  <c r="X593" i="10"/>
  <c r="S593" i="10"/>
  <c r="X592" i="10"/>
  <c r="S592" i="10"/>
  <c r="X591" i="10"/>
  <c r="S591" i="10"/>
  <c r="X590" i="10"/>
  <c r="S590" i="10"/>
  <c r="X589" i="10"/>
  <c r="S589" i="10"/>
  <c r="X588" i="10"/>
  <c r="S588" i="10"/>
  <c r="X587" i="10"/>
  <c r="S587" i="10"/>
  <c r="X586" i="10"/>
  <c r="S586" i="10"/>
  <c r="X585" i="10"/>
  <c r="S585" i="10"/>
  <c r="X584" i="10"/>
  <c r="S584" i="10"/>
  <c r="X583" i="10"/>
  <c r="S583" i="10"/>
  <c r="X582" i="10"/>
  <c r="S582" i="10"/>
  <c r="X581" i="10"/>
  <c r="S581" i="10"/>
  <c r="X580" i="10"/>
  <c r="S580" i="10"/>
  <c r="X579" i="10"/>
  <c r="S579" i="10"/>
  <c r="X578" i="10"/>
  <c r="S578" i="10"/>
  <c r="X577" i="10"/>
  <c r="S577" i="10"/>
  <c r="X576" i="10"/>
  <c r="S576" i="10"/>
  <c r="X575" i="10"/>
  <c r="S575" i="10"/>
  <c r="X574" i="10"/>
  <c r="S574" i="10"/>
  <c r="X573" i="10"/>
  <c r="S573" i="10"/>
  <c r="X572" i="10"/>
  <c r="S572" i="10"/>
  <c r="X571" i="10"/>
  <c r="S571" i="10"/>
  <c r="X570" i="10"/>
  <c r="S570" i="10"/>
  <c r="X569" i="10"/>
  <c r="S569" i="10"/>
  <c r="X568" i="10"/>
  <c r="S568" i="10"/>
  <c r="X567" i="10"/>
  <c r="S567" i="10"/>
  <c r="X566" i="10"/>
  <c r="S566" i="10"/>
  <c r="X565" i="10"/>
  <c r="S565" i="10"/>
  <c r="X564" i="10"/>
  <c r="S564" i="10"/>
  <c r="X563" i="10"/>
  <c r="S563" i="10"/>
  <c r="X562" i="10"/>
  <c r="S562" i="10"/>
  <c r="X561" i="10"/>
  <c r="S561" i="10"/>
  <c r="X560" i="10"/>
  <c r="S560" i="10"/>
  <c r="X559" i="10"/>
  <c r="S559" i="10"/>
  <c r="X558" i="10"/>
  <c r="S558" i="10"/>
  <c r="X557" i="10"/>
  <c r="S557" i="10"/>
  <c r="X556" i="10"/>
  <c r="S556" i="10"/>
  <c r="X555" i="10"/>
  <c r="S555" i="10"/>
  <c r="X554" i="10"/>
  <c r="S554" i="10"/>
  <c r="X553" i="10"/>
  <c r="S553" i="10"/>
  <c r="X552" i="10"/>
  <c r="S552" i="10"/>
  <c r="X551" i="10"/>
  <c r="S551" i="10"/>
  <c r="X550" i="10"/>
  <c r="S550" i="10"/>
  <c r="X549" i="10"/>
  <c r="S549" i="10"/>
  <c r="X548" i="10"/>
  <c r="S548" i="10"/>
  <c r="X547" i="10"/>
  <c r="S547" i="10"/>
  <c r="X546" i="10"/>
  <c r="S546" i="10"/>
  <c r="X545" i="10"/>
  <c r="S545" i="10"/>
  <c r="X544" i="10"/>
  <c r="S544" i="10"/>
  <c r="X543" i="10"/>
  <c r="S543" i="10"/>
  <c r="X542" i="10"/>
  <c r="S542" i="10"/>
  <c r="X541" i="10"/>
  <c r="S541" i="10"/>
  <c r="X540" i="10"/>
  <c r="S540" i="10"/>
  <c r="X539" i="10"/>
  <c r="S539" i="10"/>
  <c r="X538" i="10"/>
  <c r="S538" i="10"/>
  <c r="X537" i="10"/>
  <c r="S537" i="10"/>
  <c r="X536" i="10"/>
  <c r="S536" i="10"/>
  <c r="X535" i="10"/>
  <c r="S535" i="10"/>
  <c r="X534" i="10"/>
  <c r="S534" i="10"/>
  <c r="X533" i="10"/>
  <c r="S533" i="10"/>
  <c r="X532" i="10"/>
  <c r="S532" i="10"/>
  <c r="X531" i="10"/>
  <c r="S531" i="10"/>
  <c r="X530" i="10"/>
  <c r="S530" i="10"/>
  <c r="X529" i="10"/>
  <c r="S529" i="10"/>
  <c r="X528" i="10"/>
  <c r="S528" i="10"/>
  <c r="X527" i="10"/>
  <c r="S527" i="10"/>
  <c r="X526" i="10"/>
  <c r="S526" i="10"/>
  <c r="X525" i="10"/>
  <c r="S525" i="10"/>
  <c r="X524" i="10"/>
  <c r="S524" i="10"/>
  <c r="X523" i="10"/>
  <c r="S523" i="10"/>
  <c r="X522" i="10"/>
  <c r="S522" i="10"/>
  <c r="X521" i="10"/>
  <c r="S521" i="10"/>
  <c r="X520" i="10"/>
  <c r="S520" i="10"/>
  <c r="X519" i="10"/>
  <c r="S519" i="10"/>
  <c r="X518" i="10"/>
  <c r="S518" i="10"/>
  <c r="X517" i="10"/>
  <c r="S517" i="10"/>
  <c r="X516" i="10"/>
  <c r="S516" i="10"/>
  <c r="X515" i="10"/>
  <c r="S515" i="10"/>
  <c r="X514" i="10"/>
  <c r="S514" i="10"/>
  <c r="X513" i="10"/>
  <c r="S513" i="10"/>
  <c r="X512" i="10"/>
  <c r="S512" i="10"/>
  <c r="X511" i="10"/>
  <c r="S511" i="10"/>
  <c r="X510" i="10"/>
  <c r="S510" i="10"/>
  <c r="X509" i="10"/>
  <c r="S509" i="10"/>
  <c r="X508" i="10"/>
  <c r="S508" i="10"/>
  <c r="X507" i="10"/>
  <c r="S507" i="10"/>
  <c r="X506" i="10"/>
  <c r="S506" i="10"/>
  <c r="X505" i="10"/>
  <c r="S505" i="10"/>
  <c r="X504" i="10"/>
  <c r="S504" i="10"/>
  <c r="X503" i="10"/>
  <c r="S503" i="10"/>
  <c r="X502" i="10"/>
  <c r="S502" i="10"/>
  <c r="X501" i="10"/>
  <c r="S501" i="10"/>
  <c r="X500" i="10"/>
  <c r="S500" i="10"/>
  <c r="X499" i="10"/>
  <c r="S499" i="10"/>
  <c r="X498" i="10"/>
  <c r="S498" i="10"/>
  <c r="X497" i="10"/>
  <c r="S497" i="10"/>
  <c r="X496" i="10"/>
  <c r="S496" i="10"/>
  <c r="X495" i="10"/>
  <c r="S495" i="10"/>
  <c r="X494" i="10"/>
  <c r="S494" i="10"/>
  <c r="X493" i="10"/>
  <c r="S493" i="10"/>
  <c r="X492" i="10"/>
  <c r="S492" i="10"/>
  <c r="X491" i="10"/>
  <c r="S491" i="10"/>
  <c r="X490" i="10"/>
  <c r="S490" i="10"/>
  <c r="X489" i="10"/>
  <c r="S489" i="10"/>
  <c r="X488" i="10"/>
  <c r="S488" i="10"/>
  <c r="X487" i="10"/>
  <c r="S487" i="10"/>
  <c r="X486" i="10"/>
  <c r="S486" i="10"/>
  <c r="X485" i="10"/>
  <c r="S485" i="10"/>
  <c r="X484" i="10"/>
  <c r="S484" i="10"/>
  <c r="X483" i="10"/>
  <c r="S483" i="10"/>
  <c r="X482" i="10"/>
  <c r="S482" i="10"/>
  <c r="X481" i="10"/>
  <c r="S481" i="10"/>
  <c r="X480" i="10"/>
  <c r="S480" i="10"/>
  <c r="X479" i="10"/>
  <c r="S479" i="10"/>
  <c r="X478" i="10"/>
  <c r="S478" i="10"/>
  <c r="X477" i="10"/>
  <c r="S477" i="10"/>
  <c r="X476" i="10"/>
  <c r="S476" i="10"/>
  <c r="X475" i="10"/>
  <c r="S475" i="10"/>
  <c r="X474" i="10"/>
  <c r="S474" i="10"/>
  <c r="X473" i="10"/>
  <c r="S473" i="10"/>
  <c r="X472" i="10"/>
  <c r="S472" i="10"/>
  <c r="X471" i="10"/>
  <c r="S471" i="10"/>
  <c r="X470" i="10"/>
  <c r="S470" i="10"/>
  <c r="W469" i="10"/>
  <c r="X469" i="10" s="1"/>
  <c r="U469" i="10"/>
  <c r="W468" i="10"/>
  <c r="X468" i="10" s="1"/>
  <c r="U468" i="10"/>
  <c r="W467" i="10"/>
  <c r="X467" i="10" s="1"/>
  <c r="U467" i="10"/>
  <c r="X466" i="10"/>
  <c r="W466" i="10"/>
  <c r="U466" i="10"/>
  <c r="X465" i="10"/>
  <c r="U465" i="10"/>
  <c r="W464" i="10"/>
  <c r="X464" i="10" s="1"/>
  <c r="U464" i="10"/>
  <c r="X463" i="10"/>
  <c r="W463" i="10"/>
  <c r="U463" i="10"/>
  <c r="W462" i="10"/>
  <c r="X462" i="10" s="1"/>
  <c r="U462" i="10"/>
  <c r="X461" i="10"/>
  <c r="U461" i="10"/>
  <c r="X460" i="10"/>
  <c r="U460" i="10"/>
  <c r="W459" i="10"/>
  <c r="X459" i="10" s="1"/>
  <c r="U459" i="10"/>
  <c r="W458" i="10"/>
  <c r="X458" i="10" s="1"/>
  <c r="U458" i="10"/>
  <c r="W457" i="10"/>
  <c r="X457" i="10" s="1"/>
  <c r="U457" i="10"/>
  <c r="W456" i="10"/>
  <c r="X456" i="10" s="1"/>
  <c r="U456" i="10"/>
  <c r="W455" i="10"/>
  <c r="X455" i="10" s="1"/>
  <c r="U455" i="10"/>
  <c r="W454" i="10"/>
  <c r="X454" i="10" s="1"/>
  <c r="U454" i="10"/>
  <c r="W453" i="10"/>
  <c r="X453" i="10" s="1"/>
  <c r="U453" i="10"/>
  <c r="W452" i="10"/>
  <c r="X452" i="10" s="1"/>
  <c r="U452" i="10"/>
  <c r="X451" i="10"/>
  <c r="U451" i="10"/>
  <c r="X450" i="10"/>
  <c r="W450" i="10"/>
  <c r="U450" i="10"/>
  <c r="W449" i="10"/>
  <c r="X449" i="10" s="1"/>
  <c r="U449" i="10"/>
  <c r="W448" i="10"/>
  <c r="X448" i="10" s="1"/>
  <c r="U448" i="10"/>
  <c r="W447" i="10"/>
  <c r="X447" i="10" s="1"/>
  <c r="U447" i="10"/>
  <c r="X446" i="10"/>
  <c r="W446" i="10"/>
  <c r="U446" i="10"/>
  <c r="X445" i="10"/>
  <c r="W445" i="10"/>
  <c r="U445" i="10"/>
  <c r="W444" i="10"/>
  <c r="X444" i="10" s="1"/>
  <c r="U444" i="10"/>
  <c r="W443" i="10"/>
  <c r="X443" i="10" s="1"/>
  <c r="U443" i="10"/>
  <c r="X442" i="10"/>
  <c r="W442" i="10"/>
  <c r="U442" i="10"/>
  <c r="W441" i="10"/>
  <c r="X441" i="10" s="1"/>
  <c r="U441" i="10"/>
  <c r="W440" i="10"/>
  <c r="X440" i="10" s="1"/>
  <c r="U440" i="10"/>
  <c r="W439" i="10"/>
  <c r="X439" i="10" s="1"/>
  <c r="U439" i="10"/>
  <c r="X438" i="10"/>
  <c r="W438" i="10"/>
  <c r="U438" i="10"/>
  <c r="X437" i="10"/>
  <c r="U437" i="10"/>
  <c r="W436" i="10"/>
  <c r="X436" i="10" s="1"/>
  <c r="U436" i="10"/>
  <c r="X435" i="10"/>
  <c r="W435" i="10"/>
  <c r="U435" i="10"/>
  <c r="W434" i="10"/>
  <c r="X434" i="10" s="1"/>
  <c r="U434" i="10"/>
  <c r="X433" i="10"/>
  <c r="U433" i="10"/>
  <c r="X432" i="10"/>
  <c r="U432" i="10"/>
  <c r="W431" i="10"/>
  <c r="X431" i="10" s="1"/>
  <c r="U431" i="10"/>
  <c r="W430" i="10"/>
  <c r="X430" i="10" s="1"/>
  <c r="U430" i="10"/>
  <c r="W429" i="10"/>
  <c r="X429" i="10" s="1"/>
  <c r="U429" i="10"/>
  <c r="W428" i="10"/>
  <c r="X428" i="10" s="1"/>
  <c r="U428" i="10"/>
  <c r="W427" i="10"/>
  <c r="X427" i="10" s="1"/>
  <c r="U427" i="10"/>
  <c r="W426" i="10"/>
  <c r="X426" i="10" s="1"/>
  <c r="U426" i="10"/>
  <c r="W425" i="10"/>
  <c r="X425" i="10" s="1"/>
  <c r="U425" i="10"/>
  <c r="W424" i="10"/>
  <c r="X424" i="10" s="1"/>
  <c r="U424" i="10"/>
  <c r="W423" i="10"/>
  <c r="X423" i="10" s="1"/>
  <c r="U423" i="10"/>
  <c r="X422" i="10"/>
  <c r="U422" i="10"/>
  <c r="W421" i="10"/>
  <c r="X421" i="10" s="1"/>
  <c r="U421" i="10"/>
  <c r="W420" i="10"/>
  <c r="X420" i="10" s="1"/>
  <c r="U420" i="10"/>
  <c r="W419" i="10"/>
  <c r="X419" i="10" s="1"/>
  <c r="U419" i="10"/>
  <c r="W418" i="10"/>
  <c r="X418" i="10" s="1"/>
  <c r="U418" i="10"/>
  <c r="W417" i="10"/>
  <c r="X417" i="10" s="1"/>
  <c r="U417" i="10"/>
  <c r="W416" i="10"/>
  <c r="X416" i="10" s="1"/>
  <c r="U416" i="10"/>
  <c r="W415" i="10"/>
  <c r="X415" i="10" s="1"/>
  <c r="U415" i="10"/>
  <c r="X414" i="10"/>
  <c r="U414" i="10"/>
  <c r="W413" i="10"/>
  <c r="X413" i="10" s="1"/>
  <c r="U413" i="10"/>
  <c r="W412" i="10"/>
  <c r="X412" i="10" s="1"/>
  <c r="U412" i="10"/>
  <c r="W411" i="10"/>
  <c r="X411" i="10" s="1"/>
  <c r="U411" i="10"/>
  <c r="W410" i="10"/>
  <c r="X410" i="10" s="1"/>
  <c r="U410" i="10"/>
  <c r="X409" i="10"/>
  <c r="U409" i="10"/>
  <c r="W408" i="10"/>
  <c r="X408" i="10" s="1"/>
  <c r="U408" i="10"/>
  <c r="X407" i="10"/>
  <c r="U407" i="10"/>
  <c r="W406" i="10"/>
  <c r="X406" i="10" s="1"/>
  <c r="U406" i="10"/>
  <c r="W405" i="10"/>
  <c r="X405" i="10" s="1"/>
  <c r="U405" i="10"/>
  <c r="X404" i="10"/>
  <c r="U404" i="10"/>
  <c r="X403" i="10"/>
  <c r="U403" i="10"/>
  <c r="W402" i="10"/>
  <c r="X402" i="10" s="1"/>
  <c r="U402" i="10"/>
  <c r="W401" i="10"/>
  <c r="X401" i="10" s="1"/>
  <c r="U401" i="10"/>
  <c r="W400" i="10"/>
  <c r="X400" i="10" s="1"/>
  <c r="U400" i="10"/>
  <c r="W399" i="10"/>
  <c r="X399" i="10" s="1"/>
  <c r="U399" i="10"/>
  <c r="W398" i="10"/>
  <c r="X398" i="10" s="1"/>
  <c r="U398" i="10"/>
  <c r="W397" i="10"/>
  <c r="X397" i="10" s="1"/>
  <c r="U397" i="10"/>
  <c r="X396" i="10"/>
  <c r="U396" i="10"/>
  <c r="X395" i="10"/>
  <c r="U395" i="10"/>
  <c r="W394" i="10"/>
  <c r="X394" i="10" s="1"/>
  <c r="U394" i="10"/>
  <c r="D394" i="10"/>
  <c r="W393" i="10"/>
  <c r="X393" i="10" s="1"/>
  <c r="U393" i="10"/>
  <c r="D393" i="10"/>
  <c r="W392" i="10"/>
  <c r="X392" i="10" s="1"/>
  <c r="U392" i="10"/>
  <c r="D392" i="10"/>
  <c r="X391" i="10"/>
  <c r="W391" i="10"/>
  <c r="U391" i="10"/>
  <c r="D391" i="10"/>
  <c r="X390" i="10"/>
  <c r="W390" i="10"/>
  <c r="U390" i="10"/>
  <c r="D390" i="10"/>
  <c r="X389" i="10"/>
  <c r="W389" i="10"/>
  <c r="U389" i="10"/>
  <c r="D389" i="10"/>
  <c r="X388" i="10"/>
  <c r="W388" i="10"/>
  <c r="U388" i="10"/>
  <c r="D388" i="10"/>
  <c r="X387" i="10"/>
  <c r="W387" i="10"/>
  <c r="U387" i="10"/>
  <c r="D387" i="10"/>
  <c r="X386" i="10"/>
  <c r="W386" i="10"/>
  <c r="U386" i="10"/>
  <c r="D386" i="10"/>
  <c r="X385" i="10"/>
  <c r="W385" i="10"/>
  <c r="U385" i="10"/>
  <c r="D385" i="10"/>
  <c r="X384" i="10"/>
  <c r="W384" i="10"/>
  <c r="U384" i="10"/>
  <c r="D384" i="10"/>
  <c r="X383" i="10"/>
  <c r="W383" i="10"/>
  <c r="U383" i="10"/>
  <c r="D383" i="10"/>
  <c r="X382" i="10"/>
  <c r="U382" i="10"/>
  <c r="D382" i="10"/>
  <c r="W381" i="10"/>
  <c r="X381" i="10" s="1"/>
  <c r="U381" i="10"/>
  <c r="D381" i="10"/>
  <c r="W380" i="10"/>
  <c r="X380" i="10" s="1"/>
  <c r="U380" i="10"/>
  <c r="D380" i="10"/>
  <c r="W379" i="10"/>
  <c r="X379" i="10" s="1"/>
  <c r="U379" i="10"/>
  <c r="D379" i="10"/>
  <c r="W378" i="10"/>
  <c r="X378" i="10" s="1"/>
  <c r="U378" i="10"/>
  <c r="D378" i="10"/>
  <c r="W377" i="10"/>
  <c r="X377" i="10" s="1"/>
  <c r="U377" i="10"/>
  <c r="D377" i="10"/>
  <c r="X376" i="10"/>
  <c r="U376" i="10"/>
  <c r="D376" i="10"/>
  <c r="W375" i="10"/>
  <c r="X375" i="10" s="1"/>
  <c r="U375" i="10"/>
  <c r="D375" i="10"/>
  <c r="W374" i="10"/>
  <c r="X374" i="10" s="1"/>
  <c r="U374" i="10"/>
  <c r="D374" i="10"/>
  <c r="W373" i="10"/>
  <c r="X373" i="10" s="1"/>
  <c r="U373" i="10"/>
  <c r="D373" i="10"/>
  <c r="X372" i="10"/>
  <c r="U372" i="10"/>
  <c r="D372" i="10"/>
  <c r="X371" i="10"/>
  <c r="U371" i="10"/>
  <c r="D371" i="10"/>
  <c r="X370" i="10"/>
  <c r="U370" i="10"/>
  <c r="D370" i="10"/>
  <c r="W369" i="10"/>
  <c r="X369" i="10" s="1"/>
  <c r="U369" i="10"/>
  <c r="D369" i="10"/>
  <c r="X368" i="10"/>
  <c r="U368" i="10"/>
  <c r="D368" i="10"/>
  <c r="W367" i="10"/>
  <c r="X367" i="10" s="1"/>
  <c r="U367" i="10"/>
  <c r="D367" i="10"/>
  <c r="X366" i="10"/>
  <c r="U366" i="10"/>
  <c r="D366" i="10"/>
  <c r="W365" i="10"/>
  <c r="X365" i="10" s="1"/>
  <c r="U365" i="10"/>
  <c r="D365" i="10"/>
  <c r="W364" i="10"/>
  <c r="X364" i="10" s="1"/>
  <c r="U364" i="10"/>
  <c r="D364" i="10"/>
  <c r="X363" i="10"/>
  <c r="U363" i="10"/>
  <c r="D363" i="10"/>
  <c r="W362" i="10"/>
  <c r="X362" i="10" s="1"/>
  <c r="U362" i="10"/>
  <c r="D362" i="10"/>
  <c r="W361" i="10"/>
  <c r="X361" i="10" s="1"/>
  <c r="U361" i="10"/>
  <c r="D361" i="10"/>
  <c r="X360" i="10"/>
  <c r="U360" i="10"/>
  <c r="D360" i="10"/>
  <c r="X359" i="10"/>
  <c r="U359" i="10"/>
  <c r="D359" i="10"/>
  <c r="X358" i="10"/>
  <c r="U358" i="10"/>
  <c r="D358" i="10"/>
  <c r="X357" i="10"/>
  <c r="U357" i="10"/>
  <c r="D357" i="10"/>
  <c r="X356" i="10"/>
  <c r="U356" i="10"/>
  <c r="D356" i="10"/>
  <c r="W355" i="10"/>
  <c r="X355" i="10" s="1"/>
  <c r="U355" i="10"/>
  <c r="D355" i="10"/>
  <c r="W354" i="10"/>
  <c r="X354" i="10" s="1"/>
  <c r="U354" i="10"/>
  <c r="D354" i="10"/>
  <c r="W353" i="10"/>
  <c r="X353" i="10" s="1"/>
  <c r="U353" i="10"/>
  <c r="D353" i="10"/>
  <c r="W352" i="10"/>
  <c r="X352" i="10" s="1"/>
  <c r="U352" i="10"/>
  <c r="D352" i="10"/>
  <c r="W351" i="10"/>
  <c r="X351" i="10" s="1"/>
  <c r="U351" i="10"/>
  <c r="D351" i="10"/>
  <c r="X350" i="10"/>
  <c r="U350" i="10"/>
  <c r="D350" i="10"/>
  <c r="X349" i="10"/>
  <c r="U349" i="10"/>
  <c r="D349" i="10"/>
  <c r="X348" i="10"/>
  <c r="U348" i="10"/>
  <c r="D348" i="10"/>
  <c r="W347" i="10"/>
  <c r="X347" i="10" s="1"/>
  <c r="U347" i="10"/>
  <c r="D347" i="10"/>
  <c r="X346" i="10"/>
  <c r="U346" i="10"/>
  <c r="D346" i="10"/>
  <c r="X345" i="10"/>
  <c r="U345" i="10"/>
  <c r="D345" i="10"/>
  <c r="X344" i="10"/>
  <c r="U344" i="10"/>
  <c r="D344" i="10"/>
  <c r="X343" i="10"/>
  <c r="U343" i="10"/>
  <c r="D343" i="10"/>
  <c r="X342" i="10"/>
  <c r="U342" i="10"/>
  <c r="D342" i="10"/>
  <c r="X341" i="10"/>
  <c r="U341" i="10"/>
  <c r="D341" i="10"/>
  <c r="W340" i="10"/>
  <c r="X340" i="10" s="1"/>
  <c r="U340" i="10"/>
  <c r="H340" i="10"/>
  <c r="W339" i="10"/>
  <c r="X339" i="10" s="1"/>
  <c r="U339" i="10"/>
  <c r="X338" i="10"/>
  <c r="U338" i="10"/>
  <c r="X337" i="10"/>
  <c r="U337" i="10"/>
  <c r="W336" i="10"/>
  <c r="X336" i="10" s="1"/>
  <c r="U336" i="10"/>
  <c r="W335" i="10"/>
  <c r="X335" i="10" s="1"/>
  <c r="U335" i="10"/>
  <c r="W334" i="10"/>
  <c r="X334" i="10" s="1"/>
  <c r="U334" i="10"/>
  <c r="X333" i="10"/>
  <c r="U333" i="10"/>
  <c r="W332" i="10"/>
  <c r="X332" i="10" s="1"/>
  <c r="U332" i="10"/>
  <c r="X331" i="10"/>
  <c r="U331" i="10"/>
  <c r="W330" i="10"/>
  <c r="X330" i="10" s="1"/>
  <c r="U330" i="10"/>
  <c r="X329" i="10"/>
  <c r="U329" i="10"/>
  <c r="X328" i="10"/>
  <c r="U328" i="10"/>
  <c r="W327" i="10"/>
  <c r="X327" i="10" s="1"/>
  <c r="U327" i="10"/>
  <c r="X326" i="10"/>
  <c r="U326" i="10"/>
  <c r="X325" i="10"/>
  <c r="U325" i="10"/>
  <c r="W324" i="10"/>
  <c r="X324" i="10" s="1"/>
  <c r="U324" i="10"/>
  <c r="X323" i="10"/>
  <c r="U323" i="10"/>
  <c r="W322" i="10"/>
  <c r="X322" i="10" s="1"/>
  <c r="U322" i="10"/>
  <c r="X321" i="10"/>
  <c r="U321" i="10"/>
  <c r="W320" i="10"/>
  <c r="X320" i="10" s="1"/>
  <c r="U320" i="10"/>
  <c r="D320" i="10"/>
  <c r="W319" i="10"/>
  <c r="X319" i="10" s="1"/>
  <c r="U319" i="10"/>
  <c r="D319" i="10"/>
  <c r="W318" i="10"/>
  <c r="X318" i="10" s="1"/>
  <c r="U318" i="10"/>
  <c r="D318" i="10"/>
  <c r="W317" i="10"/>
  <c r="X317" i="10" s="1"/>
  <c r="U317" i="10"/>
  <c r="D317" i="10"/>
  <c r="W316" i="10"/>
  <c r="X316" i="10" s="1"/>
  <c r="U316" i="10"/>
  <c r="D316" i="10"/>
  <c r="W315" i="10"/>
  <c r="X315" i="10" s="1"/>
  <c r="U315" i="10"/>
  <c r="D315" i="10"/>
  <c r="W314" i="10"/>
  <c r="X314" i="10" s="1"/>
  <c r="U314" i="10"/>
  <c r="D314" i="10"/>
  <c r="W313" i="10"/>
  <c r="X313" i="10" s="1"/>
  <c r="U313" i="10"/>
  <c r="D313" i="10"/>
  <c r="W312" i="10"/>
  <c r="X312" i="10" s="1"/>
  <c r="U312" i="10"/>
  <c r="D312" i="10"/>
  <c r="W311" i="10"/>
  <c r="X311" i="10" s="1"/>
  <c r="U311" i="10"/>
  <c r="D311" i="10"/>
  <c r="W310" i="10"/>
  <c r="X310" i="10" s="1"/>
  <c r="U310" i="10"/>
  <c r="D310" i="10"/>
  <c r="W309" i="10"/>
  <c r="X309" i="10" s="1"/>
  <c r="U309" i="10"/>
  <c r="D309" i="10"/>
  <c r="W308" i="10"/>
  <c r="X308" i="10" s="1"/>
  <c r="U308" i="10"/>
  <c r="D308" i="10"/>
  <c r="W307" i="10"/>
  <c r="X307" i="10" s="1"/>
  <c r="U307" i="10"/>
  <c r="D307" i="10"/>
  <c r="W306" i="10"/>
  <c r="X306" i="10" s="1"/>
  <c r="U306" i="10"/>
  <c r="D306" i="10"/>
  <c r="W305" i="10"/>
  <c r="X305" i="10" s="1"/>
  <c r="U305" i="10"/>
  <c r="D305" i="10"/>
  <c r="W304" i="10"/>
  <c r="X304" i="10" s="1"/>
  <c r="U304" i="10"/>
  <c r="D304" i="10"/>
  <c r="W303" i="10"/>
  <c r="X303" i="10" s="1"/>
  <c r="U303" i="10"/>
  <c r="D303" i="10"/>
  <c r="W302" i="10"/>
  <c r="X302" i="10" s="1"/>
  <c r="U302" i="10"/>
  <c r="D302" i="10"/>
  <c r="W301" i="10"/>
  <c r="X301" i="10" s="1"/>
  <c r="U301" i="10"/>
  <c r="D301" i="10"/>
  <c r="W300" i="10"/>
  <c r="X300" i="10" s="1"/>
  <c r="U300" i="10"/>
  <c r="D300" i="10"/>
  <c r="W299" i="10"/>
  <c r="X299" i="10" s="1"/>
  <c r="U299" i="10"/>
  <c r="D299" i="10"/>
  <c r="W298" i="10"/>
  <c r="X298" i="10" s="1"/>
  <c r="U298" i="10"/>
  <c r="D298" i="10"/>
  <c r="W297" i="10"/>
  <c r="X297" i="10" s="1"/>
  <c r="U297" i="10"/>
  <c r="D297" i="10"/>
  <c r="W296" i="10"/>
  <c r="X296" i="10" s="1"/>
  <c r="U296" i="10"/>
  <c r="D296" i="10"/>
  <c r="W295" i="10"/>
  <c r="X295" i="10" s="1"/>
  <c r="U295" i="10"/>
  <c r="D295" i="10"/>
  <c r="W294" i="10"/>
  <c r="X294" i="10" s="1"/>
  <c r="U294" i="10"/>
  <c r="D294" i="10"/>
  <c r="W293" i="10"/>
  <c r="X293" i="10" s="1"/>
  <c r="U293" i="10"/>
  <c r="D293" i="10"/>
  <c r="W292" i="10"/>
  <c r="X292" i="10" s="1"/>
  <c r="V292" i="10"/>
  <c r="U292" i="10"/>
  <c r="D292" i="10"/>
  <c r="X291" i="10"/>
  <c r="W291" i="10"/>
  <c r="U291" i="10"/>
  <c r="D291" i="10"/>
  <c r="X290" i="10"/>
  <c r="W290" i="10"/>
  <c r="U290" i="10"/>
  <c r="D290" i="10"/>
  <c r="X289" i="10"/>
  <c r="W289" i="10"/>
  <c r="U289" i="10"/>
  <c r="D289" i="10"/>
  <c r="X288" i="10"/>
  <c r="W288" i="10"/>
  <c r="U288" i="10"/>
  <c r="D288" i="10"/>
  <c r="X287" i="10"/>
  <c r="W287" i="10"/>
  <c r="U287" i="10"/>
  <c r="D287" i="10"/>
  <c r="X286" i="10"/>
  <c r="W286" i="10"/>
  <c r="U286" i="10"/>
  <c r="D286" i="10"/>
  <c r="X285" i="10"/>
  <c r="W285" i="10"/>
  <c r="U285" i="10"/>
  <c r="D285" i="10"/>
  <c r="X284" i="10"/>
  <c r="W284" i="10"/>
  <c r="U284" i="10"/>
  <c r="D284" i="10"/>
  <c r="X283" i="10"/>
  <c r="W283" i="10"/>
  <c r="U283" i="10"/>
  <c r="D283" i="10"/>
  <c r="X282" i="10"/>
  <c r="W282" i="10"/>
  <c r="U282" i="10"/>
  <c r="D282" i="10"/>
  <c r="X281" i="10"/>
  <c r="W281" i="10"/>
  <c r="U281" i="10"/>
  <c r="D281" i="10"/>
  <c r="X280" i="10"/>
  <c r="U280" i="10"/>
  <c r="D280" i="10"/>
  <c r="X279" i="10"/>
  <c r="U279" i="10"/>
  <c r="D279" i="10"/>
  <c r="X278" i="10"/>
  <c r="U278" i="10"/>
  <c r="D278" i="10"/>
  <c r="W277" i="10"/>
  <c r="X277" i="10" s="1"/>
  <c r="U277" i="10"/>
  <c r="D277" i="10"/>
  <c r="W276" i="10"/>
  <c r="X276" i="10" s="1"/>
  <c r="U276" i="10"/>
  <c r="D276" i="10"/>
  <c r="X275" i="10"/>
  <c r="U275" i="10"/>
  <c r="D275" i="10"/>
  <c r="W274" i="10"/>
  <c r="X274" i="10" s="1"/>
  <c r="U274" i="10"/>
  <c r="D274" i="10"/>
  <c r="X273" i="10"/>
  <c r="U273" i="10"/>
  <c r="D273" i="10"/>
  <c r="X272" i="10"/>
  <c r="U272" i="10"/>
  <c r="D272" i="10"/>
  <c r="X271" i="10"/>
  <c r="U271" i="10"/>
  <c r="D271" i="10"/>
  <c r="X270" i="10"/>
  <c r="U270" i="10"/>
  <c r="D270" i="10"/>
  <c r="W269" i="10"/>
  <c r="X269" i="10" s="1"/>
  <c r="U269" i="10"/>
  <c r="D269" i="10"/>
  <c r="X268" i="10"/>
  <c r="U268" i="10"/>
  <c r="D268" i="10"/>
  <c r="W267" i="10"/>
  <c r="X267" i="10" s="1"/>
  <c r="U267" i="10"/>
  <c r="D267" i="10"/>
  <c r="W266" i="10"/>
  <c r="X266" i="10" s="1"/>
  <c r="U266" i="10"/>
  <c r="D266" i="10"/>
  <c r="W265" i="10"/>
  <c r="X265" i="10" s="1"/>
  <c r="U265" i="10"/>
  <c r="D265" i="10"/>
  <c r="W264" i="10"/>
  <c r="X264" i="10" s="1"/>
  <c r="S264" i="10"/>
  <c r="U264" i="10" s="1"/>
  <c r="D264" i="10"/>
  <c r="W263" i="10"/>
  <c r="X263" i="10" s="1"/>
  <c r="S263" i="10"/>
  <c r="U263" i="10" s="1"/>
  <c r="D263" i="10"/>
  <c r="W262" i="10"/>
  <c r="X262" i="10" s="1"/>
  <c r="U262" i="10"/>
  <c r="D262" i="10"/>
  <c r="W261" i="10"/>
  <c r="X261" i="10" s="1"/>
  <c r="U261" i="10"/>
  <c r="D261" i="10"/>
  <c r="W260" i="10"/>
  <c r="X260" i="10" s="1"/>
  <c r="U260" i="10"/>
  <c r="D260" i="10"/>
  <c r="X259" i="10"/>
  <c r="U259" i="10"/>
  <c r="D259" i="10"/>
  <c r="W258" i="10"/>
  <c r="X258" i="10" s="1"/>
  <c r="U258" i="10"/>
  <c r="D258" i="10"/>
  <c r="W257" i="10"/>
  <c r="X257" i="10" s="1"/>
  <c r="U257" i="10"/>
  <c r="D257" i="10"/>
  <c r="X256" i="10"/>
  <c r="W256" i="10"/>
  <c r="U256" i="10"/>
  <c r="D256" i="10"/>
  <c r="X255" i="10"/>
  <c r="W255" i="10"/>
  <c r="U255" i="10"/>
  <c r="D255" i="10"/>
  <c r="X254" i="10"/>
  <c r="W254" i="10"/>
  <c r="U254" i="10"/>
  <c r="D254" i="10"/>
  <c r="X253" i="10"/>
  <c r="U253" i="10"/>
  <c r="D253" i="10"/>
  <c r="X252" i="10"/>
  <c r="U252" i="10"/>
  <c r="D252" i="10"/>
  <c r="W251" i="10"/>
  <c r="X251" i="10" s="1"/>
  <c r="U251" i="10"/>
  <c r="D251" i="10"/>
  <c r="W250" i="10"/>
  <c r="X250" i="10" s="1"/>
  <c r="U250" i="10"/>
  <c r="D250" i="10"/>
  <c r="W249" i="10"/>
  <c r="X249" i="10" s="1"/>
  <c r="U249" i="10"/>
  <c r="D249" i="10"/>
  <c r="X248" i="10"/>
  <c r="U248" i="10"/>
  <c r="D248" i="10"/>
  <c r="W247" i="10"/>
  <c r="X247" i="10" s="1"/>
  <c r="U247" i="10"/>
  <c r="D247" i="10"/>
  <c r="X246" i="10"/>
  <c r="U246" i="10"/>
  <c r="D246" i="10"/>
  <c r="X245" i="10"/>
  <c r="W245" i="10"/>
  <c r="U245" i="10"/>
  <c r="D245" i="10"/>
  <c r="X244" i="10"/>
  <c r="W244" i="10"/>
  <c r="U244" i="10"/>
  <c r="D244" i="10"/>
  <c r="X243" i="10"/>
  <c r="W243" i="10"/>
  <c r="U243" i="10"/>
  <c r="D243" i="10"/>
  <c r="X242" i="10"/>
  <c r="W242" i="10"/>
  <c r="U242" i="10"/>
  <c r="D242" i="10"/>
  <c r="X241" i="10"/>
  <c r="U241" i="10"/>
  <c r="D241" i="10"/>
  <c r="W240" i="10"/>
  <c r="X240" i="10" s="1"/>
  <c r="U240" i="10"/>
  <c r="D240" i="10"/>
  <c r="X239" i="10"/>
  <c r="U239" i="10"/>
  <c r="D239" i="10"/>
  <c r="W238" i="10"/>
  <c r="X238" i="10" s="1"/>
  <c r="U238" i="10"/>
  <c r="D238" i="10"/>
  <c r="W237" i="10"/>
  <c r="X237" i="10" s="1"/>
  <c r="U237" i="10"/>
  <c r="D237" i="10"/>
  <c r="W236" i="10"/>
  <c r="X236" i="10" s="1"/>
  <c r="U236" i="10"/>
  <c r="D236" i="10"/>
  <c r="W235" i="10"/>
  <c r="X235" i="10" s="1"/>
  <c r="U235" i="10"/>
  <c r="D235" i="10"/>
  <c r="X234" i="10"/>
  <c r="U234" i="10"/>
  <c r="D234" i="10"/>
  <c r="W233" i="10"/>
  <c r="X233" i="10" s="1"/>
  <c r="U233" i="10"/>
  <c r="D233" i="10"/>
  <c r="W232" i="10"/>
  <c r="X232" i="10" s="1"/>
  <c r="U232" i="10"/>
  <c r="D232" i="10"/>
  <c r="W231" i="10"/>
  <c r="X231" i="10" s="1"/>
  <c r="U231" i="10"/>
  <c r="D231" i="10"/>
  <c r="W230" i="10"/>
  <c r="X230" i="10" s="1"/>
  <c r="U230" i="10"/>
  <c r="D230" i="10"/>
  <c r="W229" i="10"/>
  <c r="X229" i="10" s="1"/>
  <c r="U229" i="10"/>
  <c r="D229" i="10"/>
  <c r="W228" i="10"/>
  <c r="X228" i="10" s="1"/>
  <c r="U228" i="10"/>
  <c r="D228" i="10"/>
  <c r="X227" i="10"/>
  <c r="U227" i="10"/>
  <c r="D227" i="10"/>
  <c r="W226" i="10"/>
  <c r="X226" i="10" s="1"/>
  <c r="U226" i="10"/>
  <c r="D226" i="10"/>
  <c r="W225" i="10"/>
  <c r="X225" i="10" s="1"/>
  <c r="U225" i="10"/>
  <c r="D225" i="10"/>
  <c r="X224" i="10"/>
  <c r="U224" i="10"/>
  <c r="D224" i="10"/>
  <c r="X223" i="10"/>
  <c r="U223" i="10"/>
  <c r="D223" i="10"/>
  <c r="W222" i="10"/>
  <c r="X222" i="10" s="1"/>
  <c r="U222" i="10"/>
  <c r="D222" i="10"/>
  <c r="W221" i="10"/>
  <c r="X221" i="10" s="1"/>
  <c r="U221" i="10"/>
  <c r="D221" i="10"/>
  <c r="W220" i="10"/>
  <c r="X220" i="10" s="1"/>
  <c r="U220" i="10"/>
  <c r="D220" i="10"/>
  <c r="W219" i="10"/>
  <c r="X219" i="10" s="1"/>
  <c r="U219" i="10"/>
  <c r="D219" i="10"/>
  <c r="W218" i="10"/>
  <c r="X218" i="10" s="1"/>
  <c r="U218" i="10"/>
  <c r="D218" i="10"/>
  <c r="X217" i="10"/>
  <c r="U217" i="10"/>
  <c r="D217" i="10"/>
  <c r="W216" i="10"/>
  <c r="X216" i="10" s="1"/>
  <c r="U216" i="10"/>
  <c r="D216" i="10"/>
  <c r="W215" i="10"/>
  <c r="X215" i="10" s="1"/>
  <c r="U215" i="10"/>
  <c r="D215" i="10"/>
  <c r="X214" i="10"/>
  <c r="U214" i="10"/>
  <c r="D214" i="10"/>
  <c r="X213" i="10"/>
  <c r="U213" i="10"/>
  <c r="D213" i="10"/>
  <c r="W212" i="10"/>
  <c r="X212" i="10" s="1"/>
  <c r="U212" i="10"/>
  <c r="D212" i="10"/>
  <c r="W211" i="10"/>
  <c r="X211" i="10" s="1"/>
  <c r="U211" i="10"/>
  <c r="D211" i="10"/>
  <c r="X210" i="10"/>
  <c r="U210" i="10"/>
  <c r="D210" i="10"/>
  <c r="X209" i="10"/>
  <c r="U209" i="10"/>
  <c r="D209" i="10"/>
  <c r="X208" i="10"/>
  <c r="U208" i="10"/>
  <c r="D208" i="10"/>
  <c r="X207" i="10"/>
  <c r="U207" i="10"/>
  <c r="D207" i="10"/>
  <c r="W206" i="10"/>
  <c r="X206" i="10" s="1"/>
  <c r="U206" i="10"/>
  <c r="D206" i="10"/>
  <c r="W205" i="10"/>
  <c r="X205" i="10" s="1"/>
  <c r="U205" i="10"/>
  <c r="D205" i="10"/>
  <c r="W204" i="10"/>
  <c r="X204" i="10" s="1"/>
  <c r="U204" i="10"/>
  <c r="D204" i="10"/>
  <c r="W203" i="10"/>
  <c r="X203" i="10" s="1"/>
  <c r="U203" i="10"/>
  <c r="D203" i="10"/>
  <c r="W202" i="10"/>
  <c r="X202" i="10" s="1"/>
  <c r="U202" i="10"/>
  <c r="D202" i="10"/>
  <c r="X201" i="10"/>
  <c r="U201" i="10"/>
  <c r="D201" i="10"/>
  <c r="W200" i="10"/>
  <c r="X200" i="10" s="1"/>
  <c r="U200" i="10"/>
  <c r="D200" i="10"/>
  <c r="W199" i="10"/>
  <c r="X199" i="10" s="1"/>
  <c r="U199" i="10"/>
  <c r="D199" i="10"/>
  <c r="W198" i="10"/>
  <c r="X198" i="10" s="1"/>
  <c r="U198" i="10"/>
  <c r="D198" i="10"/>
  <c r="W197" i="10"/>
  <c r="X197" i="10" s="1"/>
  <c r="U197" i="10"/>
  <c r="D197" i="10"/>
  <c r="X196" i="10"/>
  <c r="U196" i="10"/>
  <c r="D196" i="10"/>
  <c r="W195" i="10"/>
  <c r="X195" i="10" s="1"/>
  <c r="U195" i="10"/>
  <c r="D195" i="10"/>
  <c r="W194" i="10"/>
  <c r="X194" i="10" s="1"/>
  <c r="U194" i="10"/>
  <c r="D194" i="10"/>
  <c r="X193" i="10"/>
  <c r="U193" i="10"/>
  <c r="D193" i="10"/>
  <c r="W192" i="10"/>
  <c r="X192" i="10" s="1"/>
  <c r="U192" i="10"/>
  <c r="D192" i="10"/>
  <c r="W191" i="10"/>
  <c r="X191" i="10" s="1"/>
  <c r="U191" i="10"/>
  <c r="D191" i="10"/>
  <c r="X190" i="10"/>
  <c r="U190" i="10"/>
  <c r="D190" i="10"/>
  <c r="X189" i="10"/>
  <c r="U189" i="10"/>
  <c r="D189" i="10"/>
  <c r="X188" i="10"/>
  <c r="U188" i="10"/>
  <c r="D188" i="10"/>
  <c r="X187" i="10"/>
  <c r="U187" i="10"/>
  <c r="D187" i="10"/>
  <c r="W186" i="10"/>
  <c r="X186" i="10" s="1"/>
  <c r="U186" i="10"/>
  <c r="D186" i="10"/>
  <c r="W185" i="10"/>
  <c r="X185" i="10" s="1"/>
  <c r="U185" i="10"/>
  <c r="D185" i="10"/>
  <c r="W184" i="10"/>
  <c r="X184" i="10" s="1"/>
  <c r="U184" i="10"/>
  <c r="D184" i="10"/>
  <c r="W183" i="10"/>
  <c r="X183" i="10" s="1"/>
  <c r="U183" i="10"/>
  <c r="D183" i="10"/>
  <c r="W182" i="10"/>
  <c r="X182" i="10" s="1"/>
  <c r="U182" i="10"/>
  <c r="D182" i="10"/>
  <c r="W181" i="10"/>
  <c r="X181" i="10" s="1"/>
  <c r="U181" i="10"/>
  <c r="D181" i="10"/>
  <c r="X180" i="10"/>
  <c r="U180" i="10"/>
  <c r="D180" i="10"/>
  <c r="W179" i="10"/>
  <c r="X179" i="10" s="1"/>
  <c r="U179" i="10"/>
  <c r="D179" i="10"/>
  <c r="W178" i="10"/>
  <c r="X178" i="10" s="1"/>
  <c r="U178" i="10"/>
  <c r="D178" i="10"/>
  <c r="X177" i="10"/>
  <c r="U177" i="10"/>
  <c r="D177" i="10"/>
  <c r="X176" i="10"/>
  <c r="U176" i="10"/>
  <c r="D176" i="10"/>
  <c r="X709" i="1"/>
  <c r="X714" i="1"/>
  <c r="X717" i="1"/>
  <c r="X720" i="1"/>
  <c r="X721" i="1"/>
  <c r="X725" i="1"/>
  <c r="X726" i="1"/>
  <c r="X729" i="1"/>
  <c r="X730" i="1"/>
  <c r="X732" i="1"/>
  <c r="X734" i="1"/>
  <c r="X735" i="1"/>
  <c r="X737" i="1"/>
  <c r="X738" i="1"/>
  <c r="X739" i="1"/>
  <c r="X740" i="1"/>
  <c r="X744" i="1"/>
  <c r="X746" i="1"/>
  <c r="X749" i="1"/>
  <c r="X750" i="1"/>
  <c r="X751" i="1"/>
  <c r="X752" i="1"/>
  <c r="X753" i="1"/>
  <c r="X758" i="1"/>
  <c r="X761" i="1"/>
  <c r="X764" i="1"/>
  <c r="X765" i="1"/>
  <c r="X769" i="1"/>
  <c r="X770" i="1"/>
  <c r="X772" i="1"/>
  <c r="X774" i="1"/>
  <c r="X777" i="1"/>
  <c r="X778" i="1"/>
  <c r="X780" i="1"/>
  <c r="X781" i="1"/>
  <c r="X782" i="1"/>
  <c r="X784" i="1"/>
  <c r="X785" i="1"/>
  <c r="X789" i="1"/>
  <c r="X790" i="1"/>
  <c r="X792" i="1"/>
  <c r="X793" i="1"/>
  <c r="X794" i="1"/>
  <c r="X795" i="1"/>
  <c r="X797" i="1"/>
  <c r="X800" i="1"/>
  <c r="X801" i="1"/>
  <c r="X805" i="1"/>
  <c r="X810" i="1"/>
  <c r="X813" i="1"/>
  <c r="X816" i="1"/>
  <c r="X817" i="1"/>
  <c r="X821" i="1"/>
  <c r="X825" i="1"/>
  <c r="X826" i="1"/>
  <c r="X827" i="1"/>
  <c r="X828" i="1"/>
  <c r="X830" i="1"/>
  <c r="X832" i="1"/>
  <c r="X836" i="1"/>
  <c r="X837" i="1"/>
  <c r="X838" i="1"/>
  <c r="X840" i="1"/>
  <c r="X841" i="1"/>
  <c r="X846" i="1"/>
  <c r="X850" i="1"/>
  <c r="X851" i="1"/>
  <c r="X853" i="1"/>
  <c r="X856" i="1"/>
  <c r="X857" i="1"/>
  <c r="X861" i="1"/>
  <c r="X862" i="1"/>
  <c r="X865" i="1"/>
  <c r="X866" i="1"/>
  <c r="X868" i="1"/>
  <c r="X869" i="1"/>
  <c r="X872" i="1"/>
  <c r="X873" i="1"/>
  <c r="X877" i="1"/>
  <c r="X878" i="1"/>
  <c r="X880" i="1"/>
  <c r="X882" i="1"/>
  <c r="X883" i="1"/>
  <c r="X884" i="1"/>
  <c r="X886" i="1"/>
  <c r="X889" i="1"/>
  <c r="X892" i="1"/>
  <c r="X893" i="1"/>
  <c r="X894" i="1"/>
  <c r="X897" i="1"/>
  <c r="X898" i="1"/>
  <c r="X901" i="1"/>
  <c r="X902" i="1"/>
  <c r="X904" i="1"/>
  <c r="W904" i="1"/>
  <c r="U904" i="1"/>
  <c r="W903" i="1"/>
  <c r="X903" i="1" s="1"/>
  <c r="U903" i="1"/>
  <c r="W902" i="1"/>
  <c r="U902" i="1"/>
  <c r="W901" i="1"/>
  <c r="U901" i="1"/>
  <c r="W900" i="1"/>
  <c r="X900" i="1" s="1"/>
  <c r="U900" i="1"/>
  <c r="W899" i="1"/>
  <c r="X899" i="1" s="1"/>
  <c r="U899" i="1"/>
  <c r="W898" i="1"/>
  <c r="U898" i="1"/>
  <c r="W897" i="1"/>
  <c r="U897" i="1"/>
  <c r="W896" i="1"/>
  <c r="X896" i="1" s="1"/>
  <c r="U896" i="1"/>
  <c r="W895" i="1"/>
  <c r="X895" i="1" s="1"/>
  <c r="U895" i="1"/>
  <c r="U894" i="1"/>
  <c r="W893" i="1"/>
  <c r="U893" i="1"/>
  <c r="W892" i="1"/>
  <c r="U892" i="1"/>
  <c r="W891" i="1"/>
  <c r="X891" i="1" s="1"/>
  <c r="U891" i="1"/>
  <c r="W890" i="1"/>
  <c r="X890" i="1" s="1"/>
  <c r="U890" i="1"/>
  <c r="W889" i="1"/>
  <c r="U889" i="1"/>
  <c r="W888" i="1"/>
  <c r="X888" i="1" s="1"/>
  <c r="U888" i="1"/>
  <c r="W887" i="1"/>
  <c r="X887" i="1" s="1"/>
  <c r="U887" i="1"/>
  <c r="W886" i="1"/>
  <c r="U886" i="1"/>
  <c r="W885" i="1"/>
  <c r="X885" i="1" s="1"/>
  <c r="U885" i="1"/>
  <c r="U884" i="1"/>
  <c r="U883" i="1"/>
  <c r="W882" i="1"/>
  <c r="U882" i="1"/>
  <c r="W881" i="1"/>
  <c r="X881" i="1" s="1"/>
  <c r="U881" i="1"/>
  <c r="U880" i="1"/>
  <c r="W879" i="1"/>
  <c r="X879" i="1" s="1"/>
  <c r="U879" i="1"/>
  <c r="W878" i="1"/>
  <c r="U878" i="1"/>
  <c r="W877" i="1"/>
  <c r="U877" i="1"/>
  <c r="W876" i="1"/>
  <c r="X876" i="1" s="1"/>
  <c r="U876" i="1"/>
  <c r="W875" i="1"/>
  <c r="X875" i="1" s="1"/>
  <c r="U875" i="1"/>
  <c r="W874" i="1"/>
  <c r="X874" i="1" s="1"/>
  <c r="U874" i="1"/>
  <c r="W873" i="1"/>
  <c r="U873" i="1"/>
  <c r="W872" i="1"/>
  <c r="U872" i="1"/>
  <c r="W871" i="1"/>
  <c r="X871" i="1" s="1"/>
  <c r="U871" i="1"/>
  <c r="W870" i="1"/>
  <c r="X870" i="1" s="1"/>
  <c r="U870" i="1"/>
  <c r="W869" i="1"/>
  <c r="U869" i="1"/>
  <c r="W868" i="1"/>
  <c r="U868" i="1"/>
  <c r="W867" i="1"/>
  <c r="X867" i="1" s="1"/>
  <c r="U867" i="1"/>
  <c r="W866" i="1"/>
  <c r="U866" i="1"/>
  <c r="W865" i="1"/>
  <c r="U865" i="1"/>
  <c r="W864" i="1"/>
  <c r="X864" i="1" s="1"/>
  <c r="U864" i="1"/>
  <c r="W863" i="1"/>
  <c r="X863" i="1" s="1"/>
  <c r="U863" i="1"/>
  <c r="U862" i="1"/>
  <c r="W861" i="1"/>
  <c r="U861" i="1"/>
  <c r="W860" i="1"/>
  <c r="X860" i="1" s="1"/>
  <c r="U860" i="1"/>
  <c r="W859" i="1"/>
  <c r="X859" i="1" s="1"/>
  <c r="U859" i="1"/>
  <c r="W858" i="1"/>
  <c r="X858" i="1" s="1"/>
  <c r="U858" i="1"/>
  <c r="W857" i="1"/>
  <c r="U857" i="1"/>
  <c r="W856" i="1"/>
  <c r="U856" i="1"/>
  <c r="W855" i="1"/>
  <c r="X855" i="1" s="1"/>
  <c r="U855" i="1"/>
  <c r="W854" i="1"/>
  <c r="X854" i="1" s="1"/>
  <c r="U854" i="1"/>
  <c r="W853" i="1"/>
  <c r="U853" i="1"/>
  <c r="W852" i="1"/>
  <c r="X852" i="1" s="1"/>
  <c r="U852" i="1"/>
  <c r="U851" i="1"/>
  <c r="W850" i="1"/>
  <c r="U850" i="1"/>
  <c r="W849" i="1"/>
  <c r="X849" i="1" s="1"/>
  <c r="U849" i="1"/>
  <c r="S849" i="1"/>
  <c r="W848" i="1"/>
  <c r="X848" i="1" s="1"/>
  <c r="U848" i="1"/>
  <c r="W847" i="1"/>
  <c r="X847" i="1" s="1"/>
  <c r="U847" i="1"/>
  <c r="W846" i="1"/>
  <c r="U846" i="1"/>
  <c r="W845" i="1"/>
  <c r="X845" i="1" s="1"/>
  <c r="U845" i="1"/>
  <c r="W844" i="1"/>
  <c r="X844" i="1" s="1"/>
  <c r="U844" i="1"/>
  <c r="W843" i="1"/>
  <c r="X843" i="1" s="1"/>
  <c r="U843" i="1"/>
  <c r="W842" i="1"/>
  <c r="X842" i="1" s="1"/>
  <c r="U842" i="1"/>
  <c r="W841" i="1"/>
  <c r="U841" i="1"/>
  <c r="U840" i="1"/>
  <c r="W839" i="1"/>
  <c r="X839" i="1" s="1"/>
  <c r="U839" i="1"/>
  <c r="W838" i="1"/>
  <c r="U838" i="1"/>
  <c r="U837" i="1"/>
  <c r="W836" i="1"/>
  <c r="U836" i="1"/>
  <c r="W835" i="1"/>
  <c r="X835" i="1" s="1"/>
  <c r="U835" i="1"/>
  <c r="W834" i="1"/>
  <c r="X834" i="1" s="1"/>
  <c r="U834" i="1"/>
  <c r="W833" i="1"/>
  <c r="X833" i="1" s="1"/>
  <c r="U833" i="1"/>
  <c r="W832" i="1"/>
  <c r="U832" i="1"/>
  <c r="W831" i="1"/>
  <c r="X831" i="1" s="1"/>
  <c r="U831" i="1"/>
  <c r="W830" i="1"/>
  <c r="U830" i="1"/>
  <c r="W829" i="1"/>
  <c r="X829" i="1" s="1"/>
  <c r="U829" i="1"/>
  <c r="W828" i="1"/>
  <c r="U828" i="1"/>
  <c r="U827" i="1"/>
  <c r="W826" i="1"/>
  <c r="U826" i="1"/>
  <c r="U825" i="1"/>
  <c r="W824" i="1"/>
  <c r="X824" i="1" s="1"/>
  <c r="U824" i="1"/>
  <c r="W823" i="1"/>
  <c r="X823" i="1" s="1"/>
  <c r="U823" i="1"/>
  <c r="W822" i="1"/>
  <c r="X822" i="1" s="1"/>
  <c r="U822" i="1"/>
  <c r="W821" i="1"/>
  <c r="U821" i="1"/>
  <c r="W820" i="1"/>
  <c r="X820" i="1" s="1"/>
  <c r="U820" i="1"/>
  <c r="W819" i="1"/>
  <c r="X819" i="1" s="1"/>
  <c r="U819" i="1"/>
  <c r="W818" i="1"/>
  <c r="X818" i="1" s="1"/>
  <c r="U818" i="1"/>
  <c r="W817" i="1"/>
  <c r="U817" i="1"/>
  <c r="W816" i="1"/>
  <c r="U816" i="1"/>
  <c r="W815" i="1"/>
  <c r="X815" i="1" s="1"/>
  <c r="U815" i="1"/>
  <c r="W814" i="1"/>
  <c r="X814" i="1" s="1"/>
  <c r="U814" i="1"/>
  <c r="W813" i="1"/>
  <c r="U813" i="1"/>
  <c r="W812" i="1"/>
  <c r="X812" i="1" s="1"/>
  <c r="U812" i="1"/>
  <c r="W811" i="1"/>
  <c r="X811" i="1" s="1"/>
  <c r="U811" i="1"/>
  <c r="W810" i="1"/>
  <c r="U810" i="1"/>
  <c r="W809" i="1"/>
  <c r="X809" i="1" s="1"/>
  <c r="U809" i="1"/>
  <c r="W808" i="1"/>
  <c r="X808" i="1" s="1"/>
  <c r="U808" i="1"/>
  <c r="W807" i="1"/>
  <c r="X807" i="1" s="1"/>
  <c r="U807" i="1"/>
  <c r="W806" i="1"/>
  <c r="X806" i="1" s="1"/>
  <c r="U806" i="1"/>
  <c r="W805" i="1"/>
  <c r="U805" i="1"/>
  <c r="W804" i="1"/>
  <c r="X804" i="1" s="1"/>
  <c r="U804" i="1"/>
  <c r="W803" i="1"/>
  <c r="X803" i="1" s="1"/>
  <c r="U803" i="1"/>
  <c r="W802" i="1"/>
  <c r="X802" i="1" s="1"/>
  <c r="U802" i="1"/>
  <c r="W801" i="1"/>
  <c r="U801" i="1"/>
  <c r="U800" i="1"/>
  <c r="W799" i="1"/>
  <c r="V799" i="1"/>
  <c r="U799" i="1"/>
  <c r="W798" i="1"/>
  <c r="X798" i="1" s="1"/>
  <c r="U798" i="1"/>
  <c r="W797" i="1"/>
  <c r="U797" i="1"/>
  <c r="W796" i="1"/>
  <c r="X796" i="1" s="1"/>
  <c r="U796" i="1"/>
  <c r="U795" i="1"/>
  <c r="W794" i="1"/>
  <c r="U794" i="1"/>
  <c r="U793" i="1"/>
  <c r="U792" i="1"/>
  <c r="W791" i="1"/>
  <c r="X791" i="1" s="1"/>
  <c r="U791" i="1"/>
  <c r="W790" i="1"/>
  <c r="U790" i="1"/>
  <c r="U789" i="1"/>
  <c r="W788" i="1"/>
  <c r="X788" i="1" s="1"/>
  <c r="U788" i="1"/>
  <c r="W787" i="1"/>
  <c r="X787" i="1" s="1"/>
  <c r="U787" i="1"/>
  <c r="W786" i="1"/>
  <c r="X786" i="1" s="1"/>
  <c r="U786" i="1"/>
  <c r="U785" i="1"/>
  <c r="W784" i="1"/>
  <c r="U784" i="1"/>
  <c r="W783" i="1"/>
  <c r="X783" i="1" s="1"/>
  <c r="U783" i="1"/>
  <c r="W782" i="1"/>
  <c r="U782" i="1"/>
  <c r="W781" i="1"/>
  <c r="U781" i="1"/>
  <c r="U780" i="1"/>
  <c r="W779" i="1"/>
  <c r="X779" i="1" s="1"/>
  <c r="U779" i="1"/>
  <c r="U778" i="1"/>
  <c r="U777" i="1"/>
  <c r="W776" i="1"/>
  <c r="X776" i="1" s="1"/>
  <c r="U776" i="1"/>
  <c r="W775" i="1"/>
  <c r="X775" i="1" s="1"/>
  <c r="U775" i="1"/>
  <c r="U774" i="1"/>
  <c r="W773" i="1"/>
  <c r="X773" i="1" s="1"/>
  <c r="U773" i="1"/>
  <c r="U772" i="1"/>
  <c r="W771" i="1"/>
  <c r="X771" i="1" s="1"/>
  <c r="U771" i="1"/>
  <c r="U770" i="1"/>
  <c r="U769" i="1"/>
  <c r="W768" i="1"/>
  <c r="X768" i="1" s="1"/>
  <c r="U768" i="1"/>
  <c r="W767" i="1"/>
  <c r="X767" i="1" s="1"/>
  <c r="U767" i="1"/>
  <c r="W766" i="1"/>
  <c r="X766" i="1" s="1"/>
  <c r="U766" i="1"/>
  <c r="W765" i="1"/>
  <c r="U765" i="1"/>
  <c r="W764" i="1"/>
  <c r="U764" i="1"/>
  <c r="W763" i="1"/>
  <c r="X763" i="1" s="1"/>
  <c r="U763" i="1"/>
  <c r="W762" i="1"/>
  <c r="X762" i="1" s="1"/>
  <c r="U762" i="1"/>
  <c r="W761" i="1"/>
  <c r="U761" i="1"/>
  <c r="W760" i="1"/>
  <c r="X760" i="1" s="1"/>
  <c r="U760" i="1"/>
  <c r="W759" i="1"/>
  <c r="X759" i="1" s="1"/>
  <c r="U759" i="1"/>
  <c r="W758" i="1"/>
  <c r="U758" i="1"/>
  <c r="W757" i="1"/>
  <c r="X757" i="1" s="1"/>
  <c r="U757" i="1"/>
  <c r="W756" i="1"/>
  <c r="X756" i="1" s="1"/>
  <c r="U756" i="1"/>
  <c r="W755" i="1"/>
  <c r="X755" i="1" s="1"/>
  <c r="U755" i="1"/>
  <c r="W754" i="1"/>
  <c r="X754" i="1" s="1"/>
  <c r="U754" i="1"/>
  <c r="U753" i="1"/>
  <c r="W752" i="1"/>
  <c r="U752" i="1"/>
  <c r="U751" i="1"/>
  <c r="W750" i="1"/>
  <c r="U750" i="1"/>
  <c r="W749" i="1"/>
  <c r="U749" i="1"/>
  <c r="W748" i="1"/>
  <c r="X748" i="1" s="1"/>
  <c r="U748" i="1"/>
  <c r="W747" i="1"/>
  <c r="X747" i="1" s="1"/>
  <c r="U747" i="1"/>
  <c r="W746" i="1"/>
  <c r="U746" i="1"/>
  <c r="W745" i="1"/>
  <c r="X745" i="1" s="1"/>
  <c r="U745" i="1"/>
  <c r="W744" i="1"/>
  <c r="U744" i="1"/>
  <c r="W743" i="1"/>
  <c r="X743" i="1" s="1"/>
  <c r="U743" i="1"/>
  <c r="W742" i="1"/>
  <c r="X742" i="1" s="1"/>
  <c r="U742" i="1"/>
  <c r="W741" i="1"/>
  <c r="X741" i="1" s="1"/>
  <c r="U741" i="1"/>
  <c r="W740" i="1"/>
  <c r="U740" i="1"/>
  <c r="U739" i="1"/>
  <c r="U738" i="1"/>
  <c r="W737" i="1"/>
  <c r="U737" i="1"/>
  <c r="W736" i="1"/>
  <c r="X736" i="1" s="1"/>
  <c r="U736" i="1"/>
  <c r="U735" i="1"/>
  <c r="U734" i="1"/>
  <c r="W733" i="1"/>
  <c r="X733" i="1" s="1"/>
  <c r="U733" i="1"/>
  <c r="U732" i="1"/>
  <c r="W731" i="1"/>
  <c r="X731" i="1" s="1"/>
  <c r="U731" i="1"/>
  <c r="W730" i="1"/>
  <c r="U730" i="1"/>
  <c r="W729" i="1"/>
  <c r="U729" i="1"/>
  <c r="W728" i="1"/>
  <c r="X728" i="1" s="1"/>
  <c r="U728" i="1"/>
  <c r="W727" i="1"/>
  <c r="X727" i="1" s="1"/>
  <c r="U727" i="1"/>
  <c r="W726" i="1"/>
  <c r="U726" i="1"/>
  <c r="W725" i="1"/>
  <c r="U725" i="1"/>
  <c r="W724" i="1"/>
  <c r="X724" i="1" s="1"/>
  <c r="U724" i="1"/>
  <c r="W723" i="1"/>
  <c r="X723" i="1" s="1"/>
  <c r="U723" i="1"/>
  <c r="W722" i="1"/>
  <c r="X722" i="1" s="1"/>
  <c r="U722" i="1"/>
  <c r="W721" i="1"/>
  <c r="U721" i="1"/>
  <c r="W720" i="1"/>
  <c r="U720" i="1"/>
  <c r="W719" i="1"/>
  <c r="X719" i="1" s="1"/>
  <c r="U719" i="1"/>
  <c r="W718" i="1"/>
  <c r="X718" i="1" s="1"/>
  <c r="U718" i="1"/>
  <c r="W717" i="1"/>
  <c r="U717" i="1"/>
  <c r="W716" i="1"/>
  <c r="X716" i="1" s="1"/>
  <c r="U716" i="1"/>
  <c r="W715" i="1"/>
  <c r="X715" i="1" s="1"/>
  <c r="U715" i="1"/>
  <c r="U714" i="1"/>
  <c r="W713" i="1"/>
  <c r="X713" i="1" s="1"/>
  <c r="U713" i="1"/>
  <c r="W712" i="1"/>
  <c r="X712" i="1" s="1"/>
  <c r="U712" i="1"/>
  <c r="W711" i="1"/>
  <c r="X711" i="1" s="1"/>
  <c r="U711" i="1"/>
  <c r="W710" i="1"/>
  <c r="X710" i="1" s="1"/>
  <c r="U710" i="1"/>
  <c r="W709" i="1"/>
  <c r="U709" i="1"/>
  <c r="W708" i="1"/>
  <c r="X708" i="1" s="1"/>
  <c r="U708" i="1"/>
  <c r="W707" i="1"/>
  <c r="X707" i="1" s="1"/>
  <c r="U707" i="1"/>
  <c r="W706" i="1"/>
  <c r="X706" i="1" s="1"/>
  <c r="U706" i="1"/>
  <c r="D237" i="1"/>
  <c r="D238" i="1"/>
  <c r="D239" i="1"/>
  <c r="D240" i="1"/>
  <c r="D241" i="1"/>
  <c r="D242" i="1"/>
  <c r="D243" i="1"/>
  <c r="D244" i="1"/>
  <c r="D245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" i="1"/>
  <c r="G84" i="7"/>
  <c r="G85" i="7"/>
  <c r="G86" i="7"/>
  <c r="G87" i="7"/>
  <c r="G88" i="7"/>
  <c r="G89" i="7"/>
  <c r="G90" i="7"/>
  <c r="G91" i="7"/>
  <c r="G92" i="7"/>
  <c r="G93" i="7"/>
  <c r="G94" i="7"/>
  <c r="W200" i="12"/>
  <c r="W199" i="12"/>
  <c r="W198" i="12"/>
  <c r="W197" i="12"/>
  <c r="W196" i="12"/>
  <c r="W195" i="12"/>
  <c r="W194" i="12"/>
  <c r="W193" i="12"/>
  <c r="W192" i="12"/>
  <c r="W191" i="12"/>
  <c r="W189" i="12"/>
  <c r="W188" i="12"/>
  <c r="W187" i="12"/>
  <c r="W186" i="12"/>
  <c r="W185" i="12"/>
  <c r="W184" i="12"/>
  <c r="W183" i="12"/>
  <c r="W182" i="12"/>
  <c r="W181" i="12"/>
  <c r="W178" i="12"/>
  <c r="W177" i="12"/>
  <c r="W175" i="12"/>
  <c r="W174" i="12"/>
  <c r="W173" i="12"/>
  <c r="W172" i="12"/>
  <c r="W171" i="12"/>
  <c r="W170" i="12"/>
  <c r="W169" i="12"/>
  <c r="W168" i="12"/>
  <c r="W167" i="12"/>
  <c r="W166" i="12"/>
  <c r="W165" i="12"/>
  <c r="W164" i="12"/>
  <c r="W163" i="12"/>
  <c r="W162" i="12"/>
  <c r="W161" i="12"/>
  <c r="W160" i="12"/>
  <c r="W159" i="12"/>
  <c r="W157" i="12"/>
  <c r="W156" i="12"/>
  <c r="W155" i="12"/>
  <c r="W154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" i="12"/>
  <c r="H53" i="6"/>
  <c r="H54" i="6" s="1"/>
  <c r="H55" i="6" s="1"/>
  <c r="X799" i="1" l="1"/>
  <c r="X615" i="10"/>
  <c r="X662" i="10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53" i="6" s="1"/>
  <c r="G54" i="6" s="1"/>
  <c r="G55" i="6" s="1"/>
  <c r="G4" i="6"/>
  <c r="G3" i="6"/>
  <c r="F51" i="6"/>
  <c r="F52" i="6"/>
  <c r="F50" i="6"/>
  <c r="F40" i="6"/>
  <c r="F41" i="6"/>
  <c r="F42" i="6"/>
  <c r="F43" i="6"/>
  <c r="F44" i="6"/>
  <c r="F45" i="6"/>
  <c r="F46" i="6"/>
  <c r="F47" i="6"/>
  <c r="F48" i="6"/>
  <c r="F49" i="6"/>
  <c r="F39" i="6"/>
  <c r="F29" i="6"/>
  <c r="F30" i="6"/>
  <c r="F31" i="6"/>
  <c r="F32" i="6"/>
  <c r="F33" i="6"/>
  <c r="F34" i="6"/>
  <c r="F35" i="6"/>
  <c r="F36" i="6"/>
  <c r="F37" i="6"/>
  <c r="F38" i="6"/>
  <c r="F28" i="6"/>
  <c r="F19" i="6"/>
  <c r="F20" i="6"/>
  <c r="F21" i="6"/>
  <c r="F22" i="6"/>
  <c r="F23" i="6"/>
  <c r="F24" i="6"/>
  <c r="F25" i="6"/>
  <c r="F26" i="6"/>
  <c r="F27" i="6"/>
  <c r="F18" i="6"/>
  <c r="F9" i="6"/>
  <c r="F10" i="6"/>
  <c r="F11" i="6"/>
  <c r="F12" i="6"/>
  <c r="F13" i="6"/>
  <c r="F14" i="6"/>
  <c r="F15" i="6"/>
  <c r="F16" i="6"/>
  <c r="F17" i="6"/>
  <c r="F8" i="6"/>
  <c r="S145" i="12"/>
  <c r="U145" i="12" s="1"/>
  <c r="W153" i="12"/>
  <c r="W152" i="12"/>
  <c r="W151" i="12"/>
  <c r="W150" i="12"/>
  <c r="W149" i="12"/>
  <c r="W148" i="12"/>
  <c r="W146" i="12"/>
  <c r="W145" i="12"/>
  <c r="W144" i="12"/>
  <c r="W143" i="12"/>
  <c r="W142" i="12"/>
  <c r="W141" i="12"/>
  <c r="W140" i="12"/>
  <c r="W139" i="12"/>
  <c r="W138" i="12"/>
  <c r="W137" i="12"/>
  <c r="W135" i="12"/>
  <c r="W134" i="12"/>
  <c r="W132" i="12"/>
  <c r="W131" i="12"/>
  <c r="W130" i="12"/>
  <c r="W129" i="12"/>
  <c r="W128" i="12"/>
  <c r="W127" i="12"/>
  <c r="W126" i="12"/>
  <c r="W125" i="12"/>
  <c r="W124" i="12"/>
  <c r="W122" i="12"/>
  <c r="W120" i="12"/>
  <c r="W119" i="12"/>
  <c r="W118" i="12"/>
  <c r="W117" i="12"/>
  <c r="W116" i="12"/>
  <c r="W115" i="12"/>
  <c r="W114" i="12"/>
  <c r="W113" i="12"/>
  <c r="W112" i="12"/>
  <c r="W111" i="12"/>
  <c r="W110" i="12"/>
  <c r="W109" i="12"/>
  <c r="W108" i="12"/>
  <c r="W107" i="12"/>
  <c r="W106" i="12"/>
  <c r="W105" i="12"/>
  <c r="W104" i="12"/>
  <c r="W103" i="12"/>
  <c r="W102" i="12"/>
  <c r="W101" i="12"/>
  <c r="W100" i="12"/>
  <c r="W99" i="12"/>
  <c r="W98" i="12"/>
  <c r="W97" i="12"/>
  <c r="W95" i="12"/>
  <c r="V95" i="12"/>
  <c r="W94" i="12"/>
  <c r="W93" i="12"/>
  <c r="W92" i="12"/>
  <c r="W90" i="12"/>
  <c r="W87" i="12"/>
  <c r="W86" i="12"/>
  <c r="W84" i="12"/>
  <c r="W83" i="12"/>
  <c r="W82" i="12"/>
  <c r="W80" i="12"/>
  <c r="W79" i="12"/>
  <c r="W78" i="12"/>
  <c r="W77" i="12"/>
  <c r="W75" i="12"/>
  <c r="W72" i="12"/>
  <c r="W71" i="12"/>
  <c r="W69" i="12"/>
  <c r="W67" i="12"/>
  <c r="W64" i="12"/>
  <c r="W63" i="12"/>
  <c r="W62" i="12"/>
  <c r="W61" i="12"/>
  <c r="W60" i="12"/>
  <c r="W59" i="12"/>
  <c r="W58" i="12"/>
  <c r="W57" i="12"/>
  <c r="W56" i="12"/>
  <c r="W55" i="12"/>
  <c r="W54" i="12"/>
  <c r="W53" i="12"/>
  <c r="W52" i="12"/>
  <c r="W51" i="12"/>
  <c r="W50" i="12"/>
  <c r="W48" i="12"/>
  <c r="W46" i="12"/>
  <c r="W45" i="12"/>
  <c r="W44" i="12"/>
  <c r="W43" i="12"/>
  <c r="W42" i="12"/>
  <c r="W41" i="12"/>
  <c r="W40" i="12"/>
  <c r="W39" i="12"/>
  <c r="W38" i="12"/>
  <c r="W37" i="12"/>
  <c r="W36" i="12"/>
  <c r="W33" i="12"/>
  <c r="W32" i="12"/>
  <c r="W29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9" i="12"/>
  <c r="W8" i="12"/>
  <c r="W7" i="12"/>
  <c r="W6" i="12"/>
  <c r="W5" i="12"/>
  <c r="W4" i="12"/>
  <c r="W3" i="12"/>
  <c r="W2" i="12"/>
  <c r="F53" i="6" l="1"/>
  <c r="F54" i="6" s="1"/>
  <c r="F55" i="6" s="1"/>
  <c r="X171" i="9"/>
  <c r="X170" i="9"/>
  <c r="X169" i="9"/>
  <c r="X168" i="9"/>
  <c r="X167" i="9"/>
  <c r="X166" i="9"/>
  <c r="X165" i="9"/>
  <c r="X164" i="9"/>
  <c r="X175" i="10"/>
  <c r="X174" i="10"/>
  <c r="X173" i="10"/>
  <c r="X172" i="10"/>
  <c r="X171" i="10"/>
  <c r="X170" i="10"/>
  <c r="X169" i="10"/>
  <c r="X168" i="10"/>
  <c r="X167" i="10"/>
  <c r="X166" i="10"/>
  <c r="X165" i="10"/>
  <c r="X164" i="10"/>
  <c r="X163" i="10"/>
  <c r="X162" i="10"/>
  <c r="X161" i="10"/>
  <c r="X160" i="10"/>
  <c r="X159" i="10"/>
  <c r="X158" i="10"/>
  <c r="X157" i="10"/>
  <c r="X156" i="10"/>
  <c r="X155" i="10"/>
  <c r="X154" i="10"/>
  <c r="X153" i="10"/>
  <c r="X152" i="10"/>
  <c r="X151" i="10"/>
  <c r="X150" i="10"/>
  <c r="X149" i="10"/>
  <c r="X148" i="10"/>
  <c r="X147" i="10"/>
  <c r="X146" i="10"/>
  <c r="X145" i="10"/>
  <c r="X144" i="10"/>
  <c r="X143" i="10"/>
  <c r="X142" i="10"/>
  <c r="X141" i="10"/>
  <c r="X140" i="10"/>
  <c r="X139" i="10"/>
  <c r="X138" i="10"/>
  <c r="X137" i="10"/>
  <c r="X136" i="10"/>
  <c r="X135" i="10"/>
  <c r="X134" i="10"/>
  <c r="X133" i="10"/>
  <c r="X132" i="10"/>
  <c r="X131" i="10"/>
  <c r="X130" i="10"/>
  <c r="X129" i="10"/>
  <c r="X128" i="10"/>
  <c r="X127" i="10"/>
  <c r="X126" i="10"/>
  <c r="X125" i="10"/>
  <c r="X124" i="10"/>
  <c r="X123" i="10"/>
  <c r="X122" i="10"/>
  <c r="X121" i="10"/>
  <c r="X120" i="10"/>
  <c r="X119" i="10"/>
  <c r="X118" i="10"/>
  <c r="X117" i="10"/>
  <c r="X116" i="10"/>
  <c r="X115" i="10"/>
  <c r="X114" i="10"/>
  <c r="X113" i="10"/>
  <c r="X112" i="10"/>
  <c r="X111" i="10"/>
  <c r="X110" i="10"/>
  <c r="X109" i="10"/>
  <c r="X108" i="10"/>
  <c r="X107" i="10"/>
  <c r="X106" i="10"/>
  <c r="X105" i="10"/>
  <c r="X104" i="10"/>
  <c r="X103" i="10"/>
  <c r="X102" i="10"/>
  <c r="X101" i="10"/>
  <c r="X100" i="10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W111" i="11"/>
  <c r="W112" i="11"/>
  <c r="W113" i="11"/>
  <c r="W114" i="11"/>
  <c r="W115" i="11"/>
  <c r="W116" i="11"/>
  <c r="W117" i="11"/>
  <c r="W118" i="11"/>
  <c r="W119" i="11"/>
  <c r="W120" i="11"/>
  <c r="W121" i="11"/>
  <c r="W122" i="11"/>
  <c r="W123" i="11"/>
  <c r="W124" i="11"/>
  <c r="W125" i="11"/>
  <c r="W126" i="11"/>
  <c r="W127" i="11"/>
  <c r="W128" i="11"/>
  <c r="W129" i="11"/>
  <c r="W130" i="11"/>
  <c r="W131" i="11"/>
  <c r="W132" i="11"/>
  <c r="W133" i="11"/>
  <c r="W134" i="11"/>
  <c r="W135" i="11"/>
  <c r="W136" i="11"/>
  <c r="W137" i="11"/>
  <c r="W138" i="11"/>
  <c r="W139" i="11"/>
  <c r="W140" i="11"/>
  <c r="W2" i="11"/>
  <c r="X99" i="10"/>
  <c r="U99" i="10"/>
  <c r="X98" i="10"/>
  <c r="U98" i="10"/>
  <c r="X97" i="10"/>
  <c r="U97" i="10"/>
  <c r="X96" i="10"/>
  <c r="U96" i="10"/>
  <c r="X95" i="10"/>
  <c r="U95" i="10"/>
  <c r="X94" i="10"/>
  <c r="U94" i="10"/>
  <c r="X93" i="10"/>
  <c r="U93" i="10"/>
  <c r="X92" i="10"/>
  <c r="U92" i="10"/>
  <c r="X91" i="10"/>
  <c r="U91" i="10"/>
  <c r="X90" i="10"/>
  <c r="U90" i="10"/>
  <c r="X89" i="10"/>
  <c r="U89" i="10"/>
  <c r="X88" i="10"/>
  <c r="U88" i="10"/>
  <c r="X87" i="10"/>
  <c r="U87" i="10"/>
  <c r="X86" i="10"/>
  <c r="U86" i="10"/>
  <c r="X85" i="10"/>
  <c r="U85" i="10"/>
  <c r="X84" i="10"/>
  <c r="U84" i="10"/>
  <c r="X83" i="10"/>
  <c r="U83" i="10"/>
  <c r="X82" i="10"/>
  <c r="U82" i="10"/>
  <c r="X81" i="10"/>
  <c r="U81" i="10"/>
  <c r="X80" i="10"/>
  <c r="U80" i="10"/>
  <c r="X79" i="10"/>
  <c r="U79" i="10"/>
  <c r="X78" i="10"/>
  <c r="U78" i="10"/>
  <c r="X77" i="10"/>
  <c r="U77" i="10"/>
  <c r="X76" i="10"/>
  <c r="U76" i="10"/>
  <c r="X75" i="10"/>
  <c r="U75" i="10"/>
  <c r="X74" i="10"/>
  <c r="U74" i="10"/>
  <c r="X73" i="10"/>
  <c r="U73" i="10"/>
  <c r="X72" i="10"/>
  <c r="U72" i="10"/>
  <c r="X71" i="10"/>
  <c r="U71" i="10"/>
  <c r="X70" i="10"/>
  <c r="U70" i="10"/>
  <c r="X69" i="10"/>
  <c r="U69" i="10"/>
  <c r="X68" i="10"/>
  <c r="U68" i="10"/>
  <c r="X67" i="10"/>
  <c r="U67" i="10"/>
  <c r="X66" i="10"/>
  <c r="U66" i="10"/>
  <c r="X65" i="10"/>
  <c r="U65" i="10"/>
  <c r="X64" i="10"/>
  <c r="U64" i="10"/>
  <c r="X63" i="10"/>
  <c r="U63" i="10"/>
  <c r="X62" i="10"/>
  <c r="U62" i="10"/>
  <c r="X61" i="10"/>
  <c r="U61" i="10"/>
  <c r="X60" i="10"/>
  <c r="U60" i="10"/>
  <c r="X59" i="10"/>
  <c r="U59" i="10"/>
  <c r="X58" i="10"/>
  <c r="U58" i="10"/>
  <c r="X57" i="10"/>
  <c r="U57" i="10"/>
  <c r="X56" i="10"/>
  <c r="U56" i="10"/>
  <c r="X55" i="10"/>
  <c r="U55" i="10"/>
  <c r="X54" i="10"/>
  <c r="U54" i="10"/>
  <c r="X53" i="10"/>
  <c r="U53" i="10"/>
  <c r="X52" i="10"/>
  <c r="U52" i="10"/>
  <c r="X51" i="10"/>
  <c r="U51" i="10"/>
  <c r="X50" i="10"/>
  <c r="U50" i="10"/>
  <c r="X49" i="10"/>
  <c r="U49" i="10"/>
  <c r="X48" i="10"/>
  <c r="U48" i="10"/>
  <c r="X47" i="10"/>
  <c r="U47" i="10"/>
  <c r="X46" i="10"/>
  <c r="U46" i="10"/>
  <c r="X45" i="10"/>
  <c r="U45" i="10"/>
  <c r="X44" i="10"/>
  <c r="U44" i="10"/>
  <c r="X43" i="10"/>
  <c r="U43" i="10"/>
  <c r="X42" i="10"/>
  <c r="U42" i="10"/>
  <c r="X41" i="10"/>
  <c r="U41" i="10"/>
  <c r="X40" i="10"/>
  <c r="U40" i="10"/>
  <c r="X39" i="10"/>
  <c r="U39" i="10"/>
  <c r="X38" i="10"/>
  <c r="U38" i="10"/>
  <c r="X37" i="10"/>
  <c r="U37" i="10"/>
  <c r="X36" i="10"/>
  <c r="U36" i="10"/>
  <c r="X35" i="10"/>
  <c r="U35" i="10"/>
  <c r="X34" i="10"/>
  <c r="U34" i="10"/>
  <c r="X33" i="10"/>
  <c r="U33" i="10"/>
  <c r="X32" i="10"/>
  <c r="U32" i="10"/>
  <c r="X31" i="10"/>
  <c r="U31" i="10"/>
  <c r="X30" i="10"/>
  <c r="U30" i="10"/>
  <c r="X29" i="10"/>
  <c r="U29" i="10"/>
  <c r="X28" i="10"/>
  <c r="U28" i="10"/>
  <c r="X27" i="10"/>
  <c r="U27" i="10"/>
  <c r="X26" i="10"/>
  <c r="U26" i="10"/>
  <c r="X25" i="10"/>
  <c r="U25" i="10"/>
  <c r="X24" i="10"/>
  <c r="U24" i="10"/>
  <c r="X23" i="10"/>
  <c r="U23" i="10"/>
  <c r="X22" i="10"/>
  <c r="U22" i="10"/>
  <c r="X21" i="10"/>
  <c r="U21" i="10"/>
  <c r="X20" i="10"/>
  <c r="U20" i="10"/>
  <c r="X19" i="10"/>
  <c r="U19" i="10"/>
  <c r="X18" i="10"/>
  <c r="U18" i="10"/>
  <c r="X17" i="10"/>
  <c r="U17" i="10"/>
  <c r="X16" i="10"/>
  <c r="U16" i="10"/>
  <c r="X15" i="10"/>
  <c r="U15" i="10"/>
  <c r="X14" i="10"/>
  <c r="U14" i="10"/>
  <c r="X13" i="10"/>
  <c r="U13" i="10"/>
  <c r="X12" i="10"/>
  <c r="U12" i="10"/>
  <c r="X11" i="10"/>
  <c r="U11" i="10"/>
  <c r="X10" i="10"/>
  <c r="U10" i="10"/>
  <c r="X9" i="10"/>
  <c r="U9" i="10"/>
  <c r="X8" i="10"/>
  <c r="U8" i="10"/>
  <c r="X7" i="10"/>
  <c r="U7" i="10"/>
  <c r="X6" i="10"/>
  <c r="U6" i="10"/>
  <c r="X5" i="10"/>
  <c r="U5" i="10"/>
  <c r="X4" i="10"/>
  <c r="U4" i="10"/>
  <c r="X3" i="10"/>
  <c r="U3" i="10"/>
  <c r="X2" i="10"/>
  <c r="U2" i="10"/>
  <c r="X114" i="9"/>
  <c r="X115" i="9"/>
  <c r="X116" i="9"/>
  <c r="X117" i="9"/>
  <c r="X118" i="9"/>
  <c r="X119" i="9"/>
  <c r="X120" i="9"/>
  <c r="X121" i="9"/>
  <c r="X122" i="9"/>
  <c r="X123" i="9"/>
  <c r="X124" i="9"/>
  <c r="X113" i="9"/>
  <c r="A83" i="7"/>
  <c r="A82" i="7"/>
  <c r="A81" i="7"/>
  <c r="A80" i="7"/>
  <c r="A79" i="7"/>
  <c r="S78" i="7"/>
  <c r="U78" i="7"/>
  <c r="V78" i="7" s="1"/>
  <c r="S77" i="7"/>
  <c r="U77" i="7"/>
  <c r="V77" i="7" s="1"/>
  <c r="S76" i="7"/>
  <c r="U76" i="7"/>
  <c r="V76" i="7" s="1"/>
  <c r="S75" i="7"/>
  <c r="V75" i="7"/>
  <c r="S74" i="7"/>
  <c r="U74" i="7"/>
  <c r="V74" i="7" s="1"/>
  <c r="U33" i="7"/>
  <c r="V33" i="7" s="1"/>
  <c r="S33" i="7"/>
  <c r="U96" i="9"/>
  <c r="W96" i="9"/>
  <c r="X96" i="9"/>
  <c r="R73" i="7"/>
  <c r="T73" i="7"/>
  <c r="U73" i="7" s="1"/>
  <c r="S705" i="1"/>
  <c r="X705" i="1"/>
  <c r="W72" i="7"/>
  <c r="R72" i="7"/>
  <c r="V71" i="7"/>
  <c r="W71" i="7" s="1"/>
  <c r="R71" i="7"/>
  <c r="W70" i="7"/>
  <c r="R70" i="7"/>
  <c r="W69" i="7"/>
  <c r="R69" i="7"/>
  <c r="W67" i="7"/>
  <c r="R67" i="7"/>
  <c r="U204" i="1"/>
  <c r="U205" i="1"/>
  <c r="W204" i="1"/>
  <c r="X204" i="1"/>
  <c r="V65" i="7"/>
  <c r="W65" i="7"/>
  <c r="T65" i="7"/>
  <c r="V64" i="7"/>
  <c r="W64" i="7" s="1"/>
  <c r="T64" i="7"/>
  <c r="W63" i="7"/>
  <c r="R63" i="7"/>
  <c r="W62" i="7"/>
  <c r="R62" i="7"/>
  <c r="W61" i="7"/>
  <c r="R61" i="7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2" i="5"/>
  <c r="W3" i="8"/>
  <c r="W59" i="8"/>
  <c r="W48" i="8"/>
  <c r="W4" i="8"/>
  <c r="W23" i="8"/>
  <c r="W49" i="8"/>
  <c r="W76" i="8"/>
  <c r="W24" i="8"/>
  <c r="W85" i="8"/>
  <c r="W77" i="8"/>
  <c r="W25" i="8"/>
  <c r="W62" i="8"/>
  <c r="W26" i="8"/>
  <c r="W63" i="8"/>
  <c r="W37" i="8"/>
  <c r="W38" i="8"/>
  <c r="W64" i="8"/>
  <c r="W66" i="8"/>
  <c r="W56" i="8"/>
  <c r="W27" i="8"/>
  <c r="W78" i="8"/>
  <c r="W28" i="8"/>
  <c r="W29" i="8"/>
  <c r="W50" i="8"/>
  <c r="W30" i="8"/>
  <c r="W91" i="8"/>
  <c r="W39" i="8"/>
  <c r="W65" i="8"/>
  <c r="W71" i="8"/>
  <c r="W86" i="8"/>
  <c r="W84" i="8"/>
  <c r="W87" i="8"/>
  <c r="W51" i="8"/>
  <c r="W52" i="8"/>
  <c r="W31" i="8"/>
  <c r="W92" i="8"/>
  <c r="W5" i="8"/>
  <c r="W32" i="8"/>
  <c r="W40" i="8"/>
  <c r="W33" i="8"/>
  <c r="W34" i="8"/>
  <c r="W53" i="8"/>
  <c r="T3" i="8"/>
  <c r="T59" i="8"/>
  <c r="T48" i="8"/>
  <c r="T4" i="8"/>
  <c r="T23" i="8"/>
  <c r="T49" i="8"/>
  <c r="T76" i="8"/>
  <c r="T24" i="8"/>
  <c r="T85" i="8"/>
  <c r="T77" i="8"/>
  <c r="T25" i="8"/>
  <c r="T62" i="8"/>
  <c r="T26" i="8"/>
  <c r="T63" i="8"/>
  <c r="T37" i="8"/>
  <c r="T38" i="8"/>
  <c r="T64" i="8"/>
  <c r="T66" i="8"/>
  <c r="T56" i="8"/>
  <c r="T27" i="8"/>
  <c r="T78" i="8"/>
  <c r="T28" i="8"/>
  <c r="T29" i="8"/>
  <c r="T50" i="8"/>
  <c r="T30" i="8"/>
  <c r="T91" i="8"/>
  <c r="T39" i="8"/>
  <c r="T65" i="8"/>
  <c r="T71" i="8"/>
  <c r="T86" i="8"/>
  <c r="T84" i="8"/>
  <c r="T87" i="8"/>
  <c r="T51" i="8"/>
  <c r="T52" i="8"/>
  <c r="T31" i="8"/>
  <c r="T92" i="8"/>
  <c r="T5" i="8"/>
  <c r="T32" i="8"/>
  <c r="T40" i="8"/>
  <c r="T33" i="8"/>
  <c r="T34" i="8"/>
  <c r="T53" i="8"/>
  <c r="V60" i="7"/>
  <c r="W60" i="7" s="1"/>
  <c r="T60" i="7"/>
  <c r="T59" i="7"/>
  <c r="U59" i="7" s="1"/>
  <c r="R59" i="7"/>
  <c r="X112" i="9"/>
  <c r="U112" i="9"/>
  <c r="W111" i="9"/>
  <c r="X111" i="9"/>
  <c r="U111" i="9"/>
  <c r="W110" i="9"/>
  <c r="X110" i="9" s="1"/>
  <c r="U110" i="9"/>
  <c r="W109" i="9"/>
  <c r="X109" i="9"/>
  <c r="U109" i="9"/>
  <c r="W108" i="9"/>
  <c r="X108" i="9" s="1"/>
  <c r="U108" i="9"/>
  <c r="W107" i="9"/>
  <c r="X107" i="9"/>
  <c r="U107" i="9"/>
  <c r="W106" i="9"/>
  <c r="X106" i="9" s="1"/>
  <c r="U106" i="9"/>
  <c r="W105" i="9"/>
  <c r="X105" i="9" s="1"/>
  <c r="U105" i="9"/>
  <c r="W104" i="9"/>
  <c r="X104" i="9" s="1"/>
  <c r="U104" i="9"/>
  <c r="W103" i="9"/>
  <c r="X103" i="9"/>
  <c r="U103" i="9"/>
  <c r="W102" i="9"/>
  <c r="X102" i="9" s="1"/>
  <c r="U102" i="9"/>
  <c r="W101" i="9"/>
  <c r="X101" i="9" s="1"/>
  <c r="U101" i="9"/>
  <c r="W100" i="9"/>
  <c r="X100" i="9" s="1"/>
  <c r="U100" i="9"/>
  <c r="W99" i="9"/>
  <c r="X99" i="9"/>
  <c r="U99" i="9"/>
  <c r="W98" i="9"/>
  <c r="X98" i="9" s="1"/>
  <c r="U98" i="9"/>
  <c r="W97" i="9"/>
  <c r="X97" i="9" s="1"/>
  <c r="U97" i="9"/>
  <c r="W95" i="9"/>
  <c r="X95" i="9" s="1"/>
  <c r="U95" i="9"/>
  <c r="W94" i="9"/>
  <c r="X94" i="9"/>
  <c r="U94" i="9"/>
  <c r="W93" i="9"/>
  <c r="X93" i="9" s="1"/>
  <c r="U93" i="9"/>
  <c r="W92" i="9"/>
  <c r="X92" i="9" s="1"/>
  <c r="U92" i="9"/>
  <c r="W91" i="9"/>
  <c r="X91" i="9" s="1"/>
  <c r="U91" i="9"/>
  <c r="X90" i="9"/>
  <c r="U90" i="9"/>
  <c r="W89" i="9"/>
  <c r="X89" i="9" s="1"/>
  <c r="U89" i="9"/>
  <c r="W88" i="9"/>
  <c r="X88" i="9"/>
  <c r="U88" i="9"/>
  <c r="W87" i="9"/>
  <c r="X87" i="9"/>
  <c r="U87" i="9"/>
  <c r="W86" i="9"/>
  <c r="X86" i="9"/>
  <c r="U86" i="9"/>
  <c r="W85" i="9"/>
  <c r="X85" i="9" s="1"/>
  <c r="U85" i="9"/>
  <c r="W84" i="9"/>
  <c r="X84" i="9"/>
  <c r="U84" i="9"/>
  <c r="W83" i="9"/>
  <c r="X83" i="9"/>
  <c r="U83" i="9"/>
  <c r="W82" i="9"/>
  <c r="X82" i="9"/>
  <c r="U82" i="9"/>
  <c r="W81" i="9"/>
  <c r="X81" i="9" s="1"/>
  <c r="U81" i="9"/>
  <c r="W80" i="9"/>
  <c r="X80" i="9"/>
  <c r="U80" i="9"/>
  <c r="W79" i="9"/>
  <c r="X79" i="9"/>
  <c r="U79" i="9"/>
  <c r="W78" i="9"/>
  <c r="X78" i="9"/>
  <c r="U78" i="9"/>
  <c r="W77" i="9"/>
  <c r="X77" i="9" s="1"/>
  <c r="U77" i="9"/>
  <c r="W76" i="9"/>
  <c r="X76" i="9"/>
  <c r="U76" i="9"/>
  <c r="X75" i="9"/>
  <c r="U75" i="9"/>
  <c r="X74" i="9"/>
  <c r="U74" i="9"/>
  <c r="W73" i="9"/>
  <c r="X73" i="9" s="1"/>
  <c r="U73" i="9"/>
  <c r="W72" i="9"/>
  <c r="X72" i="9"/>
  <c r="U72" i="9"/>
  <c r="W71" i="9"/>
  <c r="X71" i="9" s="1"/>
  <c r="U71" i="9"/>
  <c r="X70" i="9"/>
  <c r="U70" i="9"/>
  <c r="W69" i="9"/>
  <c r="X69" i="9"/>
  <c r="U69" i="9"/>
  <c r="X68" i="9"/>
  <c r="U68" i="9"/>
  <c r="X67" i="9"/>
  <c r="U67" i="9"/>
  <c r="W66" i="9"/>
  <c r="X66" i="9" s="1"/>
  <c r="U66" i="9"/>
  <c r="X65" i="9"/>
  <c r="U65" i="9"/>
  <c r="X64" i="9"/>
  <c r="U64" i="9"/>
  <c r="W63" i="9"/>
  <c r="X63" i="9"/>
  <c r="U63" i="9"/>
  <c r="X62" i="9"/>
  <c r="U62" i="9"/>
  <c r="X61" i="9"/>
  <c r="U61" i="9"/>
  <c r="W60" i="9"/>
  <c r="X60" i="9" s="1"/>
  <c r="U60" i="9"/>
  <c r="X59" i="9"/>
  <c r="U59" i="9"/>
  <c r="W58" i="9"/>
  <c r="X58" i="9"/>
  <c r="U58" i="9"/>
  <c r="W57" i="9"/>
  <c r="X57" i="9" s="1"/>
  <c r="U57" i="9"/>
  <c r="W56" i="9"/>
  <c r="X56" i="9" s="1"/>
  <c r="U56" i="9"/>
  <c r="W55" i="9"/>
  <c r="X55" i="9"/>
  <c r="U55" i="9"/>
  <c r="W54" i="9"/>
  <c r="X54" i="9"/>
  <c r="U54" i="9"/>
  <c r="W53" i="9"/>
  <c r="X53" i="9" s="1"/>
  <c r="U53" i="9"/>
  <c r="W52" i="9"/>
  <c r="X52" i="9" s="1"/>
  <c r="U52" i="9"/>
  <c r="W51" i="9"/>
  <c r="X51" i="9" s="1"/>
  <c r="U51" i="9"/>
  <c r="W50" i="9"/>
  <c r="X50" i="9"/>
  <c r="U50" i="9"/>
  <c r="W49" i="9"/>
  <c r="X49" i="9" s="1"/>
  <c r="U49" i="9"/>
  <c r="W48" i="9"/>
  <c r="X48" i="9" s="1"/>
  <c r="U48" i="9"/>
  <c r="W47" i="9"/>
  <c r="X47" i="9" s="1"/>
  <c r="U47" i="9"/>
  <c r="X46" i="9"/>
  <c r="U46" i="9"/>
  <c r="W45" i="9"/>
  <c r="X45" i="9" s="1"/>
  <c r="U45" i="9"/>
  <c r="X44" i="9"/>
  <c r="U44" i="9"/>
  <c r="X43" i="9"/>
  <c r="U43" i="9"/>
  <c r="W42" i="9"/>
  <c r="X42" i="9"/>
  <c r="U42" i="9"/>
  <c r="W41" i="9"/>
  <c r="X41" i="9"/>
  <c r="U41" i="9"/>
  <c r="X40" i="9"/>
  <c r="U40" i="9"/>
  <c r="X39" i="9"/>
  <c r="U39" i="9"/>
  <c r="X38" i="9"/>
  <c r="U38" i="9"/>
  <c r="W37" i="9"/>
  <c r="X37" i="9" s="1"/>
  <c r="U37" i="9"/>
  <c r="W36" i="9"/>
  <c r="X36" i="9"/>
  <c r="U36" i="9"/>
  <c r="W35" i="9"/>
  <c r="X35" i="9" s="1"/>
  <c r="U35" i="9"/>
  <c r="X34" i="9"/>
  <c r="U34" i="9"/>
  <c r="W33" i="9"/>
  <c r="X33" i="9"/>
  <c r="U33" i="9"/>
  <c r="W32" i="9"/>
  <c r="X32" i="9" s="1"/>
  <c r="U32" i="9"/>
  <c r="W31" i="9"/>
  <c r="X31" i="9" s="1"/>
  <c r="U31" i="9"/>
  <c r="W30" i="9"/>
  <c r="X30" i="9" s="1"/>
  <c r="U30" i="9"/>
  <c r="W29" i="9"/>
  <c r="X29" i="9"/>
  <c r="U29" i="9"/>
  <c r="W28" i="9"/>
  <c r="X28" i="9"/>
  <c r="U28" i="9"/>
  <c r="W27" i="9"/>
  <c r="X27" i="9" s="1"/>
  <c r="U27" i="9"/>
  <c r="X26" i="9"/>
  <c r="U26" i="9"/>
  <c r="W25" i="9"/>
  <c r="X25" i="9"/>
  <c r="U25" i="9"/>
  <c r="W24" i="9"/>
  <c r="X24" i="9" s="1"/>
  <c r="U24" i="9"/>
  <c r="W23" i="9"/>
  <c r="X23" i="9" s="1"/>
  <c r="U23" i="9"/>
  <c r="X22" i="9"/>
  <c r="U22" i="9"/>
  <c r="W21" i="9"/>
  <c r="X21" i="9" s="1"/>
  <c r="U21" i="9"/>
  <c r="W20" i="9"/>
  <c r="X20" i="9" s="1"/>
  <c r="U20" i="9"/>
  <c r="W19" i="9"/>
  <c r="X19" i="9"/>
  <c r="U19" i="9"/>
  <c r="W18" i="9"/>
  <c r="X18" i="9"/>
  <c r="U18" i="9"/>
  <c r="W17" i="9"/>
  <c r="X17" i="9" s="1"/>
  <c r="U17" i="9"/>
  <c r="W16" i="9"/>
  <c r="X16" i="9"/>
  <c r="U16" i="9"/>
  <c r="W15" i="9"/>
  <c r="X15" i="9"/>
  <c r="U15" i="9"/>
  <c r="W14" i="9"/>
  <c r="X14" i="9"/>
  <c r="U14" i="9"/>
  <c r="W13" i="9"/>
  <c r="X13" i="9" s="1"/>
  <c r="U13" i="9"/>
  <c r="W12" i="9"/>
  <c r="X12" i="9" s="1"/>
  <c r="U12" i="9"/>
  <c r="W11" i="9"/>
  <c r="X11" i="9"/>
  <c r="U11" i="9"/>
  <c r="W10" i="9"/>
  <c r="X10" i="9"/>
  <c r="U10" i="9"/>
  <c r="W9" i="9"/>
  <c r="X9" i="9" s="1"/>
  <c r="U9" i="9"/>
  <c r="W8" i="9"/>
  <c r="X8" i="9"/>
  <c r="U8" i="9"/>
  <c r="W7" i="9"/>
  <c r="X7" i="9"/>
  <c r="U7" i="9"/>
  <c r="W6" i="9"/>
  <c r="X6" i="9"/>
  <c r="U6" i="9"/>
  <c r="W5" i="9"/>
  <c r="X5" i="9" s="1"/>
  <c r="U5" i="9"/>
  <c r="W4" i="9"/>
  <c r="X4" i="9"/>
  <c r="U4" i="9"/>
  <c r="W3" i="9"/>
  <c r="X3" i="9"/>
  <c r="U3" i="9"/>
  <c r="W2" i="9"/>
  <c r="X2" i="9"/>
  <c r="U2" i="9"/>
  <c r="V58" i="7"/>
  <c r="W58" i="7" s="1"/>
  <c r="T58" i="7"/>
  <c r="X296" i="1"/>
  <c r="X297" i="1"/>
  <c r="X298" i="1"/>
  <c r="X299" i="1"/>
  <c r="X300" i="1"/>
  <c r="X301" i="1"/>
  <c r="X695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704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703" i="1"/>
  <c r="X367" i="1"/>
  <c r="X368" i="1"/>
  <c r="X369" i="1"/>
  <c r="X370" i="1"/>
  <c r="X371" i="1"/>
  <c r="X372" i="1"/>
  <c r="X373" i="1"/>
  <c r="X374" i="1"/>
  <c r="X375" i="1"/>
  <c r="X376" i="1"/>
  <c r="X377" i="1"/>
  <c r="X702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701" i="1"/>
  <c r="X433" i="1"/>
  <c r="X434" i="1"/>
  <c r="X435" i="1"/>
  <c r="X440" i="1"/>
  <c r="X460" i="1"/>
  <c r="X471" i="1"/>
  <c r="X481" i="1"/>
  <c r="X482" i="1"/>
  <c r="X493" i="1"/>
  <c r="X503" i="1"/>
  <c r="X514" i="1"/>
  <c r="X523" i="1"/>
  <c r="X532" i="1"/>
  <c r="X535" i="1"/>
  <c r="X536" i="1"/>
  <c r="X537" i="1"/>
  <c r="X538" i="1"/>
  <c r="X541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700" i="1"/>
  <c r="X564" i="1"/>
  <c r="X565" i="1"/>
  <c r="X697" i="1"/>
  <c r="X698" i="1"/>
  <c r="X699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96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704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703" i="1"/>
  <c r="S367" i="1"/>
  <c r="S368" i="1"/>
  <c r="S369" i="1"/>
  <c r="S370" i="1"/>
  <c r="S371" i="1"/>
  <c r="S372" i="1"/>
  <c r="S373" i="1"/>
  <c r="S374" i="1"/>
  <c r="S375" i="1"/>
  <c r="S376" i="1"/>
  <c r="S377" i="1"/>
  <c r="S702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701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700" i="1"/>
  <c r="S564" i="1"/>
  <c r="S565" i="1"/>
  <c r="S697" i="1"/>
  <c r="S698" i="1"/>
  <c r="S699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96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311" i="1"/>
  <c r="S297" i="1"/>
  <c r="S298" i="1"/>
  <c r="S299" i="1"/>
  <c r="S300" i="1"/>
  <c r="S301" i="1"/>
  <c r="S695" i="1"/>
  <c r="S302" i="1"/>
  <c r="S303" i="1"/>
  <c r="S304" i="1"/>
  <c r="S305" i="1"/>
  <c r="S306" i="1"/>
  <c r="S307" i="1"/>
  <c r="S308" i="1"/>
  <c r="S309" i="1"/>
  <c r="S310" i="1"/>
  <c r="S296" i="1"/>
  <c r="W546" i="1"/>
  <c r="X546" i="1"/>
  <c r="W545" i="1"/>
  <c r="X545" i="1" s="1"/>
  <c r="W544" i="1"/>
  <c r="X544" i="1" s="1"/>
  <c r="W543" i="1"/>
  <c r="X543" i="1" s="1"/>
  <c r="W542" i="1"/>
  <c r="X542" i="1"/>
  <c r="W540" i="1"/>
  <c r="X540" i="1" s="1"/>
  <c r="W539" i="1"/>
  <c r="X539" i="1" s="1"/>
  <c r="W534" i="1"/>
  <c r="X534" i="1" s="1"/>
  <c r="W533" i="1"/>
  <c r="X533" i="1" s="1"/>
  <c r="W531" i="1"/>
  <c r="X531" i="1" s="1"/>
  <c r="W530" i="1"/>
  <c r="X530" i="1" s="1"/>
  <c r="W529" i="1"/>
  <c r="X529" i="1" s="1"/>
  <c r="W528" i="1"/>
  <c r="X528" i="1" s="1"/>
  <c r="W527" i="1"/>
  <c r="X527" i="1" s="1"/>
  <c r="W526" i="1"/>
  <c r="X526" i="1" s="1"/>
  <c r="W525" i="1"/>
  <c r="X525" i="1" s="1"/>
  <c r="W524" i="1"/>
  <c r="X524" i="1" s="1"/>
  <c r="W522" i="1"/>
  <c r="X522" i="1" s="1"/>
  <c r="W521" i="1"/>
  <c r="X521" i="1" s="1"/>
  <c r="W520" i="1"/>
  <c r="X520" i="1" s="1"/>
  <c r="W519" i="1"/>
  <c r="X519" i="1"/>
  <c r="W518" i="1"/>
  <c r="X518" i="1" s="1"/>
  <c r="W517" i="1"/>
  <c r="X517" i="1" s="1"/>
  <c r="W516" i="1"/>
  <c r="X516" i="1" s="1"/>
  <c r="W515" i="1"/>
  <c r="X515" i="1"/>
  <c r="W513" i="1"/>
  <c r="X513" i="1" s="1"/>
  <c r="W512" i="1"/>
  <c r="X512" i="1" s="1"/>
  <c r="W511" i="1"/>
  <c r="X511" i="1" s="1"/>
  <c r="W510" i="1"/>
  <c r="X510" i="1" s="1"/>
  <c r="W509" i="1"/>
  <c r="X509" i="1" s="1"/>
  <c r="W508" i="1"/>
  <c r="X508" i="1" s="1"/>
  <c r="W507" i="1"/>
  <c r="X507" i="1" s="1"/>
  <c r="W506" i="1"/>
  <c r="X506" i="1" s="1"/>
  <c r="W505" i="1"/>
  <c r="X505" i="1" s="1"/>
  <c r="W504" i="1"/>
  <c r="X504" i="1" s="1"/>
  <c r="W502" i="1"/>
  <c r="X502" i="1" s="1"/>
  <c r="W501" i="1"/>
  <c r="X501" i="1" s="1"/>
  <c r="W500" i="1"/>
  <c r="X500" i="1" s="1"/>
  <c r="W499" i="1"/>
  <c r="X499" i="1" s="1"/>
  <c r="W498" i="1"/>
  <c r="X498" i="1" s="1"/>
  <c r="W497" i="1"/>
  <c r="X497" i="1" s="1"/>
  <c r="W496" i="1"/>
  <c r="X496" i="1" s="1"/>
  <c r="W495" i="1"/>
  <c r="X495" i="1" s="1"/>
  <c r="W494" i="1"/>
  <c r="X494" i="1" s="1"/>
  <c r="W492" i="1"/>
  <c r="X492" i="1"/>
  <c r="W491" i="1"/>
  <c r="X491" i="1" s="1"/>
  <c r="W490" i="1"/>
  <c r="X490" i="1" s="1"/>
  <c r="W489" i="1"/>
  <c r="X489" i="1" s="1"/>
  <c r="W488" i="1"/>
  <c r="V488" i="1"/>
  <c r="X488" i="1" s="1"/>
  <c r="W487" i="1"/>
  <c r="X487" i="1" s="1"/>
  <c r="W486" i="1"/>
  <c r="X486" i="1" s="1"/>
  <c r="W485" i="1"/>
  <c r="X485" i="1" s="1"/>
  <c r="W484" i="1"/>
  <c r="X484" i="1" s="1"/>
  <c r="W483" i="1"/>
  <c r="X483" i="1" s="1"/>
  <c r="W480" i="1"/>
  <c r="X480" i="1" s="1"/>
  <c r="W479" i="1"/>
  <c r="X479" i="1" s="1"/>
  <c r="W478" i="1"/>
  <c r="X478" i="1" s="1"/>
  <c r="W477" i="1"/>
  <c r="X477" i="1" s="1"/>
  <c r="W476" i="1"/>
  <c r="X476" i="1" s="1"/>
  <c r="W475" i="1"/>
  <c r="X475" i="1" s="1"/>
  <c r="W474" i="1"/>
  <c r="X474" i="1"/>
  <c r="W473" i="1"/>
  <c r="X473" i="1" s="1"/>
  <c r="W472" i="1"/>
  <c r="X472" i="1" s="1"/>
  <c r="W470" i="1"/>
  <c r="X470" i="1" s="1"/>
  <c r="W469" i="1"/>
  <c r="X469" i="1"/>
  <c r="W468" i="1"/>
  <c r="X468" i="1" s="1"/>
  <c r="W467" i="1"/>
  <c r="X467" i="1" s="1"/>
  <c r="W466" i="1"/>
  <c r="X466" i="1" s="1"/>
  <c r="W465" i="1"/>
  <c r="X465" i="1" s="1"/>
  <c r="W464" i="1"/>
  <c r="X464" i="1" s="1"/>
  <c r="W463" i="1"/>
  <c r="X463" i="1" s="1"/>
  <c r="W462" i="1"/>
  <c r="X462" i="1" s="1"/>
  <c r="W461" i="1"/>
  <c r="X461" i="1" s="1"/>
  <c r="W459" i="1"/>
  <c r="X459" i="1" s="1"/>
  <c r="W458" i="1"/>
  <c r="X458" i="1" s="1"/>
  <c r="W457" i="1"/>
  <c r="X457" i="1" s="1"/>
  <c r="W456" i="1"/>
  <c r="X456" i="1"/>
  <c r="W455" i="1"/>
  <c r="X455" i="1" s="1"/>
  <c r="W454" i="1"/>
  <c r="X454" i="1" s="1"/>
  <c r="W453" i="1"/>
  <c r="X453" i="1" s="1"/>
  <c r="W452" i="1"/>
  <c r="X452" i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X445" i="1" s="1"/>
  <c r="W444" i="1"/>
  <c r="X444" i="1" s="1"/>
  <c r="W443" i="1"/>
  <c r="X443" i="1" s="1"/>
  <c r="W442" i="1"/>
  <c r="X442" i="1" s="1"/>
  <c r="W441" i="1"/>
  <c r="V441" i="1"/>
  <c r="W439" i="1"/>
  <c r="X439" i="1" s="1"/>
  <c r="W438" i="1"/>
  <c r="X438" i="1" s="1"/>
  <c r="W437" i="1"/>
  <c r="X437" i="1" s="1"/>
  <c r="W436" i="1"/>
  <c r="X436" i="1" s="1"/>
  <c r="G409" i="4"/>
  <c r="G57" i="7"/>
  <c r="W17" i="8"/>
  <c r="W16" i="8"/>
  <c r="W35" i="8"/>
  <c r="W47" i="8"/>
  <c r="W90" i="8"/>
  <c r="W89" i="8"/>
  <c r="W22" i="8"/>
  <c r="W15" i="8"/>
  <c r="W43" i="8"/>
  <c r="W14" i="8"/>
  <c r="W42" i="8"/>
  <c r="W46" i="8"/>
  <c r="W70" i="8"/>
  <c r="W41" i="8"/>
  <c r="W67" i="8"/>
  <c r="W83" i="8"/>
  <c r="W13" i="8"/>
  <c r="W45" i="8"/>
  <c r="W74" i="8"/>
  <c r="W73" i="8"/>
  <c r="W12" i="8"/>
  <c r="W81" i="8"/>
  <c r="W54" i="8"/>
  <c r="W11" i="8"/>
  <c r="W21" i="8"/>
  <c r="W58" i="8"/>
  <c r="W10" i="8"/>
  <c r="W69" i="8"/>
  <c r="W82" i="8"/>
  <c r="W88" i="8"/>
  <c r="W9" i="8"/>
  <c r="W80" i="8"/>
  <c r="W68" i="8"/>
  <c r="W61" i="8"/>
  <c r="W57" i="8"/>
  <c r="W79" i="8"/>
  <c r="W72" i="8"/>
  <c r="W2" i="8"/>
  <c r="W75" i="8"/>
  <c r="W20" i="8"/>
  <c r="W60" i="8"/>
  <c r="W55" i="8"/>
  <c r="W8" i="8"/>
  <c r="W19" i="8"/>
  <c r="W36" i="8"/>
  <c r="W44" i="8"/>
  <c r="W18" i="8"/>
  <c r="W7" i="8"/>
  <c r="W6" i="8"/>
  <c r="T17" i="8"/>
  <c r="T16" i="8"/>
  <c r="T35" i="8"/>
  <c r="T47" i="8"/>
  <c r="T90" i="8"/>
  <c r="T89" i="8"/>
  <c r="T22" i="8"/>
  <c r="T15" i="8"/>
  <c r="T43" i="8"/>
  <c r="T14" i="8"/>
  <c r="T42" i="8"/>
  <c r="T46" i="8"/>
  <c r="T70" i="8"/>
  <c r="T41" i="8"/>
  <c r="T67" i="8"/>
  <c r="T83" i="8"/>
  <c r="T13" i="8"/>
  <c r="T45" i="8"/>
  <c r="T74" i="8"/>
  <c r="T73" i="8"/>
  <c r="T12" i="8"/>
  <c r="T81" i="8"/>
  <c r="T54" i="8"/>
  <c r="T11" i="8"/>
  <c r="T21" i="8"/>
  <c r="T58" i="8"/>
  <c r="T10" i="8"/>
  <c r="T69" i="8"/>
  <c r="T82" i="8"/>
  <c r="T88" i="8"/>
  <c r="T9" i="8"/>
  <c r="T80" i="8"/>
  <c r="T68" i="8"/>
  <c r="T61" i="8"/>
  <c r="T57" i="8"/>
  <c r="T79" i="8"/>
  <c r="T72" i="8"/>
  <c r="T2" i="8"/>
  <c r="T75" i="8"/>
  <c r="T20" i="8"/>
  <c r="T60" i="8"/>
  <c r="T55" i="8"/>
  <c r="T8" i="8"/>
  <c r="T19" i="8"/>
  <c r="T36" i="8"/>
  <c r="T44" i="8"/>
  <c r="T18" i="8"/>
  <c r="T7" i="8"/>
  <c r="T6" i="8"/>
  <c r="G56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4" i="7"/>
  <c r="X291" i="1"/>
  <c r="X287" i="1"/>
  <c r="X286" i="1"/>
  <c r="X277" i="1"/>
  <c r="X263" i="1"/>
  <c r="X259" i="1"/>
  <c r="X258" i="1"/>
  <c r="X248" i="1"/>
  <c r="X240" i="1"/>
  <c r="X235" i="1"/>
  <c r="X233" i="1"/>
  <c r="X230" i="1"/>
  <c r="X229" i="1"/>
  <c r="X222" i="1"/>
  <c r="X221" i="1"/>
  <c r="X208" i="1"/>
  <c r="X202" i="1"/>
  <c r="X198" i="1"/>
  <c r="X197" i="1"/>
  <c r="X196" i="1"/>
  <c r="X194" i="1"/>
  <c r="X192" i="1"/>
  <c r="X189" i="1"/>
  <c r="X186" i="1"/>
  <c r="X185" i="1"/>
  <c r="X184" i="1"/>
  <c r="X183" i="1"/>
  <c r="X182" i="1"/>
  <c r="X176" i="1"/>
  <c r="X175" i="1"/>
  <c r="X174" i="1"/>
  <c r="X172" i="1"/>
  <c r="X171" i="1"/>
  <c r="X170" i="1"/>
  <c r="X169" i="1"/>
  <c r="X168" i="1"/>
  <c r="X167" i="1"/>
  <c r="X164" i="1"/>
  <c r="X163" i="1"/>
  <c r="X159" i="1"/>
  <c r="X157" i="1"/>
  <c r="X155" i="1"/>
  <c r="X154" i="1"/>
  <c r="X152" i="1"/>
  <c r="X151" i="1"/>
  <c r="X149" i="1"/>
  <c r="X147" i="1"/>
  <c r="X106" i="1"/>
  <c r="X105" i="1"/>
  <c r="X104" i="1"/>
  <c r="X101" i="1"/>
  <c r="X99" i="1"/>
  <c r="X98" i="1"/>
  <c r="X97" i="1"/>
  <c r="X96" i="1"/>
  <c r="X94" i="1"/>
  <c r="X85" i="1"/>
  <c r="X79" i="1"/>
  <c r="X78" i="1"/>
  <c r="X74" i="1"/>
  <c r="X72" i="1"/>
  <c r="X67" i="1"/>
  <c r="X65" i="1"/>
  <c r="X60" i="1"/>
  <c r="X53" i="1"/>
  <c r="X50" i="1"/>
  <c r="X49" i="1"/>
  <c r="X43" i="1"/>
  <c r="X40" i="1"/>
  <c r="X39" i="1"/>
  <c r="X36" i="1"/>
  <c r="X35" i="1"/>
  <c r="X34" i="1"/>
  <c r="X33" i="1"/>
  <c r="X27" i="1"/>
  <c r="X22" i="1"/>
  <c r="X19" i="1"/>
  <c r="X16" i="1"/>
  <c r="X15" i="1"/>
  <c r="X14" i="1"/>
  <c r="X13" i="1"/>
  <c r="X6" i="1"/>
  <c r="X3" i="1"/>
  <c r="X2" i="1"/>
  <c r="H166" i="1"/>
  <c r="T32" i="7"/>
  <c r="T31" i="7"/>
  <c r="T30" i="7"/>
  <c r="U295" i="1"/>
  <c r="U294" i="1"/>
  <c r="U293" i="1"/>
  <c r="U292" i="1"/>
  <c r="U291" i="1"/>
  <c r="U290" i="1"/>
  <c r="U289" i="1"/>
  <c r="U288" i="1"/>
  <c r="U287" i="1"/>
  <c r="U286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31" i="1"/>
  <c r="X231" i="1" s="1"/>
  <c r="W232" i="1"/>
  <c r="X232" i="1" s="1"/>
  <c r="W234" i="1"/>
  <c r="X234" i="1" s="1"/>
  <c r="W236" i="1"/>
  <c r="X236" i="1" s="1"/>
  <c r="W237" i="1"/>
  <c r="X237" i="1" s="1"/>
  <c r="W238" i="1"/>
  <c r="X238" i="1" s="1"/>
  <c r="W239" i="1"/>
  <c r="X239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7" i="1"/>
  <c r="X257" i="1" s="1"/>
  <c r="W255" i="1"/>
  <c r="X255" i="1" s="1"/>
  <c r="W256" i="1"/>
  <c r="X256" i="1" s="1"/>
  <c r="W260" i="1"/>
  <c r="X260" i="1" s="1"/>
  <c r="W261" i="1"/>
  <c r="X261" i="1" s="1"/>
  <c r="W262" i="1"/>
  <c r="X262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8" i="1"/>
  <c r="X288" i="1" s="1"/>
  <c r="W289" i="1"/>
  <c r="X289" i="1" s="1"/>
  <c r="W290" i="1"/>
  <c r="X290" i="1" s="1"/>
  <c r="W292" i="1"/>
  <c r="X292" i="1" s="1"/>
  <c r="W293" i="1"/>
  <c r="X293" i="1" s="1"/>
  <c r="W294" i="1"/>
  <c r="X294" i="1" s="1"/>
  <c r="W295" i="1"/>
  <c r="X295" i="1" s="1"/>
  <c r="T29" i="7"/>
  <c r="T28" i="7"/>
  <c r="T27" i="7"/>
  <c r="T26" i="7"/>
  <c r="T25" i="7"/>
  <c r="U23" i="7"/>
  <c r="W22" i="7"/>
  <c r="N22" i="7"/>
  <c r="W21" i="7"/>
  <c r="N21" i="7"/>
  <c r="W20" i="7"/>
  <c r="N20" i="7"/>
  <c r="W19" i="7"/>
  <c r="N19" i="7"/>
  <c r="Q93" i="3"/>
  <c r="S54" i="3"/>
  <c r="T54" i="3" s="1"/>
  <c r="S111" i="3"/>
  <c r="T111" i="3" s="1"/>
  <c r="S71" i="3"/>
  <c r="T71" i="3" s="1"/>
  <c r="S93" i="3"/>
  <c r="T93" i="3"/>
  <c r="S88" i="3"/>
  <c r="T88" i="3" s="1"/>
  <c r="S40" i="3"/>
  <c r="T40" i="3"/>
  <c r="S65" i="3"/>
  <c r="T65" i="3" s="1"/>
  <c r="S80" i="3"/>
  <c r="T80" i="3" s="1"/>
  <c r="S68" i="3"/>
  <c r="T68" i="3" s="1"/>
  <c r="S82" i="3"/>
  <c r="T82" i="3" s="1"/>
  <c r="S64" i="3"/>
  <c r="T64" i="3" s="1"/>
  <c r="S84" i="3"/>
  <c r="T84" i="3" s="1"/>
  <c r="S53" i="3"/>
  <c r="T53" i="3" s="1"/>
  <c r="S70" i="3"/>
  <c r="T70" i="3" s="1"/>
  <c r="S26" i="3"/>
  <c r="T26" i="3" s="1"/>
  <c r="S98" i="3"/>
  <c r="T98" i="3" s="1"/>
  <c r="S73" i="3"/>
  <c r="T73" i="3" s="1"/>
  <c r="S96" i="3"/>
  <c r="T96" i="3" s="1"/>
  <c r="S59" i="3"/>
  <c r="T59" i="3" s="1"/>
  <c r="S60" i="3"/>
  <c r="T60" i="3" s="1"/>
  <c r="S56" i="3"/>
  <c r="T56" i="3" s="1"/>
  <c r="S58" i="3"/>
  <c r="T58" i="3"/>
  <c r="S92" i="3"/>
  <c r="T92" i="3" s="1"/>
  <c r="S90" i="3"/>
  <c r="S23" i="3"/>
  <c r="T23" i="3" s="1"/>
  <c r="S50" i="3"/>
  <c r="T50" i="3" s="1"/>
  <c r="S61" i="3"/>
  <c r="T61" i="3" s="1"/>
  <c r="S62" i="3"/>
  <c r="T62" i="3"/>
  <c r="S97" i="3"/>
  <c r="T97" i="3" s="1"/>
  <c r="S29" i="3"/>
  <c r="T29" i="3" s="1"/>
  <c r="S91" i="3"/>
  <c r="T91" i="3" s="1"/>
  <c r="S81" i="3"/>
  <c r="T81" i="3"/>
  <c r="Q67" i="3"/>
  <c r="S66" i="3"/>
  <c r="T66" i="3" s="1"/>
  <c r="S79" i="3"/>
  <c r="T79" i="3"/>
  <c r="S105" i="3"/>
  <c r="T105" i="3" s="1"/>
  <c r="S69" i="3"/>
  <c r="T69" i="3" s="1"/>
  <c r="S18" i="3"/>
  <c r="T18" i="3" s="1"/>
  <c r="S72" i="3"/>
  <c r="T72" i="3" s="1"/>
  <c r="S48" i="3"/>
  <c r="S78" i="3"/>
  <c r="T78" i="3" s="1"/>
  <c r="S45" i="3"/>
  <c r="T45" i="3" s="1"/>
  <c r="S36" i="3"/>
  <c r="T36" i="3" s="1"/>
  <c r="S41" i="3"/>
  <c r="T41" i="3" s="1"/>
  <c r="S15" i="3"/>
  <c r="T15" i="3"/>
  <c r="S13" i="3"/>
  <c r="T13" i="3" s="1"/>
  <c r="S47" i="3"/>
  <c r="T47" i="3" s="1"/>
  <c r="S10" i="3"/>
  <c r="S37" i="3"/>
  <c r="S39" i="3"/>
  <c r="T39" i="3" s="1"/>
  <c r="S43" i="3"/>
  <c r="T43" i="3" s="1"/>
  <c r="S22" i="3"/>
  <c r="T22" i="3" s="1"/>
  <c r="S34" i="3"/>
  <c r="T34" i="3" s="1"/>
  <c r="S86" i="3"/>
  <c r="T86" i="3" s="1"/>
  <c r="S85" i="3"/>
  <c r="T85" i="3" s="1"/>
  <c r="S100" i="3"/>
  <c r="S24" i="3"/>
  <c r="T24" i="3" s="1"/>
  <c r="S76" i="3"/>
  <c r="T76" i="3" s="1"/>
  <c r="S28" i="3"/>
  <c r="T28" i="3" s="1"/>
  <c r="S46" i="3"/>
  <c r="T46" i="3"/>
  <c r="S109" i="3"/>
  <c r="T109" i="3"/>
  <c r="S110" i="3"/>
  <c r="T110" i="3"/>
  <c r="Q7" i="3"/>
  <c r="Q10" i="3"/>
  <c r="Q16" i="3"/>
  <c r="Q15" i="3"/>
  <c r="Q14" i="3"/>
  <c r="Q13" i="3"/>
  <c r="Q18" i="3"/>
  <c r="Q29" i="3"/>
  <c r="Q28" i="3"/>
  <c r="Q27" i="3"/>
  <c r="Q26" i="3"/>
  <c r="Q25" i="3"/>
  <c r="Q24" i="3"/>
  <c r="Q23" i="3"/>
  <c r="Q22" i="3"/>
  <c r="Q21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50" i="3"/>
  <c r="Q49" i="3"/>
  <c r="Q48" i="3"/>
  <c r="Q47" i="3"/>
  <c r="Q46" i="3"/>
  <c r="Q45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88" i="3"/>
  <c r="Q87" i="3"/>
  <c r="Q86" i="3"/>
  <c r="Q85" i="3"/>
  <c r="Q84" i="3"/>
  <c r="Q98" i="3"/>
  <c r="Q97" i="3"/>
  <c r="Q96" i="3"/>
  <c r="Q95" i="3"/>
  <c r="Q94" i="3"/>
  <c r="Q92" i="3"/>
  <c r="Q91" i="3"/>
  <c r="Q90" i="3"/>
  <c r="Q100" i="3"/>
  <c r="Q103" i="3"/>
  <c r="Q105" i="3"/>
  <c r="Q112" i="3"/>
  <c r="Q111" i="3"/>
  <c r="Q110" i="3"/>
  <c r="Q109" i="3"/>
  <c r="S38" i="3"/>
  <c r="T38" i="3" s="1"/>
  <c r="S42" i="3"/>
  <c r="T42" i="3" s="1"/>
  <c r="S75" i="3"/>
  <c r="T75" i="3" s="1"/>
  <c r="S16" i="3"/>
  <c r="T16" i="3" s="1"/>
  <c r="Q18" i="7"/>
  <c r="N18" i="7"/>
  <c r="Q17" i="7"/>
  <c r="N17" i="7"/>
  <c r="W16" i="7"/>
  <c r="Q16" i="7"/>
  <c r="N16" i="7"/>
  <c r="N15" i="7"/>
  <c r="N14" i="7"/>
  <c r="Q10" i="7"/>
  <c r="N10" i="7"/>
  <c r="N9" i="7"/>
  <c r="Q567" i="3"/>
  <c r="T567" i="3"/>
  <c r="N8" i="7"/>
  <c r="N7" i="7"/>
  <c r="N6" i="7"/>
  <c r="N5" i="7"/>
  <c r="N4" i="7"/>
  <c r="N3" i="7"/>
  <c r="W2" i="7"/>
  <c r="N2" i="7"/>
  <c r="S134" i="3"/>
  <c r="T134" i="3" s="1"/>
  <c r="S133" i="3"/>
  <c r="T133" i="3"/>
  <c r="S118" i="3"/>
  <c r="T118" i="3" s="1"/>
  <c r="S127" i="3"/>
  <c r="T127" i="3" s="1"/>
  <c r="S124" i="3"/>
  <c r="T124" i="3" s="1"/>
  <c r="S132" i="3"/>
  <c r="T132" i="3" s="1"/>
  <c r="S131" i="3"/>
  <c r="T131" i="3" s="1"/>
  <c r="S114" i="3"/>
  <c r="T114" i="3" s="1"/>
  <c r="S126" i="3"/>
  <c r="T126" i="3" s="1"/>
  <c r="S115" i="3"/>
  <c r="T115" i="3" s="1"/>
  <c r="S129" i="3"/>
  <c r="T129" i="3" s="1"/>
  <c r="S130" i="3"/>
  <c r="T130" i="3" s="1"/>
  <c r="S123" i="3"/>
  <c r="T123" i="3" s="1"/>
  <c r="S125" i="3"/>
  <c r="T125" i="3" s="1"/>
  <c r="S128" i="3"/>
  <c r="T128" i="3" s="1"/>
  <c r="S3" i="3"/>
  <c r="T3" i="3" s="1"/>
  <c r="S106" i="3"/>
  <c r="T106" i="3" s="1"/>
  <c r="S5" i="3"/>
  <c r="T5" i="3" s="1"/>
  <c r="S9" i="3"/>
  <c r="T9" i="3" s="1"/>
  <c r="S104" i="3"/>
  <c r="T104" i="3" s="1"/>
  <c r="S11" i="3"/>
  <c r="T11" i="3" s="1"/>
  <c r="S107" i="3"/>
  <c r="T107" i="3" s="1"/>
  <c r="S44" i="3"/>
  <c r="T44" i="3" s="1"/>
  <c r="S102" i="3"/>
  <c r="T102" i="3" s="1"/>
  <c r="S108" i="3"/>
  <c r="T108" i="3" s="1"/>
  <c r="Q83" i="3"/>
  <c r="S83" i="3"/>
  <c r="T83" i="3" s="1"/>
  <c r="S8" i="3"/>
  <c r="T8" i="3" s="1"/>
  <c r="S67" i="3"/>
  <c r="T67" i="3" s="1"/>
  <c r="S121" i="3"/>
  <c r="T121" i="3" s="1"/>
  <c r="S12" i="3"/>
  <c r="T12" i="3" s="1"/>
  <c r="S189" i="3"/>
  <c r="T189" i="3" s="1"/>
  <c r="S187" i="3"/>
  <c r="T187" i="3" s="1"/>
  <c r="S175" i="3"/>
  <c r="T175" i="3" s="1"/>
  <c r="S194" i="3"/>
  <c r="T194" i="3" s="1"/>
  <c r="S99" i="3"/>
  <c r="T99" i="3" s="1"/>
  <c r="Q99" i="3"/>
  <c r="S101" i="3"/>
  <c r="T101" i="3" s="1"/>
  <c r="S30" i="3"/>
  <c r="T30" i="3" s="1"/>
  <c r="Q30" i="3"/>
  <c r="S6" i="3"/>
  <c r="T6" i="3" s="1"/>
  <c r="S89" i="3"/>
  <c r="T89" i="3" s="1"/>
  <c r="Q89" i="3"/>
  <c r="S20" i="3"/>
  <c r="T20" i="3" s="1"/>
  <c r="S4" i="3"/>
  <c r="T4" i="3" s="1"/>
  <c r="Q4" i="3"/>
  <c r="S17" i="3"/>
  <c r="T17" i="3" s="1"/>
  <c r="S2" i="3"/>
  <c r="T2" i="3" s="1"/>
  <c r="Q2" i="3"/>
  <c r="S51" i="3"/>
  <c r="T51" i="3" s="1"/>
  <c r="S19" i="3"/>
  <c r="T19" i="3" s="1"/>
  <c r="Q19" i="3"/>
  <c r="S184" i="3"/>
  <c r="T184" i="3" s="1"/>
  <c r="S190" i="3"/>
  <c r="T190" i="3" s="1"/>
  <c r="S207" i="3"/>
  <c r="T207" i="3" s="1"/>
  <c r="S208" i="3"/>
  <c r="T208" i="3" s="1"/>
  <c r="S193" i="3"/>
  <c r="T193" i="3" s="1"/>
  <c r="S173" i="3"/>
  <c r="T173" i="3" s="1"/>
  <c r="S183" i="3"/>
  <c r="T183" i="3" s="1"/>
  <c r="S171" i="3"/>
  <c r="T171" i="3" s="1"/>
  <c r="S185" i="3"/>
  <c r="T185" i="3" s="1"/>
  <c r="S168" i="3"/>
  <c r="T168" i="3" s="1"/>
  <c r="S204" i="3"/>
  <c r="T204" i="3" s="1"/>
  <c r="S209" i="3"/>
  <c r="T209" i="3" s="1"/>
  <c r="S180" i="3"/>
  <c r="T180" i="3" s="1"/>
  <c r="S199" i="3"/>
  <c r="T199" i="3" s="1"/>
  <c r="S210" i="3"/>
  <c r="T210" i="3" s="1"/>
  <c r="S211" i="3"/>
  <c r="T211" i="3" s="1"/>
  <c r="S215" i="3"/>
  <c r="T215" i="3" s="1"/>
  <c r="S160" i="3"/>
  <c r="T160" i="3" s="1"/>
  <c r="S174" i="3"/>
  <c r="T174" i="3" s="1"/>
  <c r="S201" i="3"/>
  <c r="T201" i="3" s="1"/>
  <c r="S186" i="3"/>
  <c r="T186" i="3" s="1"/>
  <c r="S195" i="3"/>
  <c r="T195" i="3" s="1"/>
  <c r="S202" i="3"/>
  <c r="T202" i="3" s="1"/>
  <c r="S172" i="3"/>
  <c r="T172" i="3" s="1"/>
  <c r="S200" i="3"/>
  <c r="T200" i="3" s="1"/>
  <c r="S206" i="3"/>
  <c r="T206" i="3" s="1"/>
  <c r="S203" i="3"/>
  <c r="T203" i="3" s="1"/>
  <c r="S205" i="3"/>
  <c r="T205" i="3" s="1"/>
  <c r="S197" i="3"/>
  <c r="T197" i="3" s="1"/>
  <c r="S169" i="3"/>
  <c r="T169" i="3" s="1"/>
  <c r="S161" i="3"/>
  <c r="T161" i="3" s="1"/>
  <c r="S217" i="3"/>
  <c r="T217" i="3" s="1"/>
  <c r="S198" i="3"/>
  <c r="T198" i="3" s="1"/>
  <c r="S162" i="3"/>
  <c r="T162" i="3" s="1"/>
  <c r="S225" i="3"/>
  <c r="T225" i="3" s="1"/>
  <c r="S220" i="3"/>
  <c r="T220" i="3" s="1"/>
  <c r="S219" i="3"/>
  <c r="T219" i="3" s="1"/>
  <c r="S192" i="3"/>
  <c r="T192" i="3" s="1"/>
  <c r="S212" i="3"/>
  <c r="T212" i="3" s="1"/>
  <c r="S196" i="3"/>
  <c r="T196" i="3" s="1"/>
  <c r="S188" i="3"/>
  <c r="T188" i="3" s="1"/>
  <c r="S213" i="3"/>
  <c r="T213" i="3" s="1"/>
  <c r="S214" i="3"/>
  <c r="T214" i="3" s="1"/>
  <c r="S122" i="3"/>
  <c r="T122" i="3" s="1"/>
  <c r="S163" i="3"/>
  <c r="T163" i="3"/>
  <c r="S117" i="3"/>
  <c r="T117" i="3" s="1"/>
  <c r="S113" i="3"/>
  <c r="T113" i="3" s="1"/>
  <c r="S221" i="3"/>
  <c r="T221" i="3" s="1"/>
  <c r="S218" i="3"/>
  <c r="T218" i="3" s="1"/>
  <c r="S181" i="3"/>
  <c r="T181" i="3" s="1"/>
  <c r="S182" i="3"/>
  <c r="T182" i="3"/>
  <c r="S223" i="3"/>
  <c r="T223" i="3" s="1"/>
  <c r="S222" i="3"/>
  <c r="T222" i="3" s="1"/>
  <c r="S224" i="3"/>
  <c r="T224" i="3" s="1"/>
  <c r="S216" i="3"/>
  <c r="T216" i="3"/>
  <c r="S191" i="3"/>
  <c r="T191" i="3" s="1"/>
  <c r="S176" i="3"/>
  <c r="T176" i="3" s="1"/>
  <c r="S177" i="3"/>
  <c r="T177" i="3" s="1"/>
  <c r="S141" i="3"/>
  <c r="T141" i="3" s="1"/>
  <c r="S166" i="3"/>
  <c r="T166" i="3" s="1"/>
  <c r="S167" i="3"/>
  <c r="T167" i="3" s="1"/>
  <c r="S151" i="3"/>
  <c r="T151" i="3" s="1"/>
  <c r="S145" i="3"/>
  <c r="T145" i="3" s="1"/>
  <c r="S136" i="3"/>
  <c r="T136" i="3" s="1"/>
  <c r="S159" i="3"/>
  <c r="T159" i="3" s="1"/>
  <c r="S178" i="3"/>
  <c r="T178" i="3" s="1"/>
  <c r="S179" i="3"/>
  <c r="T179" i="3" s="1"/>
  <c r="S119" i="3"/>
  <c r="T119" i="3" s="1"/>
  <c r="S120" i="3"/>
  <c r="T120" i="3" s="1"/>
  <c r="S135" i="3"/>
  <c r="T135" i="3" s="1"/>
  <c r="S116" i="3"/>
  <c r="T116" i="3" s="1"/>
  <c r="S144" i="3"/>
  <c r="T144" i="3" s="1"/>
  <c r="S146" i="3"/>
  <c r="T146" i="3" s="1"/>
  <c r="S143" i="3"/>
  <c r="T143" i="3" s="1"/>
  <c r="S138" i="3"/>
  <c r="T138" i="3" s="1"/>
  <c r="S155" i="3"/>
  <c r="T155" i="3" s="1"/>
  <c r="S156" i="3"/>
  <c r="T156" i="3" s="1"/>
  <c r="S140" i="3"/>
  <c r="T140" i="3" s="1"/>
  <c r="S158" i="3"/>
  <c r="T158" i="3" s="1"/>
  <c r="S152" i="3"/>
  <c r="T152" i="3" s="1"/>
  <c r="S165" i="3"/>
  <c r="T165" i="3"/>
  <c r="S164" i="3"/>
  <c r="T164" i="3" s="1"/>
  <c r="S149" i="3"/>
  <c r="T149" i="3" s="1"/>
  <c r="S147" i="3"/>
  <c r="T147" i="3" s="1"/>
  <c r="S137" i="3"/>
  <c r="T137" i="3" s="1"/>
  <c r="S154" i="3"/>
  <c r="T154" i="3" s="1"/>
  <c r="S157" i="3"/>
  <c r="T157" i="3" s="1"/>
  <c r="S153" i="3"/>
  <c r="T153" i="3" s="1"/>
  <c r="S150" i="3"/>
  <c r="T150" i="3" s="1"/>
  <c r="S148" i="3"/>
  <c r="T148" i="3" s="1"/>
  <c r="S142" i="3"/>
  <c r="T142" i="3" s="1"/>
  <c r="S139" i="3"/>
  <c r="T139" i="3" s="1"/>
  <c r="T112" i="3"/>
  <c r="T103" i="3"/>
  <c r="T100" i="3"/>
  <c r="T95" i="3"/>
  <c r="T94" i="3"/>
  <c r="T90" i="3"/>
  <c r="T87" i="3"/>
  <c r="T77" i="3"/>
  <c r="T74" i="3"/>
  <c r="T63" i="3"/>
  <c r="T57" i="3"/>
  <c r="T55" i="3"/>
  <c r="T52" i="3"/>
  <c r="T49" i="3"/>
  <c r="T48" i="3"/>
  <c r="T37" i="3"/>
  <c r="T35" i="3"/>
  <c r="T33" i="3"/>
  <c r="T32" i="3"/>
  <c r="T31" i="3"/>
  <c r="T27" i="3"/>
  <c r="T25" i="3"/>
  <c r="T21" i="3"/>
  <c r="T14" i="3"/>
  <c r="T10" i="3"/>
  <c r="T7" i="3"/>
  <c r="Q3" i="3"/>
  <c r="Q6" i="3"/>
  <c r="Q5" i="3"/>
  <c r="Q9" i="3"/>
  <c r="Q8" i="3"/>
  <c r="Q12" i="3"/>
  <c r="Q11" i="3"/>
  <c r="Q17" i="3"/>
  <c r="Q20" i="3"/>
  <c r="Q44" i="3"/>
  <c r="Q51" i="3"/>
  <c r="Q101" i="3"/>
  <c r="Q102" i="3"/>
  <c r="Q104" i="3"/>
  <c r="Q106" i="3"/>
  <c r="Q107" i="3"/>
  <c r="Q108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P165" i="4"/>
  <c r="P154" i="4"/>
  <c r="P200" i="4"/>
  <c r="P205" i="4"/>
  <c r="P158" i="4"/>
  <c r="P242" i="4"/>
  <c r="P164" i="4"/>
  <c r="P149" i="4"/>
  <c r="P148" i="4"/>
  <c r="P153" i="4"/>
  <c r="O153" i="4"/>
  <c r="P151" i="4"/>
  <c r="P150" i="4"/>
  <c r="P219" i="4"/>
  <c r="P163" i="4"/>
  <c r="P161" i="4"/>
  <c r="P172" i="4"/>
  <c r="P169" i="4"/>
  <c r="P174" i="4"/>
  <c r="P179" i="4"/>
  <c r="P177" i="4"/>
  <c r="P191" i="4"/>
  <c r="P238" i="4"/>
  <c r="P240" i="4"/>
  <c r="P204" i="4"/>
  <c r="P214" i="4"/>
  <c r="P254" i="4"/>
  <c r="P257" i="4"/>
  <c r="P224" i="4"/>
  <c r="P253" i="4"/>
  <c r="P223" i="4"/>
  <c r="P245" i="4"/>
  <c r="P260" i="4"/>
  <c r="P258" i="4"/>
  <c r="P226" i="4"/>
  <c r="P247" i="4"/>
  <c r="P225" i="4"/>
  <c r="P248" i="4"/>
  <c r="P222" i="4"/>
  <c r="P259" i="4"/>
  <c r="P243" i="4"/>
  <c r="P232" i="4"/>
  <c r="P221" i="4"/>
  <c r="P220" i="4"/>
  <c r="P244" i="4"/>
  <c r="P229" i="4"/>
  <c r="P234" i="4"/>
  <c r="P241" i="4"/>
  <c r="P233" i="4"/>
  <c r="P218" i="4"/>
  <c r="P239" i="4"/>
  <c r="P236" i="4"/>
  <c r="P203" i="4"/>
  <c r="P215" i="4"/>
  <c r="P235" i="4"/>
  <c r="P217" i="4"/>
  <c r="P231" i="4"/>
  <c r="P212" i="4"/>
  <c r="P230" i="4"/>
  <c r="P209" i="4"/>
  <c r="P256" i="4"/>
  <c r="P228" i="4"/>
  <c r="P207" i="4"/>
  <c r="P213" i="4"/>
  <c r="P211" i="4"/>
  <c r="P197" i="4"/>
  <c r="P193" i="4"/>
  <c r="P208" i="4"/>
  <c r="P201" i="4"/>
  <c r="O201" i="4"/>
  <c r="P202" i="4"/>
  <c r="P210" i="4"/>
  <c r="P192" i="4"/>
  <c r="P190" i="4"/>
  <c r="P196" i="4"/>
  <c r="P198" i="4"/>
  <c r="P199" i="4"/>
  <c r="P178" i="4"/>
  <c r="P180" i="4"/>
  <c r="P181" i="4"/>
  <c r="P189" i="4"/>
  <c r="P188" i="4"/>
  <c r="P183" i="4"/>
  <c r="P187" i="4"/>
  <c r="P182" i="4"/>
  <c r="P186" i="4"/>
  <c r="P185" i="4"/>
  <c r="P176" i="4"/>
  <c r="P170" i="4"/>
  <c r="P171" i="4"/>
  <c r="P175" i="4"/>
  <c r="P168" i="4"/>
  <c r="P166" i="4"/>
  <c r="P156" i="4"/>
  <c r="P167" i="4"/>
  <c r="P155" i="4"/>
  <c r="P159" i="4"/>
  <c r="P160" i="4"/>
  <c r="P157" i="4"/>
  <c r="T767" i="3"/>
  <c r="T766" i="3"/>
  <c r="T765" i="3"/>
  <c r="T764" i="3"/>
  <c r="T763" i="3"/>
  <c r="T762" i="3"/>
  <c r="T761" i="3"/>
  <c r="T760" i="3"/>
  <c r="T759" i="3"/>
  <c r="T758" i="3"/>
  <c r="T757" i="3"/>
  <c r="T756" i="3"/>
  <c r="T755" i="3"/>
  <c r="T754" i="3"/>
  <c r="T753" i="3"/>
  <c r="T752" i="3"/>
  <c r="T751" i="3"/>
  <c r="T750" i="3"/>
  <c r="T749" i="3"/>
  <c r="T748" i="3"/>
  <c r="T747" i="3"/>
  <c r="T746" i="3"/>
  <c r="T745" i="3"/>
  <c r="T744" i="3"/>
  <c r="T743" i="3"/>
  <c r="T742" i="3"/>
  <c r="T741" i="3"/>
  <c r="T740" i="3"/>
  <c r="T739" i="3"/>
  <c r="T738" i="3"/>
  <c r="T737" i="3"/>
  <c r="T736" i="3"/>
  <c r="T735" i="3"/>
  <c r="T734" i="3"/>
  <c r="T733" i="3"/>
  <c r="T732" i="3"/>
  <c r="T731" i="3"/>
  <c r="T730" i="3"/>
  <c r="T729" i="3"/>
  <c r="T728" i="3"/>
  <c r="T727" i="3"/>
  <c r="T726" i="3"/>
  <c r="T725" i="3"/>
  <c r="T724" i="3"/>
  <c r="T723" i="3"/>
  <c r="T722" i="3"/>
  <c r="T721" i="3"/>
  <c r="T720" i="3"/>
  <c r="T719" i="3"/>
  <c r="T718" i="3"/>
  <c r="T717" i="3"/>
  <c r="S716" i="3"/>
  <c r="T716" i="3" s="1"/>
  <c r="T715" i="3"/>
  <c r="S714" i="3"/>
  <c r="T714" i="3" s="1"/>
  <c r="S713" i="3"/>
  <c r="T713" i="3" s="1"/>
  <c r="T712" i="3"/>
  <c r="T711" i="3"/>
  <c r="T710" i="3"/>
  <c r="T709" i="3"/>
  <c r="T708" i="3"/>
  <c r="T707" i="3"/>
  <c r="T706" i="3"/>
  <c r="T705" i="3"/>
  <c r="T704" i="3"/>
  <c r="T703" i="3"/>
  <c r="T702" i="3"/>
  <c r="T701" i="3"/>
  <c r="T700" i="3"/>
  <c r="T699" i="3"/>
  <c r="T698" i="3"/>
  <c r="T697" i="3"/>
  <c r="T696" i="3"/>
  <c r="T695" i="3"/>
  <c r="T694" i="3"/>
  <c r="T693" i="3"/>
  <c r="S692" i="3"/>
  <c r="T692" i="3" s="1"/>
  <c r="S691" i="3"/>
  <c r="T691" i="3" s="1"/>
  <c r="T690" i="3"/>
  <c r="T689" i="3"/>
  <c r="T688" i="3"/>
  <c r="T687" i="3"/>
  <c r="T686" i="3"/>
  <c r="T685" i="3"/>
  <c r="T684" i="3"/>
  <c r="T683" i="3"/>
  <c r="T682" i="3"/>
  <c r="T681" i="3"/>
  <c r="T680" i="3"/>
  <c r="T679" i="3"/>
  <c r="T678" i="3"/>
  <c r="T677" i="3"/>
  <c r="T676" i="3"/>
  <c r="T675" i="3"/>
  <c r="T674" i="3"/>
  <c r="S673" i="3"/>
  <c r="T673" i="3" s="1"/>
  <c r="S672" i="3"/>
  <c r="T672" i="3" s="1"/>
  <c r="S671" i="3"/>
  <c r="T671" i="3" s="1"/>
  <c r="S670" i="3"/>
  <c r="T670" i="3" s="1"/>
  <c r="S669" i="3"/>
  <c r="T669" i="3" s="1"/>
  <c r="S668" i="3"/>
  <c r="T668" i="3" s="1"/>
  <c r="T667" i="3"/>
  <c r="T666" i="3"/>
  <c r="T665" i="3"/>
  <c r="T664" i="3"/>
  <c r="T663" i="3"/>
  <c r="T662" i="3"/>
  <c r="T661" i="3"/>
  <c r="T660" i="3"/>
  <c r="T659" i="3"/>
  <c r="T658" i="3"/>
  <c r="T657" i="3"/>
  <c r="T656" i="3"/>
  <c r="T655" i="3"/>
  <c r="T654" i="3"/>
  <c r="T653" i="3"/>
  <c r="T652" i="3"/>
  <c r="T651" i="3"/>
  <c r="T650" i="3"/>
  <c r="S649" i="3"/>
  <c r="T649" i="3" s="1"/>
  <c r="T648" i="3"/>
  <c r="S647" i="3"/>
  <c r="T647" i="3" s="1"/>
  <c r="T646" i="3"/>
  <c r="S645" i="3"/>
  <c r="T645" i="3" s="1"/>
  <c r="T644" i="3"/>
  <c r="T643" i="3"/>
  <c r="T642" i="3"/>
  <c r="T641" i="3"/>
  <c r="T640" i="3"/>
  <c r="T639" i="3"/>
  <c r="T638" i="3"/>
  <c r="T637" i="3"/>
  <c r="T636" i="3"/>
  <c r="T635" i="3"/>
  <c r="T634" i="3"/>
  <c r="T633" i="3"/>
  <c r="T632" i="3"/>
  <c r="T631" i="3"/>
  <c r="T630" i="3"/>
  <c r="S629" i="3"/>
  <c r="T629" i="3" s="1"/>
  <c r="T628" i="3"/>
  <c r="T627" i="3"/>
  <c r="S626" i="3"/>
  <c r="T626" i="3" s="1"/>
  <c r="S625" i="3"/>
  <c r="T625" i="3" s="1"/>
  <c r="S624" i="3"/>
  <c r="T624" i="3" s="1"/>
  <c r="S623" i="3"/>
  <c r="T623" i="3" s="1"/>
  <c r="T622" i="3"/>
  <c r="T621" i="3"/>
  <c r="T620" i="3"/>
  <c r="T619" i="3"/>
  <c r="T618" i="3"/>
  <c r="T617" i="3"/>
  <c r="T616" i="3"/>
  <c r="T615" i="3"/>
  <c r="T614" i="3"/>
  <c r="T613" i="3"/>
  <c r="T612" i="3"/>
  <c r="T611" i="3"/>
  <c r="T610" i="3"/>
  <c r="T609" i="3"/>
  <c r="T608" i="3"/>
  <c r="T607" i="3"/>
  <c r="T606" i="3"/>
  <c r="T605" i="3"/>
  <c r="T604" i="3"/>
  <c r="T603" i="3"/>
  <c r="S602" i="3"/>
  <c r="T602" i="3" s="1"/>
  <c r="T601" i="3"/>
  <c r="T600" i="3"/>
  <c r="T599" i="3"/>
  <c r="T598" i="3"/>
  <c r="T597" i="3"/>
  <c r="T596" i="3"/>
  <c r="T595" i="3"/>
  <c r="T594" i="3"/>
  <c r="T593" i="3"/>
  <c r="T592" i="3"/>
  <c r="T591" i="3"/>
  <c r="T590" i="3"/>
  <c r="T589" i="3"/>
  <c r="T588" i="3"/>
  <c r="T587" i="3"/>
  <c r="S586" i="3"/>
  <c r="T586" i="3" s="1"/>
  <c r="T585" i="3"/>
  <c r="T584" i="3"/>
  <c r="S583" i="3"/>
  <c r="T583" i="3" s="1"/>
  <c r="S582" i="3"/>
  <c r="T582" i="3" s="1"/>
  <c r="S581" i="3"/>
  <c r="T581" i="3" s="1"/>
  <c r="S580" i="3"/>
  <c r="T580" i="3" s="1"/>
  <c r="S579" i="3"/>
  <c r="T579" i="3" s="1"/>
  <c r="S578" i="3"/>
  <c r="T578" i="3" s="1"/>
  <c r="S577" i="3"/>
  <c r="T577" i="3" s="1"/>
  <c r="T576" i="3"/>
  <c r="S575" i="3"/>
  <c r="T575" i="3" s="1"/>
  <c r="S574" i="3"/>
  <c r="T574" i="3" s="1"/>
  <c r="S573" i="3"/>
  <c r="T573" i="3" s="1"/>
  <c r="S572" i="3"/>
  <c r="T572" i="3" s="1"/>
  <c r="S571" i="3"/>
  <c r="T571" i="3" s="1"/>
  <c r="S570" i="3"/>
  <c r="T570" i="3" s="1"/>
  <c r="S569" i="3"/>
  <c r="T569" i="3" s="1"/>
  <c r="S568" i="3"/>
  <c r="T568" i="3" s="1"/>
  <c r="T566" i="3"/>
  <c r="S565" i="3"/>
  <c r="T565" i="3" s="1"/>
  <c r="S564" i="3"/>
  <c r="T564" i="3" s="1"/>
  <c r="T563" i="3"/>
  <c r="S562" i="3"/>
  <c r="T562" i="3" s="1"/>
  <c r="S561" i="3"/>
  <c r="T561" i="3" s="1"/>
  <c r="T560" i="3"/>
  <c r="T559" i="3"/>
  <c r="T558" i="3"/>
  <c r="S557" i="3"/>
  <c r="T557" i="3" s="1"/>
  <c r="T556" i="3"/>
  <c r="T555" i="3"/>
  <c r="S554" i="3"/>
  <c r="T554" i="3" s="1"/>
  <c r="S553" i="3"/>
  <c r="T553" i="3" s="1"/>
  <c r="S552" i="3"/>
  <c r="T552" i="3" s="1"/>
  <c r="S551" i="3"/>
  <c r="T551" i="3" s="1"/>
  <c r="S550" i="3"/>
  <c r="T550" i="3" s="1"/>
  <c r="S549" i="3"/>
  <c r="T549" i="3" s="1"/>
  <c r="S548" i="3"/>
  <c r="T548" i="3" s="1"/>
  <c r="S547" i="3"/>
  <c r="T547" i="3" s="1"/>
  <c r="S546" i="3"/>
  <c r="T546" i="3" s="1"/>
  <c r="T545" i="3"/>
  <c r="S544" i="3"/>
  <c r="T544" i="3" s="1"/>
  <c r="S543" i="3"/>
  <c r="T543" i="3" s="1"/>
  <c r="T542" i="3"/>
  <c r="T541" i="3"/>
  <c r="S540" i="3"/>
  <c r="T540" i="3" s="1"/>
  <c r="S539" i="3"/>
  <c r="T539" i="3" s="1"/>
  <c r="S538" i="3"/>
  <c r="T538" i="3" s="1"/>
  <c r="S537" i="3"/>
  <c r="T537" i="3" s="1"/>
  <c r="S536" i="3"/>
  <c r="T536" i="3" s="1"/>
  <c r="S535" i="3"/>
  <c r="T535" i="3" s="1"/>
  <c r="S534" i="3"/>
  <c r="T534" i="3" s="1"/>
  <c r="S533" i="3"/>
  <c r="T533" i="3" s="1"/>
  <c r="S532" i="3"/>
  <c r="T532" i="3" s="1"/>
  <c r="S531" i="3"/>
  <c r="T531" i="3"/>
  <c r="S530" i="3"/>
  <c r="T530" i="3" s="1"/>
  <c r="T529" i="3"/>
  <c r="T528" i="3"/>
  <c r="S527" i="3"/>
  <c r="T527" i="3" s="1"/>
  <c r="S526" i="3"/>
  <c r="T526" i="3" s="1"/>
  <c r="S525" i="3"/>
  <c r="T525" i="3" s="1"/>
  <c r="T524" i="3"/>
  <c r="S523" i="3"/>
  <c r="T523" i="3" s="1"/>
  <c r="T522" i="3"/>
  <c r="S521" i="3"/>
  <c r="T521" i="3" s="1"/>
  <c r="T520" i="3"/>
  <c r="S519" i="3"/>
  <c r="T519" i="3" s="1"/>
  <c r="S518" i="3"/>
  <c r="T518" i="3" s="1"/>
  <c r="S517" i="3"/>
  <c r="T517" i="3" s="1"/>
  <c r="S516" i="3"/>
  <c r="T516" i="3" s="1"/>
  <c r="S515" i="3"/>
  <c r="T515" i="3" s="1"/>
  <c r="T514" i="3"/>
  <c r="S513" i="3"/>
  <c r="T513" i="3" s="1"/>
  <c r="S512" i="3"/>
  <c r="T512" i="3" s="1"/>
  <c r="S511" i="3"/>
  <c r="T511" i="3" s="1"/>
  <c r="S510" i="3"/>
  <c r="T510" i="3" s="1"/>
  <c r="S509" i="3"/>
  <c r="T509" i="3" s="1"/>
  <c r="S508" i="3"/>
  <c r="T508" i="3" s="1"/>
  <c r="S507" i="3"/>
  <c r="T507" i="3" s="1"/>
  <c r="S506" i="3"/>
  <c r="T506" i="3" s="1"/>
  <c r="S505" i="3"/>
  <c r="T505" i="3" s="1"/>
  <c r="S504" i="3"/>
  <c r="T504" i="3" s="1"/>
  <c r="S503" i="3"/>
  <c r="T503" i="3" s="1"/>
  <c r="S502" i="3"/>
  <c r="T502" i="3" s="1"/>
  <c r="S501" i="3"/>
  <c r="T501" i="3" s="1"/>
  <c r="S500" i="3"/>
  <c r="T500" i="3" s="1"/>
  <c r="T499" i="3"/>
  <c r="S498" i="3"/>
  <c r="T498" i="3" s="1"/>
  <c r="S497" i="3"/>
  <c r="T497" i="3" s="1"/>
  <c r="S496" i="3"/>
  <c r="T496" i="3" s="1"/>
  <c r="S495" i="3"/>
  <c r="T495" i="3" s="1"/>
  <c r="S494" i="3"/>
  <c r="T494" i="3" s="1"/>
  <c r="S493" i="3"/>
  <c r="T493" i="3" s="1"/>
  <c r="S492" i="3"/>
  <c r="T492" i="3" s="1"/>
  <c r="T491" i="3"/>
  <c r="S490" i="3"/>
  <c r="T490" i="3" s="1"/>
  <c r="S489" i="3"/>
  <c r="T489" i="3" s="1"/>
  <c r="S488" i="3"/>
  <c r="T488" i="3" s="1"/>
  <c r="S487" i="3"/>
  <c r="T487" i="3"/>
  <c r="S486" i="3"/>
  <c r="T486" i="3" s="1"/>
  <c r="S485" i="3"/>
  <c r="T485" i="3" s="1"/>
  <c r="S484" i="3"/>
  <c r="T484" i="3" s="1"/>
  <c r="S483" i="3"/>
  <c r="T483" i="3" s="1"/>
  <c r="S482" i="3"/>
  <c r="T482" i="3" s="1"/>
  <c r="S481" i="3"/>
  <c r="T481" i="3" s="1"/>
  <c r="T480" i="3"/>
  <c r="T479" i="3"/>
  <c r="T478" i="3"/>
  <c r="S477" i="3"/>
  <c r="T477" i="3" s="1"/>
  <c r="S476" i="3"/>
  <c r="T476" i="3" s="1"/>
  <c r="S475" i="3"/>
  <c r="T475" i="3" s="1"/>
  <c r="S474" i="3"/>
  <c r="T474" i="3" s="1"/>
  <c r="S473" i="3"/>
  <c r="T473" i="3" s="1"/>
  <c r="S472" i="3"/>
  <c r="T472" i="3" s="1"/>
  <c r="T471" i="3"/>
  <c r="T470" i="3"/>
  <c r="S469" i="3"/>
  <c r="T469" i="3" s="1"/>
  <c r="T468" i="3"/>
  <c r="T467" i="3"/>
  <c r="S466" i="3"/>
  <c r="T466" i="3" s="1"/>
  <c r="S465" i="3"/>
  <c r="T465" i="3" s="1"/>
  <c r="S464" i="3"/>
  <c r="T464" i="3" s="1"/>
  <c r="S463" i="3"/>
  <c r="T463" i="3" s="1"/>
  <c r="T462" i="3"/>
  <c r="T461" i="3"/>
  <c r="S460" i="3"/>
  <c r="T460" i="3" s="1"/>
  <c r="T459" i="3"/>
  <c r="T458" i="3"/>
  <c r="S457" i="3"/>
  <c r="T457" i="3" s="1"/>
  <c r="T456" i="3"/>
  <c r="T455" i="3"/>
  <c r="S454" i="3"/>
  <c r="T454" i="3" s="1"/>
  <c r="S453" i="3"/>
  <c r="T453" i="3" s="1"/>
  <c r="S452" i="3"/>
  <c r="T452" i="3" s="1"/>
  <c r="T451" i="3"/>
  <c r="S450" i="3"/>
  <c r="T450" i="3" s="1"/>
  <c r="T449" i="3"/>
  <c r="T448" i="3"/>
  <c r="S447" i="3"/>
  <c r="T447" i="3" s="1"/>
  <c r="T446" i="3"/>
  <c r="S445" i="3"/>
  <c r="T445" i="3" s="1"/>
  <c r="T444" i="3"/>
  <c r="S443" i="3"/>
  <c r="T443" i="3" s="1"/>
  <c r="T442" i="3"/>
  <c r="S441" i="3"/>
  <c r="T441" i="3" s="1"/>
  <c r="T440" i="3"/>
  <c r="S439" i="3"/>
  <c r="T439" i="3" s="1"/>
  <c r="S438" i="3"/>
  <c r="T438" i="3" s="1"/>
  <c r="S437" i="3"/>
  <c r="T437" i="3" s="1"/>
  <c r="T436" i="3"/>
  <c r="T435" i="3"/>
  <c r="T434" i="3"/>
  <c r="T433" i="3"/>
  <c r="S432" i="3"/>
  <c r="T432" i="3" s="1"/>
  <c r="T431" i="3"/>
  <c r="T430" i="3"/>
  <c r="S429" i="3"/>
  <c r="T429" i="3" s="1"/>
  <c r="T428" i="3"/>
  <c r="S427" i="3"/>
  <c r="T427" i="3" s="1"/>
  <c r="T426" i="3"/>
  <c r="S425" i="3"/>
  <c r="T425" i="3" s="1"/>
  <c r="T424" i="3"/>
  <c r="S423" i="3"/>
  <c r="T423" i="3" s="1"/>
  <c r="S422" i="3"/>
  <c r="T422" i="3" s="1"/>
  <c r="S421" i="3"/>
  <c r="T421" i="3" s="1"/>
  <c r="T420" i="3"/>
  <c r="T419" i="3"/>
  <c r="T418" i="3"/>
  <c r="T417" i="3"/>
  <c r="T416" i="3"/>
  <c r="T415" i="3"/>
  <c r="T414" i="3"/>
  <c r="T413" i="3"/>
  <c r="T412" i="3"/>
  <c r="T411" i="3"/>
  <c r="T410" i="3"/>
  <c r="T409" i="3"/>
  <c r="T408" i="3"/>
  <c r="T407" i="3"/>
  <c r="T406" i="3"/>
  <c r="T405" i="3"/>
  <c r="T404" i="3"/>
  <c r="T403" i="3"/>
  <c r="T402" i="3"/>
  <c r="T401" i="3"/>
  <c r="S400" i="3"/>
  <c r="T400" i="3" s="1"/>
  <c r="S399" i="3"/>
  <c r="T399" i="3" s="1"/>
  <c r="T398" i="3"/>
  <c r="S397" i="3"/>
  <c r="T397" i="3" s="1"/>
  <c r="T396" i="3"/>
  <c r="S395" i="3"/>
  <c r="T395" i="3" s="1"/>
  <c r="T394" i="3"/>
  <c r="T393" i="3"/>
  <c r="T392" i="3"/>
  <c r="S391" i="3"/>
  <c r="T391" i="3" s="1"/>
  <c r="T390" i="3"/>
  <c r="T389" i="3"/>
  <c r="T388" i="3"/>
  <c r="S387" i="3"/>
  <c r="T387" i="3" s="1"/>
  <c r="T386" i="3"/>
  <c r="T385" i="3"/>
  <c r="S384" i="3"/>
  <c r="T384" i="3" s="1"/>
  <c r="S383" i="3"/>
  <c r="T383" i="3" s="1"/>
  <c r="S382" i="3"/>
  <c r="T382" i="3" s="1"/>
  <c r="T381" i="3"/>
  <c r="S380" i="3"/>
  <c r="T380" i="3" s="1"/>
  <c r="S379" i="3"/>
  <c r="T379" i="3" s="1"/>
  <c r="T378" i="3"/>
  <c r="S377" i="3"/>
  <c r="T377" i="3" s="1"/>
  <c r="T376" i="3"/>
  <c r="S375" i="3"/>
  <c r="T375" i="3" s="1"/>
  <c r="S374" i="3"/>
  <c r="T374" i="3" s="1"/>
  <c r="S373" i="3"/>
  <c r="T373" i="3" s="1"/>
  <c r="T372" i="3"/>
  <c r="T371" i="3"/>
  <c r="T370" i="3"/>
  <c r="S369" i="3"/>
  <c r="T369" i="3" s="1"/>
  <c r="T368" i="3"/>
  <c r="T367" i="3"/>
  <c r="S366" i="3"/>
  <c r="T366" i="3" s="1"/>
  <c r="T365" i="3"/>
  <c r="T364" i="3"/>
  <c r="T363" i="3"/>
  <c r="S362" i="3"/>
  <c r="T362" i="3" s="1"/>
  <c r="T361" i="3"/>
  <c r="T360" i="3"/>
  <c r="T359" i="3"/>
  <c r="S358" i="3"/>
  <c r="T358" i="3" s="1"/>
  <c r="T357" i="3"/>
  <c r="S356" i="3"/>
  <c r="T356" i="3" s="1"/>
  <c r="T355" i="3"/>
  <c r="S354" i="3"/>
  <c r="T354" i="3" s="1"/>
  <c r="S353" i="3"/>
  <c r="T353" i="3" s="1"/>
  <c r="S352" i="3"/>
  <c r="T352" i="3" s="1"/>
  <c r="S351" i="3"/>
  <c r="T351" i="3" s="1"/>
  <c r="S350" i="3"/>
  <c r="T350" i="3" s="1"/>
  <c r="S349" i="3"/>
  <c r="T349" i="3" s="1"/>
  <c r="S348" i="3"/>
  <c r="T348" i="3" s="1"/>
  <c r="S347" i="3"/>
  <c r="T347" i="3" s="1"/>
  <c r="S346" i="3"/>
  <c r="T346" i="3" s="1"/>
  <c r="S345" i="3"/>
  <c r="T345" i="3" s="1"/>
  <c r="S344" i="3"/>
  <c r="T344" i="3" s="1"/>
  <c r="S343" i="3"/>
  <c r="T343" i="3" s="1"/>
  <c r="S342" i="3"/>
  <c r="T342" i="3" s="1"/>
  <c r="S341" i="3"/>
  <c r="T341" i="3" s="1"/>
  <c r="S340" i="3"/>
  <c r="T340" i="3" s="1"/>
  <c r="S339" i="3"/>
  <c r="T339" i="3" s="1"/>
  <c r="S338" i="3"/>
  <c r="T338" i="3" s="1"/>
  <c r="S337" i="3"/>
  <c r="T337" i="3" s="1"/>
  <c r="S336" i="3"/>
  <c r="T336" i="3" s="1"/>
  <c r="S335" i="3"/>
  <c r="T335" i="3" s="1"/>
  <c r="S334" i="3"/>
  <c r="T334" i="3" s="1"/>
  <c r="S333" i="3"/>
  <c r="T333" i="3" s="1"/>
  <c r="S332" i="3"/>
  <c r="T332" i="3" s="1"/>
  <c r="S331" i="3"/>
  <c r="T331" i="3" s="1"/>
  <c r="S330" i="3"/>
  <c r="T330" i="3" s="1"/>
  <c r="S329" i="3"/>
  <c r="T329" i="3" s="1"/>
  <c r="S328" i="3"/>
  <c r="T328" i="3" s="1"/>
  <c r="S327" i="3"/>
  <c r="T327" i="3" s="1"/>
  <c r="S326" i="3"/>
  <c r="T326" i="3" s="1"/>
  <c r="S325" i="3"/>
  <c r="T325" i="3" s="1"/>
  <c r="S324" i="3"/>
  <c r="T324" i="3" s="1"/>
  <c r="S323" i="3"/>
  <c r="T323" i="3" s="1"/>
  <c r="S322" i="3"/>
  <c r="T322" i="3" s="1"/>
  <c r="S321" i="3"/>
  <c r="T321" i="3" s="1"/>
  <c r="S320" i="3"/>
  <c r="T320" i="3" s="1"/>
  <c r="S319" i="3"/>
  <c r="T319" i="3" s="1"/>
  <c r="S318" i="3"/>
  <c r="T318" i="3" s="1"/>
  <c r="S317" i="3"/>
  <c r="T317" i="3" s="1"/>
  <c r="S316" i="3"/>
  <c r="T316" i="3" s="1"/>
  <c r="S315" i="3"/>
  <c r="T315" i="3" s="1"/>
  <c r="S314" i="3"/>
  <c r="T314" i="3" s="1"/>
  <c r="S313" i="3"/>
  <c r="T313" i="3" s="1"/>
  <c r="S312" i="3"/>
  <c r="T312" i="3" s="1"/>
  <c r="S311" i="3"/>
  <c r="T311" i="3" s="1"/>
  <c r="S310" i="3"/>
  <c r="T310" i="3" s="1"/>
  <c r="S309" i="3"/>
  <c r="T309" i="3" s="1"/>
  <c r="S308" i="3"/>
  <c r="T308" i="3" s="1"/>
  <c r="S307" i="3"/>
  <c r="T307" i="3" s="1"/>
  <c r="S306" i="3"/>
  <c r="T306" i="3" s="1"/>
  <c r="S305" i="3"/>
  <c r="T305" i="3" s="1"/>
  <c r="S304" i="3"/>
  <c r="T304" i="3" s="1"/>
  <c r="S303" i="3"/>
  <c r="T303" i="3" s="1"/>
  <c r="S302" i="3"/>
  <c r="T302" i="3" s="1"/>
  <c r="S301" i="3"/>
  <c r="T301" i="3" s="1"/>
  <c r="S300" i="3"/>
  <c r="T300" i="3" s="1"/>
  <c r="S299" i="3"/>
  <c r="T299" i="3" s="1"/>
  <c r="S298" i="3"/>
  <c r="T298" i="3" s="1"/>
  <c r="S297" i="3"/>
  <c r="T297" i="3" s="1"/>
  <c r="S296" i="3"/>
  <c r="T296" i="3" s="1"/>
  <c r="S295" i="3"/>
  <c r="T295" i="3" s="1"/>
  <c r="S294" i="3"/>
  <c r="T294" i="3" s="1"/>
  <c r="S293" i="3"/>
  <c r="T293" i="3" s="1"/>
  <c r="S292" i="3"/>
  <c r="T292" i="3" s="1"/>
  <c r="S291" i="3"/>
  <c r="T291" i="3" s="1"/>
  <c r="S290" i="3"/>
  <c r="T290" i="3" s="1"/>
  <c r="S289" i="3"/>
  <c r="T289" i="3" s="1"/>
  <c r="S288" i="3"/>
  <c r="T288" i="3" s="1"/>
  <c r="S287" i="3"/>
  <c r="T287" i="3" s="1"/>
  <c r="S286" i="3"/>
  <c r="T286" i="3" s="1"/>
  <c r="S285" i="3"/>
  <c r="T285" i="3" s="1"/>
  <c r="S284" i="3"/>
  <c r="T284" i="3" s="1"/>
  <c r="S283" i="3"/>
  <c r="T283" i="3" s="1"/>
  <c r="S282" i="3"/>
  <c r="T282" i="3" s="1"/>
  <c r="S281" i="3"/>
  <c r="T281" i="3"/>
  <c r="S280" i="3"/>
  <c r="T280" i="3" s="1"/>
  <c r="S279" i="3"/>
  <c r="T279" i="3" s="1"/>
  <c r="S278" i="3"/>
  <c r="T278" i="3" s="1"/>
  <c r="S277" i="3"/>
  <c r="T277" i="3" s="1"/>
  <c r="S276" i="3"/>
  <c r="T276" i="3" s="1"/>
  <c r="S275" i="3"/>
  <c r="T275" i="3" s="1"/>
  <c r="S274" i="3"/>
  <c r="T274" i="3" s="1"/>
  <c r="S273" i="3"/>
  <c r="T273" i="3" s="1"/>
  <c r="S272" i="3"/>
  <c r="T272" i="3" s="1"/>
  <c r="S271" i="3"/>
  <c r="T271" i="3" s="1"/>
  <c r="S270" i="3"/>
  <c r="T270" i="3" s="1"/>
  <c r="S269" i="3"/>
  <c r="T269" i="3" s="1"/>
  <c r="S268" i="3"/>
  <c r="T268" i="3" s="1"/>
  <c r="S267" i="3"/>
  <c r="T267" i="3"/>
  <c r="S266" i="3"/>
  <c r="T266" i="3" s="1"/>
  <c r="S265" i="3"/>
  <c r="T265" i="3" s="1"/>
  <c r="S264" i="3"/>
  <c r="T264" i="3" s="1"/>
  <c r="S263" i="3"/>
  <c r="T263" i="3" s="1"/>
  <c r="S262" i="3"/>
  <c r="T262" i="3" s="1"/>
  <c r="S261" i="3"/>
  <c r="T261" i="3" s="1"/>
  <c r="S260" i="3"/>
  <c r="T260" i="3" s="1"/>
  <c r="S259" i="3"/>
  <c r="T259" i="3" s="1"/>
  <c r="S258" i="3"/>
  <c r="T258" i="3" s="1"/>
  <c r="S257" i="3"/>
  <c r="T257" i="3" s="1"/>
  <c r="S256" i="3"/>
  <c r="T256" i="3" s="1"/>
  <c r="S255" i="3"/>
  <c r="T255" i="3" s="1"/>
  <c r="S254" i="3"/>
  <c r="T254" i="3" s="1"/>
  <c r="S253" i="3"/>
  <c r="T253" i="3" s="1"/>
  <c r="S252" i="3"/>
  <c r="T252" i="3" s="1"/>
  <c r="S251" i="3"/>
  <c r="T251" i="3" s="1"/>
  <c r="S250" i="3"/>
  <c r="T250" i="3" s="1"/>
  <c r="S249" i="3"/>
  <c r="T249" i="3" s="1"/>
  <c r="S248" i="3"/>
  <c r="T248" i="3" s="1"/>
  <c r="S247" i="3"/>
  <c r="T247" i="3" s="1"/>
  <c r="S246" i="3"/>
  <c r="T246" i="3" s="1"/>
  <c r="S245" i="3"/>
  <c r="T245" i="3" s="1"/>
  <c r="S244" i="3"/>
  <c r="T244" i="3" s="1"/>
  <c r="S243" i="3"/>
  <c r="T243" i="3" s="1"/>
  <c r="S242" i="3"/>
  <c r="T242" i="3" s="1"/>
  <c r="S241" i="3"/>
  <c r="T241" i="3" s="1"/>
  <c r="S240" i="3"/>
  <c r="T240" i="3" s="1"/>
  <c r="S239" i="3"/>
  <c r="T239" i="3" s="1"/>
  <c r="S238" i="3"/>
  <c r="T238" i="3" s="1"/>
  <c r="S237" i="3"/>
  <c r="T237" i="3" s="1"/>
  <c r="S236" i="3"/>
  <c r="T236" i="3" s="1"/>
  <c r="S235" i="3"/>
  <c r="T235" i="3" s="1"/>
  <c r="S234" i="3"/>
  <c r="T234" i="3" s="1"/>
  <c r="S233" i="3"/>
  <c r="T233" i="3" s="1"/>
  <c r="S232" i="3"/>
  <c r="T232" i="3" s="1"/>
  <c r="S231" i="3"/>
  <c r="T231" i="3" s="1"/>
  <c r="S230" i="3"/>
  <c r="T230" i="3" s="1"/>
  <c r="S229" i="3"/>
  <c r="T229" i="3" s="1"/>
  <c r="S228" i="3"/>
  <c r="T228" i="3" s="1"/>
  <c r="S227" i="3"/>
  <c r="T227" i="3" s="1"/>
  <c r="Q767" i="3"/>
  <c r="Q766" i="3"/>
  <c r="Q765" i="3"/>
  <c r="Q764" i="3"/>
  <c r="Q763" i="3"/>
  <c r="Q762" i="3"/>
  <c r="Q761" i="3"/>
  <c r="Q760" i="3"/>
  <c r="Q759" i="3"/>
  <c r="Q758" i="3"/>
  <c r="Q757" i="3"/>
  <c r="Q756" i="3"/>
  <c r="Q755" i="3"/>
  <c r="Q754" i="3"/>
  <c r="Q753" i="3"/>
  <c r="Q752" i="3"/>
  <c r="Q751" i="3"/>
  <c r="Q750" i="3"/>
  <c r="Q749" i="3"/>
  <c r="Q748" i="3"/>
  <c r="Q747" i="3"/>
  <c r="Q746" i="3"/>
  <c r="Q745" i="3"/>
  <c r="Q744" i="3"/>
  <c r="Q743" i="3"/>
  <c r="Q742" i="3"/>
  <c r="Q741" i="3"/>
  <c r="Q740" i="3"/>
  <c r="Q739" i="3"/>
  <c r="Q738" i="3"/>
  <c r="Q737" i="3"/>
  <c r="Q736" i="3"/>
  <c r="Q735" i="3"/>
  <c r="Q734" i="3"/>
  <c r="Q733" i="3"/>
  <c r="Q732" i="3"/>
  <c r="Q731" i="3"/>
  <c r="Q730" i="3"/>
  <c r="Q729" i="3"/>
  <c r="Q728" i="3"/>
  <c r="Q727" i="3"/>
  <c r="Q726" i="3"/>
  <c r="Q725" i="3"/>
  <c r="Q724" i="3"/>
  <c r="Q723" i="3"/>
  <c r="Q722" i="3"/>
  <c r="Q721" i="3"/>
  <c r="Q720" i="3"/>
  <c r="Q719" i="3"/>
  <c r="Q718" i="3"/>
  <c r="Q717" i="3"/>
  <c r="Q716" i="3"/>
  <c r="Q715" i="3"/>
  <c r="Q714" i="3"/>
  <c r="Q713" i="3"/>
  <c r="Q712" i="3"/>
  <c r="Q711" i="3"/>
  <c r="Q710" i="3"/>
  <c r="Q709" i="3"/>
  <c r="Q708" i="3"/>
  <c r="Q707" i="3"/>
  <c r="Q706" i="3"/>
  <c r="Q705" i="3"/>
  <c r="Q704" i="3"/>
  <c r="Q703" i="3"/>
  <c r="Q702" i="3"/>
  <c r="Q701" i="3"/>
  <c r="Q700" i="3"/>
  <c r="Q699" i="3"/>
  <c r="Q698" i="3"/>
  <c r="Q697" i="3"/>
  <c r="Q696" i="3"/>
  <c r="Q695" i="3"/>
  <c r="Q694" i="3"/>
  <c r="Q693" i="3"/>
  <c r="Q692" i="3"/>
  <c r="Q691" i="3"/>
  <c r="Q690" i="3"/>
  <c r="Q689" i="3"/>
  <c r="Q688" i="3"/>
  <c r="Q687" i="3"/>
  <c r="Q686" i="3"/>
  <c r="Q685" i="3"/>
  <c r="Q684" i="3"/>
  <c r="Q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W173" i="1"/>
  <c r="X173" i="1" s="1"/>
  <c r="W206" i="1"/>
  <c r="X206" i="1" s="1"/>
  <c r="W212" i="1"/>
  <c r="X212" i="1" s="1"/>
  <c r="W214" i="1"/>
  <c r="X214" i="1" s="1"/>
  <c r="W216" i="1"/>
  <c r="X216" i="1" s="1"/>
  <c r="W217" i="1"/>
  <c r="X217" i="1" s="1"/>
  <c r="W219" i="1"/>
  <c r="X219" i="1" s="1"/>
  <c r="W210" i="1"/>
  <c r="X210" i="1" s="1"/>
  <c r="W220" i="1"/>
  <c r="X220" i="1" s="1"/>
  <c r="W211" i="1"/>
  <c r="X211" i="1"/>
  <c r="W215" i="1"/>
  <c r="X215" i="1" s="1"/>
  <c r="W218" i="1"/>
  <c r="X218" i="1" s="1"/>
  <c r="W213" i="1"/>
  <c r="X213" i="1" s="1"/>
  <c r="W177" i="1"/>
  <c r="X177" i="1" s="1"/>
  <c r="W207" i="1"/>
  <c r="X207" i="1" s="1"/>
  <c r="W180" i="1"/>
  <c r="X180" i="1" s="1"/>
  <c r="W179" i="1"/>
  <c r="X179" i="1" s="1"/>
  <c r="W178" i="1"/>
  <c r="X178" i="1" s="1"/>
  <c r="W199" i="1"/>
  <c r="X199" i="1" s="1"/>
  <c r="W181" i="1"/>
  <c r="X181" i="1" s="1"/>
  <c r="W203" i="1"/>
  <c r="X203" i="1" s="1"/>
  <c r="W209" i="1"/>
  <c r="X209" i="1" s="1"/>
  <c r="W205" i="1"/>
  <c r="X205" i="1" s="1"/>
  <c r="W190" i="1"/>
  <c r="X190" i="1" s="1"/>
  <c r="W195" i="1"/>
  <c r="X195" i="1" s="1"/>
  <c r="W191" i="1"/>
  <c r="X191" i="1" s="1"/>
  <c r="W187" i="1"/>
  <c r="X187" i="1" s="1"/>
  <c r="W193" i="1"/>
  <c r="X193" i="1" s="1"/>
  <c r="W200" i="1"/>
  <c r="X200" i="1" s="1"/>
  <c r="W188" i="1"/>
  <c r="X188" i="1" s="1"/>
  <c r="W201" i="1"/>
  <c r="X201" i="1" s="1"/>
  <c r="W132" i="1"/>
  <c r="X132" i="1" s="1"/>
  <c r="W102" i="1"/>
  <c r="X102" i="1" s="1"/>
  <c r="W86" i="1"/>
  <c r="X86" i="1" s="1"/>
  <c r="W130" i="1"/>
  <c r="X130" i="1" s="1"/>
  <c r="W100" i="1"/>
  <c r="X100" i="1" s="1"/>
  <c r="W29" i="1"/>
  <c r="X29" i="1" s="1"/>
  <c r="W38" i="1"/>
  <c r="X38" i="1" s="1"/>
  <c r="W91" i="1"/>
  <c r="X91" i="1" s="1"/>
  <c r="W88" i="1"/>
  <c r="X88" i="1" s="1"/>
  <c r="W89" i="1"/>
  <c r="X89" i="1" s="1"/>
  <c r="W90" i="1"/>
  <c r="X90" i="1"/>
  <c r="S89" i="1"/>
  <c r="U89" i="1" s="1"/>
  <c r="S90" i="1"/>
  <c r="U90" i="1" s="1"/>
  <c r="W136" i="1"/>
  <c r="X136" i="1" s="1"/>
  <c r="W20" i="1"/>
  <c r="X20" i="1" s="1"/>
  <c r="W129" i="1"/>
  <c r="X129" i="1" s="1"/>
  <c r="W45" i="1"/>
  <c r="X45" i="1" s="1"/>
  <c r="W92" i="1"/>
  <c r="X92" i="1" s="1"/>
  <c r="W134" i="1"/>
  <c r="X134" i="1" s="1"/>
  <c r="W133" i="1"/>
  <c r="X133" i="1" s="1"/>
  <c r="W95" i="1"/>
  <c r="X95" i="1" s="1"/>
  <c r="W131" i="1"/>
  <c r="X131" i="1" s="1"/>
  <c r="W128" i="1"/>
  <c r="X128" i="1" s="1"/>
  <c r="W93" i="1"/>
  <c r="X93" i="1" s="1"/>
  <c r="W11" i="1"/>
  <c r="X11" i="1" s="1"/>
  <c r="W87" i="1"/>
  <c r="X87" i="1" s="1"/>
  <c r="W135" i="1"/>
  <c r="X135" i="1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Z107" i="3"/>
  <c r="G362" i="4"/>
  <c r="G361" i="4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H39" i="2"/>
  <c r="H40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C53" i="6"/>
  <c r="C54" i="6" s="1"/>
  <c r="C55" i="6" s="1"/>
  <c r="D53" i="6"/>
  <c r="D54" i="6"/>
  <c r="D55" i="6" s="1"/>
  <c r="E53" i="6"/>
  <c r="E54" i="6"/>
  <c r="E55" i="6"/>
  <c r="B53" i="6"/>
  <c r="B54" i="6" s="1"/>
  <c r="B55" i="6" s="1"/>
  <c r="S226" i="3"/>
  <c r="T226" i="3" s="1"/>
  <c r="T170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G2" i="4"/>
  <c r="G194" i="4"/>
  <c r="G296" i="4"/>
  <c r="G366" i="4"/>
  <c r="G377" i="4"/>
  <c r="G388" i="4"/>
  <c r="G22" i="4"/>
  <c r="G41" i="4"/>
  <c r="G51" i="4"/>
  <c r="G62" i="4"/>
  <c r="G73" i="4"/>
  <c r="G83" i="4"/>
  <c r="G94" i="4"/>
  <c r="G105" i="4"/>
  <c r="G116" i="4"/>
  <c r="G127" i="4"/>
  <c r="G140" i="4"/>
  <c r="G141" i="4"/>
  <c r="G152" i="4"/>
  <c r="G162" i="4"/>
  <c r="G173" i="4"/>
  <c r="G184" i="4"/>
  <c r="G195" i="4"/>
  <c r="G206" i="4"/>
  <c r="G216" i="4"/>
  <c r="G227" i="4"/>
  <c r="G237" i="4"/>
  <c r="G246" i="4"/>
  <c r="G255" i="4"/>
  <c r="G265" i="4"/>
  <c r="G276" i="4"/>
  <c r="G286" i="4"/>
  <c r="G297" i="4"/>
  <c r="G306" i="4"/>
  <c r="G316" i="4"/>
  <c r="G326" i="4"/>
  <c r="G337" i="4"/>
  <c r="G348" i="4"/>
  <c r="G359" i="4"/>
  <c r="G363" i="4"/>
  <c r="G364" i="4"/>
  <c r="G365" i="4"/>
  <c r="G367" i="4"/>
  <c r="G368" i="4"/>
  <c r="G369" i="4"/>
  <c r="G370" i="4"/>
  <c r="G371" i="4"/>
  <c r="G372" i="4"/>
  <c r="G373" i="4"/>
  <c r="G374" i="4"/>
  <c r="G376" i="4"/>
  <c r="G378" i="4"/>
  <c r="G379" i="4"/>
  <c r="G380" i="4"/>
  <c r="G381" i="4"/>
  <c r="G382" i="4"/>
  <c r="G383" i="4"/>
  <c r="G384" i="4"/>
  <c r="G385" i="4"/>
  <c r="G386" i="4"/>
  <c r="G387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10" i="4"/>
  <c r="G411" i="4"/>
  <c r="G412" i="4"/>
  <c r="G413" i="4"/>
  <c r="G414" i="4"/>
  <c r="G415" i="4"/>
  <c r="G416" i="4"/>
  <c r="G417" i="4"/>
  <c r="G418" i="4"/>
  <c r="G41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2" i="4"/>
  <c r="G43" i="4"/>
  <c r="G44" i="4"/>
  <c r="G45" i="4"/>
  <c r="G46" i="4"/>
  <c r="G47" i="4"/>
  <c r="G48" i="4"/>
  <c r="G49" i="4"/>
  <c r="G50" i="4"/>
  <c r="G52" i="4"/>
  <c r="G53" i="4"/>
  <c r="G54" i="4"/>
  <c r="G55" i="4"/>
  <c r="G56" i="4"/>
  <c r="G57" i="4"/>
  <c r="G58" i="4"/>
  <c r="G59" i="4"/>
  <c r="G60" i="4"/>
  <c r="G61" i="4"/>
  <c r="G63" i="4"/>
  <c r="G64" i="4"/>
  <c r="G65" i="4"/>
  <c r="G66" i="4"/>
  <c r="G67" i="4"/>
  <c r="G68" i="4"/>
  <c r="G69" i="4"/>
  <c r="G70" i="4"/>
  <c r="G71" i="4"/>
  <c r="G72" i="4"/>
  <c r="G74" i="4"/>
  <c r="G75" i="4"/>
  <c r="G76" i="4"/>
  <c r="G77" i="4"/>
  <c r="G78" i="4"/>
  <c r="G79" i="4"/>
  <c r="G80" i="4"/>
  <c r="G81" i="4"/>
  <c r="G82" i="4"/>
  <c r="G84" i="4"/>
  <c r="G85" i="4"/>
  <c r="G86" i="4"/>
  <c r="G87" i="4"/>
  <c r="G88" i="4"/>
  <c r="G89" i="4"/>
  <c r="G90" i="4"/>
  <c r="G91" i="4"/>
  <c r="G92" i="4"/>
  <c r="G93" i="4"/>
  <c r="G95" i="4"/>
  <c r="G96" i="4"/>
  <c r="G97" i="4"/>
  <c r="G98" i="4"/>
  <c r="G99" i="4"/>
  <c r="G100" i="4"/>
  <c r="G101" i="4"/>
  <c r="G102" i="4"/>
  <c r="G103" i="4"/>
  <c r="G104" i="4"/>
  <c r="G106" i="4"/>
  <c r="G107" i="4"/>
  <c r="G108" i="4"/>
  <c r="G109" i="4"/>
  <c r="G110" i="4"/>
  <c r="G111" i="4"/>
  <c r="G112" i="4"/>
  <c r="G113" i="4"/>
  <c r="G114" i="4"/>
  <c r="G115" i="4"/>
  <c r="G117" i="4"/>
  <c r="G118" i="4"/>
  <c r="G119" i="4"/>
  <c r="G120" i="4"/>
  <c r="G121" i="4"/>
  <c r="G122" i="4"/>
  <c r="G123" i="4"/>
  <c r="G124" i="4"/>
  <c r="G125" i="4"/>
  <c r="G126" i="4"/>
  <c r="G128" i="4"/>
  <c r="G129" i="4"/>
  <c r="G130" i="4"/>
  <c r="G131" i="4"/>
  <c r="G132" i="4"/>
  <c r="G133" i="4"/>
  <c r="G134" i="4"/>
  <c r="G135" i="4"/>
  <c r="G136" i="4"/>
  <c r="G137" i="4"/>
  <c r="G139" i="4"/>
  <c r="G142" i="4"/>
  <c r="G143" i="4"/>
  <c r="G144" i="4"/>
  <c r="G145" i="4"/>
  <c r="G146" i="4"/>
  <c r="G147" i="4"/>
  <c r="G148" i="4"/>
  <c r="G149" i="4"/>
  <c r="G150" i="4"/>
  <c r="G151" i="4"/>
  <c r="G153" i="4"/>
  <c r="G154" i="4"/>
  <c r="G155" i="4"/>
  <c r="G156" i="4"/>
  <c r="G157" i="4"/>
  <c r="G158" i="4"/>
  <c r="G159" i="4"/>
  <c r="G160" i="4"/>
  <c r="G161" i="4"/>
  <c r="G163" i="4"/>
  <c r="G164" i="4"/>
  <c r="G165" i="4"/>
  <c r="G166" i="4"/>
  <c r="G167" i="4"/>
  <c r="G168" i="4"/>
  <c r="G169" i="4"/>
  <c r="G170" i="4"/>
  <c r="G171" i="4"/>
  <c r="G172" i="4"/>
  <c r="G174" i="4"/>
  <c r="G175" i="4"/>
  <c r="G176" i="4"/>
  <c r="G177" i="4"/>
  <c r="G178" i="4"/>
  <c r="G179" i="4"/>
  <c r="G180" i="4"/>
  <c r="G181" i="4"/>
  <c r="G182" i="4"/>
  <c r="G183" i="4"/>
  <c r="G185" i="4"/>
  <c r="G186" i="4"/>
  <c r="G187" i="4"/>
  <c r="G188" i="4"/>
  <c r="G189" i="4"/>
  <c r="G190" i="4"/>
  <c r="G191" i="4"/>
  <c r="G192" i="4"/>
  <c r="G193" i="4"/>
  <c r="G196" i="4"/>
  <c r="G197" i="4"/>
  <c r="G198" i="4"/>
  <c r="G199" i="4"/>
  <c r="G200" i="4"/>
  <c r="G201" i="4"/>
  <c r="G202" i="4"/>
  <c r="G203" i="4"/>
  <c r="G204" i="4"/>
  <c r="G205" i="4"/>
  <c r="G207" i="4"/>
  <c r="G208" i="4"/>
  <c r="G209" i="4"/>
  <c r="G210" i="4"/>
  <c r="G211" i="4"/>
  <c r="G212" i="4"/>
  <c r="G213" i="4"/>
  <c r="G214" i="4"/>
  <c r="G215" i="4"/>
  <c r="G217" i="4"/>
  <c r="G218" i="4"/>
  <c r="G219" i="4"/>
  <c r="G220" i="4"/>
  <c r="G221" i="4"/>
  <c r="G222" i="4"/>
  <c r="G223" i="4"/>
  <c r="G224" i="4"/>
  <c r="G225" i="4"/>
  <c r="G226" i="4"/>
  <c r="G228" i="4"/>
  <c r="G229" i="4"/>
  <c r="G230" i="4"/>
  <c r="G231" i="4"/>
  <c r="G232" i="4"/>
  <c r="G233" i="4"/>
  <c r="G234" i="4"/>
  <c r="G235" i="4"/>
  <c r="G236" i="4"/>
  <c r="G238" i="4"/>
  <c r="G239" i="4"/>
  <c r="G240" i="4"/>
  <c r="G241" i="4"/>
  <c r="G242" i="4"/>
  <c r="G243" i="4"/>
  <c r="G244" i="4"/>
  <c r="G245" i="4"/>
  <c r="G247" i="4"/>
  <c r="G248" i="4"/>
  <c r="G249" i="4"/>
  <c r="G250" i="4"/>
  <c r="G251" i="4"/>
  <c r="G252" i="4"/>
  <c r="G253" i="4"/>
  <c r="G254" i="4"/>
  <c r="G256" i="4"/>
  <c r="G257" i="4"/>
  <c r="G258" i="4"/>
  <c r="G259" i="4"/>
  <c r="G260" i="4"/>
  <c r="G261" i="4"/>
  <c r="G262" i="4"/>
  <c r="G263" i="4"/>
  <c r="G264" i="4"/>
  <c r="G266" i="4"/>
  <c r="G267" i="4"/>
  <c r="G268" i="4"/>
  <c r="G269" i="4"/>
  <c r="G270" i="4"/>
  <c r="G271" i="4"/>
  <c r="G272" i="4"/>
  <c r="G273" i="4"/>
  <c r="G274" i="4"/>
  <c r="G275" i="4"/>
  <c r="G277" i="4"/>
  <c r="G278" i="4"/>
  <c r="G279" i="4"/>
  <c r="G280" i="4"/>
  <c r="G281" i="4"/>
  <c r="G282" i="4"/>
  <c r="G283" i="4"/>
  <c r="G284" i="4"/>
  <c r="G285" i="4"/>
  <c r="G287" i="4"/>
  <c r="G288" i="4"/>
  <c r="G289" i="4"/>
  <c r="G290" i="4"/>
  <c r="G291" i="4"/>
  <c r="G292" i="4"/>
  <c r="G293" i="4"/>
  <c r="G294" i="4"/>
  <c r="G295" i="4"/>
  <c r="G298" i="4"/>
  <c r="G299" i="4"/>
  <c r="G300" i="4"/>
  <c r="G301" i="4"/>
  <c r="G302" i="4"/>
  <c r="G303" i="4"/>
  <c r="G304" i="4"/>
  <c r="G305" i="4"/>
  <c r="G307" i="4"/>
  <c r="G308" i="4"/>
  <c r="G309" i="4"/>
  <c r="G310" i="4"/>
  <c r="G311" i="4"/>
  <c r="G312" i="4"/>
  <c r="G313" i="4"/>
  <c r="G314" i="4"/>
  <c r="G315" i="4"/>
  <c r="G317" i="4"/>
  <c r="G318" i="4"/>
  <c r="G319" i="4"/>
  <c r="G320" i="4"/>
  <c r="G321" i="4"/>
  <c r="G322" i="4"/>
  <c r="G323" i="4"/>
  <c r="G324" i="4"/>
  <c r="G325" i="4"/>
  <c r="G327" i="4"/>
  <c r="G328" i="4"/>
  <c r="G329" i="4"/>
  <c r="G330" i="4"/>
  <c r="G331" i="4"/>
  <c r="G332" i="4"/>
  <c r="G333" i="4"/>
  <c r="G334" i="4"/>
  <c r="G335" i="4"/>
  <c r="G336" i="4"/>
  <c r="G338" i="4"/>
  <c r="G339" i="4"/>
  <c r="G340" i="4"/>
  <c r="G341" i="4"/>
  <c r="G342" i="4"/>
  <c r="G343" i="4"/>
  <c r="G344" i="4"/>
  <c r="G345" i="4"/>
  <c r="G346" i="4"/>
  <c r="G347" i="4"/>
  <c r="G349" i="4"/>
  <c r="G350" i="4"/>
  <c r="G351" i="4"/>
  <c r="G352" i="4"/>
  <c r="G353" i="4"/>
  <c r="G354" i="4"/>
  <c r="G355" i="4"/>
  <c r="G356" i="4"/>
  <c r="G357" i="4"/>
  <c r="G358" i="4"/>
  <c r="G360" i="4"/>
  <c r="J38" i="2"/>
  <c r="J37" i="2"/>
  <c r="J36" i="2"/>
  <c r="J35" i="2"/>
  <c r="J34" i="2"/>
  <c r="J33" i="2"/>
  <c r="J32" i="2"/>
  <c r="J31" i="2"/>
  <c r="J30" i="2"/>
  <c r="J29" i="2"/>
  <c r="J28" i="2"/>
  <c r="J26" i="2"/>
  <c r="J25" i="2"/>
  <c r="J24" i="2"/>
  <c r="J39" i="2"/>
  <c r="J23" i="2"/>
  <c r="J40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W166" i="1"/>
  <c r="X166" i="1" s="1"/>
  <c r="W165" i="1"/>
  <c r="X165" i="1" s="1"/>
  <c r="W162" i="1"/>
  <c r="X162" i="1" s="1"/>
  <c r="W161" i="1"/>
  <c r="X161" i="1" s="1"/>
  <c r="W160" i="1"/>
  <c r="X160" i="1" s="1"/>
  <c r="W158" i="1"/>
  <c r="X158" i="1" s="1"/>
  <c r="W156" i="1"/>
  <c r="X156" i="1" s="1"/>
  <c r="W153" i="1"/>
  <c r="X153" i="1" s="1"/>
  <c r="W150" i="1"/>
  <c r="X150" i="1" s="1"/>
  <c r="W148" i="1"/>
  <c r="X148" i="1" s="1"/>
  <c r="W146" i="1"/>
  <c r="X146" i="1" s="1"/>
  <c r="W145" i="1"/>
  <c r="X145" i="1" s="1"/>
  <c r="W144" i="1"/>
  <c r="X144" i="1" s="1"/>
  <c r="W143" i="1"/>
  <c r="X143" i="1" s="1"/>
  <c r="W142" i="1"/>
  <c r="X142" i="1" s="1"/>
  <c r="W141" i="1"/>
  <c r="X141" i="1" s="1"/>
  <c r="W140" i="1"/>
  <c r="X140" i="1" s="1"/>
  <c r="W139" i="1"/>
  <c r="X139" i="1" s="1"/>
  <c r="W138" i="1"/>
  <c r="X138" i="1" s="1"/>
  <c r="W137" i="1"/>
  <c r="X137" i="1" s="1"/>
  <c r="W127" i="1"/>
  <c r="X127" i="1" s="1"/>
  <c r="W126" i="1"/>
  <c r="X126" i="1" s="1"/>
  <c r="W125" i="1"/>
  <c r="X125" i="1" s="1"/>
  <c r="W124" i="1"/>
  <c r="X124" i="1"/>
  <c r="W123" i="1"/>
  <c r="X123" i="1" s="1"/>
  <c r="W122" i="1"/>
  <c r="X122" i="1" s="1"/>
  <c r="W121" i="1"/>
  <c r="X121" i="1" s="1"/>
  <c r="W120" i="1"/>
  <c r="X120" i="1" s="1"/>
  <c r="W119" i="1"/>
  <c r="X119" i="1" s="1"/>
  <c r="W118" i="1"/>
  <c r="X118" i="1" s="1"/>
  <c r="V118" i="1"/>
  <c r="W117" i="1"/>
  <c r="X117" i="1" s="1"/>
  <c r="W116" i="1"/>
  <c r="X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W108" i="1"/>
  <c r="X108" i="1" s="1"/>
  <c r="W107" i="1"/>
  <c r="X107" i="1" s="1"/>
  <c r="W103" i="1"/>
  <c r="X103" i="1" s="1"/>
  <c r="W84" i="1"/>
  <c r="X84" i="1" s="1"/>
  <c r="W83" i="1"/>
  <c r="X83" i="1" s="1"/>
  <c r="W82" i="1"/>
  <c r="X82" i="1" s="1"/>
  <c r="W81" i="1"/>
  <c r="X81" i="1" s="1"/>
  <c r="W80" i="1"/>
  <c r="X80" i="1" s="1"/>
  <c r="W77" i="1"/>
  <c r="X77" i="1" s="1"/>
  <c r="W76" i="1"/>
  <c r="X76" i="1" s="1"/>
  <c r="W75" i="1"/>
  <c r="X75" i="1" s="1"/>
  <c r="W73" i="1"/>
  <c r="X73" i="1" s="1"/>
  <c r="W71" i="1"/>
  <c r="X71" i="1" s="1"/>
  <c r="W70" i="1"/>
  <c r="X70" i="1" s="1"/>
  <c r="W69" i="1"/>
  <c r="X69" i="1" s="1"/>
  <c r="W68" i="1"/>
  <c r="X68" i="1" s="1"/>
  <c r="W66" i="1"/>
  <c r="X66" i="1"/>
  <c r="W64" i="1"/>
  <c r="X64" i="1" s="1"/>
  <c r="W63" i="1"/>
  <c r="X63" i="1" s="1"/>
  <c r="W62" i="1"/>
  <c r="X62" i="1" s="1"/>
  <c r="W61" i="1"/>
  <c r="X61" i="1" s="1"/>
  <c r="W59" i="1"/>
  <c r="X59" i="1" s="1"/>
  <c r="W58" i="1"/>
  <c r="X58" i="1" s="1"/>
  <c r="W57" i="1"/>
  <c r="X57" i="1" s="1"/>
  <c r="W56" i="1"/>
  <c r="X56" i="1"/>
  <c r="W55" i="1"/>
  <c r="X55" i="1" s="1"/>
  <c r="W54" i="1"/>
  <c r="X54" i="1" s="1"/>
  <c r="W52" i="1"/>
  <c r="X52" i="1" s="1"/>
  <c r="W51" i="1"/>
  <c r="X51" i="1" s="1"/>
  <c r="W48" i="1"/>
  <c r="X48" i="1" s="1"/>
  <c r="W47" i="1"/>
  <c r="X47" i="1" s="1"/>
  <c r="W46" i="1"/>
  <c r="X46" i="1" s="1"/>
  <c r="W44" i="1"/>
  <c r="X44" i="1" s="1"/>
  <c r="W42" i="1"/>
  <c r="X42" i="1" s="1"/>
  <c r="W41" i="1"/>
  <c r="X41" i="1" s="1"/>
  <c r="W37" i="1"/>
  <c r="X37" i="1" s="1"/>
  <c r="W32" i="1"/>
  <c r="X32" i="1" s="1"/>
  <c r="W31" i="1"/>
  <c r="X31" i="1" s="1"/>
  <c r="W30" i="1"/>
  <c r="X30" i="1" s="1"/>
  <c r="W28" i="1"/>
  <c r="X28" i="1" s="1"/>
  <c r="W26" i="1"/>
  <c r="X26" i="1"/>
  <c r="W25" i="1"/>
  <c r="X25" i="1" s="1"/>
  <c r="W24" i="1"/>
  <c r="X24" i="1" s="1"/>
  <c r="W23" i="1"/>
  <c r="X23" i="1" s="1"/>
  <c r="W21" i="1"/>
  <c r="X21" i="1" s="1"/>
  <c r="W18" i="1"/>
  <c r="X18" i="1" s="1"/>
  <c r="W17" i="1"/>
  <c r="X17" i="1" s="1"/>
  <c r="W12" i="1"/>
  <c r="X12" i="1" s="1"/>
  <c r="W10" i="1"/>
  <c r="X10" i="1" s="1"/>
  <c r="W9" i="1"/>
  <c r="X9" i="1" s="1"/>
  <c r="W8" i="1"/>
  <c r="X8" i="1" s="1"/>
  <c r="W7" i="1"/>
  <c r="X7" i="1" s="1"/>
  <c r="W5" i="1"/>
  <c r="X5" i="1" s="1"/>
  <c r="W4" i="1"/>
  <c r="X4" i="1" s="1"/>
  <c r="X441" i="1" l="1"/>
  <c r="U284" i="1"/>
  <c r="U28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Kendall</author>
  </authors>
  <commentList>
    <comment ref="M5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Liam Kendall:</t>
        </r>
        <r>
          <rPr>
            <sz val="9"/>
            <color indexed="81"/>
            <rFont val="Tahoma"/>
            <family val="2"/>
          </rPr>
          <t xml:space="preserve">
CHECK
</t>
        </r>
      </text>
    </comment>
  </commentList>
</comments>
</file>

<file path=xl/sharedStrings.xml><?xml version="1.0" encoding="utf-8"?>
<sst xmlns="http://schemas.openxmlformats.org/spreadsheetml/2006/main" count="49774" uniqueCount="3628">
  <si>
    <t>Tag</t>
  </si>
  <si>
    <t>Location</t>
  </si>
  <si>
    <t>Date</t>
  </si>
  <si>
    <t>Plant</t>
  </si>
  <si>
    <t>Vane/Net</t>
  </si>
  <si>
    <t>Species</t>
  </si>
  <si>
    <t>Taxon</t>
  </si>
  <si>
    <t>Weight</t>
  </si>
  <si>
    <t>ID</t>
  </si>
  <si>
    <t>IT</t>
  </si>
  <si>
    <t>BL</t>
  </si>
  <si>
    <t>ALLO-AUS-01</t>
  </si>
  <si>
    <t>Bee</t>
  </si>
  <si>
    <t>B</t>
  </si>
  <si>
    <t>ALLO-AUS-02</t>
  </si>
  <si>
    <t>Grays Road</t>
  </si>
  <si>
    <t>ALLO-AUS-03</t>
  </si>
  <si>
    <t>ALLO-AUS-04</t>
  </si>
  <si>
    <t>ALLO-AUS-05</t>
  </si>
  <si>
    <t>ALLO-AUS-06</t>
  </si>
  <si>
    <t>H</t>
  </si>
  <si>
    <t>ALLO-AUS-07</t>
  </si>
  <si>
    <t>ALLO-AUS-08</t>
  </si>
  <si>
    <t>ALLO-AUS-09</t>
  </si>
  <si>
    <t>ALLO-AUS-10</t>
  </si>
  <si>
    <t>Hoverfly</t>
  </si>
  <si>
    <t>ALLO-AUS-11</t>
  </si>
  <si>
    <t>ALLO-AUS-12</t>
  </si>
  <si>
    <t>ALLO-AUS-13</t>
  </si>
  <si>
    <t>ALLO-AUS-14</t>
  </si>
  <si>
    <t>ALLO-AUS-15</t>
  </si>
  <si>
    <t>ALLO-AUS-16</t>
  </si>
  <si>
    <t>V</t>
  </si>
  <si>
    <t>ALLO-AUS-17</t>
  </si>
  <si>
    <t>Basil</t>
  </si>
  <si>
    <t>ALLO-AUS-18</t>
  </si>
  <si>
    <t>NA</t>
  </si>
  <si>
    <t>ALLO-AUS-19</t>
  </si>
  <si>
    <t>ALLO-AUS-20</t>
  </si>
  <si>
    <t>ALLO-AUS-21</t>
  </si>
  <si>
    <t>ALLO-AUS-22</t>
  </si>
  <si>
    <t>ALLO-AUS-23</t>
  </si>
  <si>
    <t>Roadside Tunnels</t>
  </si>
  <si>
    <t>ALLO-AUS-24</t>
  </si>
  <si>
    <t>ALLO-AUS-25</t>
  </si>
  <si>
    <t>ALLO-AUS-26</t>
  </si>
  <si>
    <t>ALLO-AUS-27</t>
  </si>
  <si>
    <t>ALLO-AUS-28</t>
  </si>
  <si>
    <t>S1s</t>
  </si>
  <si>
    <t>ALLO-AUS-29</t>
  </si>
  <si>
    <t>ALLO-AUS-30</t>
  </si>
  <si>
    <t>ALLO-AUS-31</t>
  </si>
  <si>
    <t>ALLO-AUS-32</t>
  </si>
  <si>
    <t>ALLO-AUS-33</t>
  </si>
  <si>
    <t>ALLO-AUS-34</t>
  </si>
  <si>
    <t>ALLO-AUS-35</t>
  </si>
  <si>
    <t>ALLO-AUS-36</t>
  </si>
  <si>
    <t>ALLO-AUS-37</t>
  </si>
  <si>
    <t>ALLO-AUS-38</t>
  </si>
  <si>
    <t>ALLO-AUS-39</t>
  </si>
  <si>
    <t>ALLO-AUS-40</t>
  </si>
  <si>
    <t>ALLO-AUS-41</t>
  </si>
  <si>
    <t>ALLO-AUS-42</t>
  </si>
  <si>
    <t>ALLO-AUS-43</t>
  </si>
  <si>
    <t>ALLO-AUS-44</t>
  </si>
  <si>
    <t>ALLO-AUS-45</t>
  </si>
  <si>
    <t>ALLO-AUS-46</t>
  </si>
  <si>
    <t>ALLO-AUS-47</t>
  </si>
  <si>
    <t>Weeds</t>
  </si>
  <si>
    <t>ALLO-AUS-48</t>
  </si>
  <si>
    <t>ALLO-AUS-49</t>
  </si>
  <si>
    <t>ALLO-AUS-50</t>
  </si>
  <si>
    <t>ALLO-AUS-51</t>
  </si>
  <si>
    <t>ALLO-AUS-52</t>
  </si>
  <si>
    <t>ALLO-AUS-53</t>
  </si>
  <si>
    <t>ALLO-AUS-54</t>
  </si>
  <si>
    <t>ALLO-AUS-55</t>
  </si>
  <si>
    <t>Bombilidae</t>
  </si>
  <si>
    <t>ALLO-AUS-56</t>
  </si>
  <si>
    <t>ALLO-AUS-57</t>
  </si>
  <si>
    <t>ALLO-AUS-58</t>
  </si>
  <si>
    <t>ALLO-AUS-59</t>
  </si>
  <si>
    <t>ALLO-AUS-60</t>
  </si>
  <si>
    <t>ALLO-AUS-61</t>
  </si>
  <si>
    <t>ALLO-AUS-62</t>
  </si>
  <si>
    <t>ALLO-AUS-63</t>
  </si>
  <si>
    <t>ALLO-AUS-64</t>
  </si>
  <si>
    <t>Wasp</t>
  </si>
  <si>
    <t>ALLO-AUS-65</t>
  </si>
  <si>
    <t>ALLO-AUS-66</t>
  </si>
  <si>
    <t>ALLO-AUS-67</t>
  </si>
  <si>
    <t>ALLO-AUS-68</t>
  </si>
  <si>
    <t>ALLO-AUS-69</t>
  </si>
  <si>
    <t>ALLO-AUS-70</t>
  </si>
  <si>
    <t>Pan traps</t>
  </si>
  <si>
    <t>ALLO-AUS-71</t>
  </si>
  <si>
    <t>ALLO-AUS-72</t>
  </si>
  <si>
    <t>ALLO-AUS-73</t>
  </si>
  <si>
    <t>ALLO-AUS-74</t>
  </si>
  <si>
    <t>ALLO-AUS-75</t>
  </si>
  <si>
    <t>ALLO-AUS-76</t>
  </si>
  <si>
    <t>ALLO-AUS-77</t>
  </si>
  <si>
    <t>ALLO-AUS-78</t>
  </si>
  <si>
    <t>ALLO-AUS-79</t>
  </si>
  <si>
    <t>ALLO-AUS-80</t>
  </si>
  <si>
    <t>ALLO-AUS-81</t>
  </si>
  <si>
    <t>ALLO-AUS-82</t>
  </si>
  <si>
    <t>ALLO-AUS-83</t>
  </si>
  <si>
    <t>ALLO-AUS-84</t>
  </si>
  <si>
    <t>ALLO-AUS-85</t>
  </si>
  <si>
    <t>ALLO-AUS-86</t>
  </si>
  <si>
    <t>ALLO-AUS-87</t>
  </si>
  <si>
    <t>ALLO-AUS-88</t>
  </si>
  <si>
    <t>Lakeside</t>
  </si>
  <si>
    <t>ALLO-AUS-89</t>
  </si>
  <si>
    <t>N-Yell_Gully</t>
  </si>
  <si>
    <t>ALLO-AUS-90</t>
  </si>
  <si>
    <t>N-Yell_second Ridge</t>
  </si>
  <si>
    <t>ALLO-AUS-91</t>
  </si>
  <si>
    <t>ALLO-AUS-92</t>
  </si>
  <si>
    <t>ALLO-AUS-93</t>
  </si>
  <si>
    <t>Hardip</t>
  </si>
  <si>
    <t>ALLO-AUS-94</t>
  </si>
  <si>
    <t>ALLO-AUS-95</t>
  </si>
  <si>
    <t>N-Yell-Gully</t>
  </si>
  <si>
    <t>ALLO-AUS-96</t>
  </si>
  <si>
    <t>Farmers Friend</t>
  </si>
  <si>
    <t>ALLO-AUS-97</t>
  </si>
  <si>
    <t>Weed/Carrot</t>
  </si>
  <si>
    <t>ALLO-AUS-98</t>
  </si>
  <si>
    <t>ALLO-AUS-99</t>
  </si>
  <si>
    <t>N-Yell</t>
  </si>
  <si>
    <t>ALLO-AUS-100</t>
  </si>
  <si>
    <t>ALLO-AUS-101</t>
  </si>
  <si>
    <t>Lake</t>
  </si>
  <si>
    <t>ALLO-AUS-102</t>
  </si>
  <si>
    <t>ALLO-AUS-103</t>
  </si>
  <si>
    <t>ALLO-AUS-104</t>
  </si>
  <si>
    <t>ALLO-AUS-105</t>
  </si>
  <si>
    <t>ALLO-AUS-106</t>
  </si>
  <si>
    <t>Vine</t>
  </si>
  <si>
    <t>ALLO-AUS-107</t>
  </si>
  <si>
    <t>ALLO-AUS-108</t>
  </si>
  <si>
    <t>ALLO-AUS-109</t>
  </si>
  <si>
    <t>ALLO-AUS-110</t>
  </si>
  <si>
    <t>ALLO-AUS-111</t>
  </si>
  <si>
    <t>ALLO-AUS-112</t>
  </si>
  <si>
    <t>ALLO-AUS-113</t>
  </si>
  <si>
    <t>ALLO-AUS-114</t>
  </si>
  <si>
    <t>ALLO-AUS-115</t>
  </si>
  <si>
    <t>ALLO-AUS-116</t>
  </si>
  <si>
    <t>ALLO-AUS-117</t>
  </si>
  <si>
    <t>ALLO-AUS-118</t>
  </si>
  <si>
    <t>ALLO-AUS-119</t>
  </si>
  <si>
    <t>Vane</t>
  </si>
  <si>
    <t>ALLO-AUS-120</t>
  </si>
  <si>
    <t>ALLO-AUS-121</t>
  </si>
  <si>
    <t>ALLO-AUS-122</t>
  </si>
  <si>
    <t>ALLO-AUS-123</t>
  </si>
  <si>
    <t>Yellow inflorescene</t>
  </si>
  <si>
    <t>ALLO-AUS-124</t>
  </si>
  <si>
    <t>ALLO-AUS-125</t>
  </si>
  <si>
    <t>ALLO-AUS-126</t>
  </si>
  <si>
    <t>ALLO-AUS-127</t>
  </si>
  <si>
    <t>ALLO-AUS-128</t>
  </si>
  <si>
    <t>ALLO-AUS-129</t>
  </si>
  <si>
    <t>ALLO-AUS-130</t>
  </si>
  <si>
    <t>ALLO-AUS-131</t>
  </si>
  <si>
    <t>ALLO-AUS-132</t>
  </si>
  <si>
    <t>ALLO-AUS-133</t>
  </si>
  <si>
    <t>ALLO-AUS-134</t>
  </si>
  <si>
    <t>ALLO-AUS-135</t>
  </si>
  <si>
    <t>ALLO-AUS-136</t>
  </si>
  <si>
    <t>ALLO-AUS-137</t>
  </si>
  <si>
    <t>ALLO-AUS-138</t>
  </si>
  <si>
    <t>ALLO-AUS-139</t>
  </si>
  <si>
    <t>ALLO-AUS-140</t>
  </si>
  <si>
    <t>Net</t>
  </si>
  <si>
    <t>ALLO-AUS-141</t>
  </si>
  <si>
    <t>ALLO-AUS-142</t>
  </si>
  <si>
    <t>ALLO-AUS-143</t>
  </si>
  <si>
    <t>ALLO-AUS-144</t>
  </si>
  <si>
    <t>ALLO-AUS-145</t>
  </si>
  <si>
    <t>ALLO-AUS-146</t>
  </si>
  <si>
    <t>ALLO-AUS-147</t>
  </si>
  <si>
    <t>ALLO-AUS-148</t>
  </si>
  <si>
    <t>ALLO-AUS-149</t>
  </si>
  <si>
    <t>vane</t>
  </si>
  <si>
    <t>ALLO-AUS-150</t>
  </si>
  <si>
    <t>ALLO-AUS-151</t>
  </si>
  <si>
    <t>ALLO-AUS-152</t>
  </si>
  <si>
    <t>ALLO-AUS-153</t>
  </si>
  <si>
    <t>ALLO-AUS-154</t>
  </si>
  <si>
    <t>ALLO-AUS-155</t>
  </si>
  <si>
    <t>ALLO-AUS-156</t>
  </si>
  <si>
    <t>ALLO-AUS-157</t>
  </si>
  <si>
    <t>ALLO-AUS-158</t>
  </si>
  <si>
    <t>ALLO-AUS-159</t>
  </si>
  <si>
    <t>ALLO-AUS-160</t>
  </si>
  <si>
    <t>net</t>
  </si>
  <si>
    <t>ALLO-AUS-161</t>
  </si>
  <si>
    <t>ALLO-AUS-162</t>
  </si>
  <si>
    <t>ALLO-AUS-163</t>
  </si>
  <si>
    <t>ALLO-AUS-164</t>
  </si>
  <si>
    <t>ALLO-AUS-165</t>
  </si>
  <si>
    <t>ALLO-AUS-166</t>
  </si>
  <si>
    <t>ALLO-AUS-167</t>
  </si>
  <si>
    <t>ALLO-AUS-168</t>
  </si>
  <si>
    <t>ALLO-AUS-169</t>
  </si>
  <si>
    <t>ALLO-AUS-170</t>
  </si>
  <si>
    <t>ALLO-AUS-171</t>
  </si>
  <si>
    <t>ALLO-AUS-172</t>
  </si>
  <si>
    <t>ALLO-AUS-173</t>
  </si>
  <si>
    <t>ALLO-AUS-174</t>
  </si>
  <si>
    <t>ALLO-AUS-175</t>
  </si>
  <si>
    <t>ALLO-AUS-176</t>
  </si>
  <si>
    <t>ALLO-AUS-177</t>
  </si>
  <si>
    <t>ALLO-AUS-178</t>
  </si>
  <si>
    <t>ALLO-AUS-179</t>
  </si>
  <si>
    <t>Sweeping</t>
  </si>
  <si>
    <t>ALLO-AUS-180</t>
  </si>
  <si>
    <t>ALLO-AUS-181</t>
  </si>
  <si>
    <t>ALLO-AUS-182</t>
  </si>
  <si>
    <t>ALLO-AUS-183</t>
  </si>
  <si>
    <t>ALLO-AUS-184</t>
  </si>
  <si>
    <t>ALLO-AUS-185</t>
  </si>
  <si>
    <t>ALLO-AUS-186</t>
  </si>
  <si>
    <t>ALLO-AUS-187</t>
  </si>
  <si>
    <t>ALLO-AUS-188</t>
  </si>
  <si>
    <t>ALLO-AUS-189</t>
  </si>
  <si>
    <t>ALLO-AUS-190</t>
  </si>
  <si>
    <t>ALLO-AUS-191</t>
  </si>
  <si>
    <t>ALLO-AUS-192</t>
  </si>
  <si>
    <t>ALLO-AUS-193</t>
  </si>
  <si>
    <t>ALLO-AUS-194</t>
  </si>
  <si>
    <t>ALLO-AUS-195</t>
  </si>
  <si>
    <t>ALLO-AUS-196</t>
  </si>
  <si>
    <t>ALLO-AUS-197</t>
  </si>
  <si>
    <t>ALLO-AUS-198</t>
  </si>
  <si>
    <t>ALLO-AUS-199</t>
  </si>
  <si>
    <t>Bottlebrush</t>
  </si>
  <si>
    <t>ALLO-AUS-200</t>
  </si>
  <si>
    <t>ALLO-AUS-201</t>
  </si>
  <si>
    <t>ALLO-AUS-202</t>
  </si>
  <si>
    <t>ALLO-AUS-203</t>
  </si>
  <si>
    <t>ALLO-AUS-204</t>
  </si>
  <si>
    <t>ALLO-AUS-205</t>
  </si>
  <si>
    <t>Rosemary</t>
  </si>
  <si>
    <t>ALLO-AUS-206</t>
  </si>
  <si>
    <t>ALLO-AUS-207</t>
  </si>
  <si>
    <t>ALLO-AUS-208</t>
  </si>
  <si>
    <t>ALLO-AUS-209</t>
  </si>
  <si>
    <t>ALLO-AUS-210</t>
  </si>
  <si>
    <t>ALLO-AUS-211</t>
  </si>
  <si>
    <t>ALLO-AUS-212</t>
  </si>
  <si>
    <t>ALLO-AUS-213</t>
  </si>
  <si>
    <t>ALLO-AUS-214</t>
  </si>
  <si>
    <t>ALLO-AUS-215</t>
  </si>
  <si>
    <t>ALLO-AUS-216</t>
  </si>
  <si>
    <t>ALLO-AUS-217</t>
  </si>
  <si>
    <t>ALLO-AUS-218</t>
  </si>
  <si>
    <t>Bundaberg</t>
  </si>
  <si>
    <t>ALLO-AUS-219</t>
  </si>
  <si>
    <t>Woolgoolga</t>
  </si>
  <si>
    <t>ALLO-AUS-220</t>
  </si>
  <si>
    <t>ALLO-AUS-221</t>
  </si>
  <si>
    <t>ALLO-AUS-222</t>
  </si>
  <si>
    <t>ALLO-AUS-223</t>
  </si>
  <si>
    <t>ALLO-AUS-224</t>
  </si>
  <si>
    <t>ALLO-AUS-225</t>
  </si>
  <si>
    <t>ALLO-AUS-226</t>
  </si>
  <si>
    <t>ALLO-AUS-227</t>
  </si>
  <si>
    <t>ALLO-AUS-228</t>
  </si>
  <si>
    <t>ALLO-AUS-229</t>
  </si>
  <si>
    <t>ALLO-AUS-230</t>
  </si>
  <si>
    <t>ALLO-AUS-231</t>
  </si>
  <si>
    <t>ALLO-AUS-232</t>
  </si>
  <si>
    <t>ALLO-AUS-233</t>
  </si>
  <si>
    <t>ALLO-AUS-234</t>
  </si>
  <si>
    <t>ALLO-AUS-235</t>
  </si>
  <si>
    <t>ALLO-AUS-236</t>
  </si>
  <si>
    <t>ALLO-AUS-237</t>
  </si>
  <si>
    <t>ALLO-AUS-238</t>
  </si>
  <si>
    <t>ALLO-AUS-239</t>
  </si>
  <si>
    <t>ALLO-AUS-240</t>
  </si>
  <si>
    <t>ALLO-AUS-241</t>
  </si>
  <si>
    <t>ALLO-AUS-242</t>
  </si>
  <si>
    <t>ALLO-AUS-243</t>
  </si>
  <si>
    <t>Bee_Fly</t>
  </si>
  <si>
    <t>Label</t>
  </si>
  <si>
    <t>Origin</t>
  </si>
  <si>
    <t>Weight+pin</t>
  </si>
  <si>
    <t>Pin_Type</t>
  </si>
  <si>
    <t>CH-AL-1</t>
  </si>
  <si>
    <t>Chile</t>
  </si>
  <si>
    <t>CH-AL-2</t>
  </si>
  <si>
    <t>CH-AL-3</t>
  </si>
  <si>
    <t>CH-AL-4</t>
  </si>
  <si>
    <t>CH-AL-5</t>
  </si>
  <si>
    <t>CH-AL-6</t>
  </si>
  <si>
    <t>CH-AL-7</t>
  </si>
  <si>
    <t>CH-AL-8</t>
  </si>
  <si>
    <t>CH-AL-9</t>
  </si>
  <si>
    <t>CH-AL-10</t>
  </si>
  <si>
    <t>CH-AL-11</t>
  </si>
  <si>
    <t>CH-AL-12</t>
  </si>
  <si>
    <t>CH-AL-13</t>
  </si>
  <si>
    <t>CH-AL-14</t>
  </si>
  <si>
    <t>CH-AL-15</t>
  </si>
  <si>
    <t>CH-AL-16</t>
  </si>
  <si>
    <t>CH-AL-17</t>
  </si>
  <si>
    <t>CH-AL-18</t>
  </si>
  <si>
    <t>CH-AL-19</t>
  </si>
  <si>
    <t>CH-AL-20</t>
  </si>
  <si>
    <t>CH-AL-21</t>
  </si>
  <si>
    <t>CH-AL-22</t>
  </si>
  <si>
    <t>CH-AL-23</t>
  </si>
  <si>
    <t>CH-AL-24</t>
  </si>
  <si>
    <t>CH-AL-25</t>
  </si>
  <si>
    <t>CH-AL-26</t>
  </si>
  <si>
    <t>CH-AL-27</t>
  </si>
  <si>
    <t>CH-AL-28</t>
  </si>
  <si>
    <t>CH-AL-29</t>
  </si>
  <si>
    <t>CH-AL-30</t>
  </si>
  <si>
    <t>CH-AL-31</t>
  </si>
  <si>
    <t>CH-AL-32</t>
  </si>
  <si>
    <t>CH-AL-33</t>
  </si>
  <si>
    <t>CH-AL-34</t>
  </si>
  <si>
    <t>CH-AL-35</t>
  </si>
  <si>
    <t>CH-AL-36</t>
  </si>
  <si>
    <t>CH-AL-37</t>
  </si>
  <si>
    <t>CH-AL-38</t>
  </si>
  <si>
    <t>CH-AL-39</t>
  </si>
  <si>
    <t>CH-AL-40</t>
  </si>
  <si>
    <t>CH-AL-41</t>
  </si>
  <si>
    <t>CH-AL-42</t>
  </si>
  <si>
    <t>CH-AL-43</t>
  </si>
  <si>
    <t>CH-AL-44</t>
  </si>
  <si>
    <t>CH-AL-45</t>
  </si>
  <si>
    <t>CH-AL-46</t>
  </si>
  <si>
    <t>CH-AL-47</t>
  </si>
  <si>
    <t>CH-AL-48</t>
  </si>
  <si>
    <t>CH-AL-49</t>
  </si>
  <si>
    <t>CH-AL-50</t>
  </si>
  <si>
    <t>Longitude</t>
  </si>
  <si>
    <t>Latitude</t>
  </si>
  <si>
    <t>Family</t>
  </si>
  <si>
    <t>Tribe</t>
  </si>
  <si>
    <t>Genus</t>
  </si>
  <si>
    <t>Pres.time</t>
  </si>
  <si>
    <t>ALLO-AUS-244</t>
  </si>
  <si>
    <t>ALLO-AUS-245</t>
  </si>
  <si>
    <t>ALLO-AUS-246</t>
  </si>
  <si>
    <t>ALLO-AUS-247</t>
  </si>
  <si>
    <t>ALLO-AUS-248</t>
  </si>
  <si>
    <t>ALLO-AUS-249</t>
  </si>
  <si>
    <t>ALLO-AUS-250</t>
  </si>
  <si>
    <t>ALLO-AUS-251</t>
  </si>
  <si>
    <t>ALLO-AUS-252</t>
  </si>
  <si>
    <t>ALLO-AUS-253</t>
  </si>
  <si>
    <t>ALLO-AUS-254</t>
  </si>
  <si>
    <t>ALLO-AUS-255</t>
  </si>
  <si>
    <t>ALLO-AUS-256</t>
  </si>
  <si>
    <t>ALLO-AUS-257</t>
  </si>
  <si>
    <t>ALLO-AUS-258</t>
  </si>
  <si>
    <t>ALLO-AUS-259</t>
  </si>
  <si>
    <t>ALLO-AUS-260</t>
  </si>
  <si>
    <t>ALLO-AUS-261</t>
  </si>
  <si>
    <t>ALLO-AUS-262</t>
  </si>
  <si>
    <t>ALLO-AUS-263</t>
  </si>
  <si>
    <t>ALLO-AUS-264</t>
  </si>
  <si>
    <t>ALLO-AUS-265</t>
  </si>
  <si>
    <t>ALLO-AUS-266</t>
  </si>
  <si>
    <t>ALLO-AUS-267</t>
  </si>
  <si>
    <t>ALLO-AUS-268</t>
  </si>
  <si>
    <t>ALLO-AUS-269</t>
  </si>
  <si>
    <t>ALLO-AUS-270</t>
  </si>
  <si>
    <t>ALLO-AUS-271</t>
  </si>
  <si>
    <t>ALLO-AUS-272</t>
  </si>
  <si>
    <t>ALLO-AUS-273</t>
  </si>
  <si>
    <t>ALLO-AUS-274</t>
  </si>
  <si>
    <t>ALLO-AUS-275</t>
  </si>
  <si>
    <t>ALLO-AUS-276</t>
  </si>
  <si>
    <t>ALLO-AUS-277</t>
  </si>
  <si>
    <t>ALLO-AUS-278</t>
  </si>
  <si>
    <t>ALLO-AUS-279</t>
  </si>
  <si>
    <t>ALLO-AUS-280</t>
  </si>
  <si>
    <t>ALLO-AUS-281</t>
  </si>
  <si>
    <t>ALLO-AUS-282</t>
  </si>
  <si>
    <t>ALLO-AUS-283</t>
  </si>
  <si>
    <t>ALLO-AUS-284</t>
  </si>
  <si>
    <t>ALLO-AUS-285</t>
  </si>
  <si>
    <t>ALLO-AUS-286</t>
  </si>
  <si>
    <t>ALLO-AUS-287</t>
  </si>
  <si>
    <t>ALLO-AUS-288</t>
  </si>
  <si>
    <t>ALLO-AUS-289</t>
  </si>
  <si>
    <t>ALLO-AUS-290</t>
  </si>
  <si>
    <t>ALLO-AUS-291</t>
  </si>
  <si>
    <t>ALLO-AUS-292</t>
  </si>
  <si>
    <t>ALLO-AUS-293</t>
  </si>
  <si>
    <t>ALLO-AUS-294</t>
  </si>
  <si>
    <t>ALLO-AUS-295</t>
  </si>
  <si>
    <t>ALLO-AUS-296</t>
  </si>
  <si>
    <t>ALLO-AUS-297</t>
  </si>
  <si>
    <t>ALLO-AUS-298</t>
  </si>
  <si>
    <t>ALLO-AUS-299</t>
  </si>
  <si>
    <t>ALLO-AUS-300</t>
  </si>
  <si>
    <t>CSIRO specimens SA/NT</t>
  </si>
  <si>
    <t>ID#</t>
  </si>
  <si>
    <t>Col.Date</t>
  </si>
  <si>
    <t>Pres.Date</t>
  </si>
  <si>
    <t>Pres.Time</t>
  </si>
  <si>
    <t>State</t>
  </si>
  <si>
    <t>Locality</t>
  </si>
  <si>
    <t>Method</t>
  </si>
  <si>
    <t>ALLO-CSI-1</t>
  </si>
  <si>
    <t>ID1</t>
  </si>
  <si>
    <t>SA</t>
  </si>
  <si>
    <t>Witjira NP, Pumi Bore</t>
  </si>
  <si>
    <t>Malaise</t>
  </si>
  <si>
    <t>ALLO-CSI-2</t>
  </si>
  <si>
    <t>ID16</t>
  </si>
  <si>
    <t>ID4</t>
  </si>
  <si>
    <t>ALLO-CSI-3</t>
  </si>
  <si>
    <t>ALLO-CSI-4</t>
  </si>
  <si>
    <t>ID13</t>
  </si>
  <si>
    <t>Witjira NP, 3O'Clock Creek</t>
  </si>
  <si>
    <t>ALLO-CSI-5</t>
  </si>
  <si>
    <t>ALLO-CSI-6</t>
  </si>
  <si>
    <t>ALLO-CSI-7</t>
  </si>
  <si>
    <t>ALLO-CSI-8</t>
  </si>
  <si>
    <t>MAYBE ID2</t>
  </si>
  <si>
    <t>ALLO-CSI-9</t>
  </si>
  <si>
    <t>ALLO-CSI-10</t>
  </si>
  <si>
    <t>ALLO-CSI-11</t>
  </si>
  <si>
    <t>ALLO-CSI-12</t>
  </si>
  <si>
    <t>ALLO-CSI-13</t>
  </si>
  <si>
    <t>ALLO-CSI-14</t>
  </si>
  <si>
    <t>ALLO-CSI-15</t>
  </si>
  <si>
    <t>ALLO-CSI-16</t>
  </si>
  <si>
    <t>ALLO-CSI-17</t>
  </si>
  <si>
    <t>ALLO-CSI-18</t>
  </si>
  <si>
    <t>ALLO-CSI-19</t>
  </si>
  <si>
    <t>ALLO-CSI-20</t>
  </si>
  <si>
    <t>ALLO-CSI-21</t>
  </si>
  <si>
    <t>ALLO-CSI-22</t>
  </si>
  <si>
    <t>ALLO-CSI-23</t>
  </si>
  <si>
    <t>ALLO-CSI-24</t>
  </si>
  <si>
    <t>ALLO-CSI-25</t>
  </si>
  <si>
    <t>ALLO-CSI-26</t>
  </si>
  <si>
    <t>ALLO-CSI-27</t>
  </si>
  <si>
    <t>ALLO-CSI-28</t>
  </si>
  <si>
    <t>ALLO-CSI-29</t>
  </si>
  <si>
    <t>ALLO-CSI-30</t>
  </si>
  <si>
    <t>ALLO-CSI-31</t>
  </si>
  <si>
    <t>ALLO-CSI-32</t>
  </si>
  <si>
    <t>ALLO-CSI-33</t>
  </si>
  <si>
    <t>ALLO-CSI-34</t>
  </si>
  <si>
    <t>ID15</t>
  </si>
  <si>
    <t>Mount Dare Rd, Creek</t>
  </si>
  <si>
    <t>ALLO-CSI-35</t>
  </si>
  <si>
    <t>ID2</t>
  </si>
  <si>
    <t>NT</t>
  </si>
  <si>
    <t>Dune W Binns Track</t>
  </si>
  <si>
    <t>ALLO-CSI-36</t>
  </si>
  <si>
    <t>ID3</t>
  </si>
  <si>
    <t>Witjira NP, Mound spring</t>
  </si>
  <si>
    <t>ALLO-CSI-37</t>
  </si>
  <si>
    <t>ALLO-CSI-38</t>
  </si>
  <si>
    <t>ALLO-CSI-39</t>
  </si>
  <si>
    <t>ALLO-CSI-40</t>
  </si>
  <si>
    <t>ALLO-CSI-41</t>
  </si>
  <si>
    <t>ALLO-CSI-42</t>
  </si>
  <si>
    <t>ALLO-CSI-43</t>
  </si>
  <si>
    <t>ALLO-CSI-44</t>
  </si>
  <si>
    <t>ALLO-CSI-45</t>
  </si>
  <si>
    <t>ALLO-CSI-46</t>
  </si>
  <si>
    <t>ALLO-CSI-47</t>
  </si>
  <si>
    <t>ALLO-CSI-48</t>
  </si>
  <si>
    <t>ALLO-CSI-49</t>
  </si>
  <si>
    <t>ALLO-CSI-50</t>
  </si>
  <si>
    <t>ALLO-CSI-51</t>
  </si>
  <si>
    <t>ALLO-CSI-52</t>
  </si>
  <si>
    <t>ALLO-CSI-53</t>
  </si>
  <si>
    <t>ALLO-CSI-54</t>
  </si>
  <si>
    <t>ALLO-CSI-55</t>
  </si>
  <si>
    <t>ALLO-CSI-56</t>
  </si>
  <si>
    <t>ALLO-CSI-57</t>
  </si>
  <si>
    <t>ALLO-CSI-58</t>
  </si>
  <si>
    <t>ALLO-CSI-59</t>
  </si>
  <si>
    <t>ALLO-CSI-60</t>
  </si>
  <si>
    <t>ALLO-CSI-61</t>
  </si>
  <si>
    <t>ALLO-CSI-62</t>
  </si>
  <si>
    <t>ALLO-CSI-63</t>
  </si>
  <si>
    <t>ALLO-CSI-64</t>
  </si>
  <si>
    <t>ALLO-CSI-65</t>
  </si>
  <si>
    <t>ALLO-CSI-66</t>
  </si>
  <si>
    <t>ALLO-CSI-67</t>
  </si>
  <si>
    <t>ALLO-CSI-68</t>
  </si>
  <si>
    <t>ALLO-CSI-69</t>
  </si>
  <si>
    <t>ALLO-CSI-70</t>
  </si>
  <si>
    <t>ALLO-CSI-71</t>
  </si>
  <si>
    <t>ALLO-CSI-72</t>
  </si>
  <si>
    <t>ALLO-CSI-73</t>
  </si>
  <si>
    <t>ALLO-CSI-74</t>
  </si>
  <si>
    <t>ALLO-CSI-75</t>
  </si>
  <si>
    <t>ALLO-CSI-76</t>
  </si>
  <si>
    <t>ALLO-CSI-77</t>
  </si>
  <si>
    <t>ALLO-CSI-78</t>
  </si>
  <si>
    <t>ALLO-CSI-79</t>
  </si>
  <si>
    <t>ALLO-CSI-80</t>
  </si>
  <si>
    <t>ID5</t>
  </si>
  <si>
    <t>ALLO-CSI-81</t>
  </si>
  <si>
    <t>ALLO-CSI-82</t>
  </si>
  <si>
    <t>ALLO-CSI-83</t>
  </si>
  <si>
    <t>ALLO-CSI-84</t>
  </si>
  <si>
    <t>ALLO-CSI-85</t>
  </si>
  <si>
    <t>ALLO-CSI-86</t>
  </si>
  <si>
    <t>ALLO-CSI-87</t>
  </si>
  <si>
    <t>ALLO-CSI-88</t>
  </si>
  <si>
    <t>ALLO-CSI-89</t>
  </si>
  <si>
    <t>ALLO-CSI-90</t>
  </si>
  <si>
    <t>ALLO-CSI-91</t>
  </si>
  <si>
    <t>ALLO-CSI-92</t>
  </si>
  <si>
    <t>ALLO-CSI-93</t>
  </si>
  <si>
    <t>ALLO-CSI-94</t>
  </si>
  <si>
    <t>ALLO-CSI-95</t>
  </si>
  <si>
    <t>ALLO-CSI-96</t>
  </si>
  <si>
    <t>ALLO-CSI-97</t>
  </si>
  <si>
    <t>ALLO-CSI-98</t>
  </si>
  <si>
    <t>ALLO-CSI-99</t>
  </si>
  <si>
    <t>ALLO-CSI-100</t>
  </si>
  <si>
    <t>ALLO-CSI-101</t>
  </si>
  <si>
    <t>ALLO-CSI-102</t>
  </si>
  <si>
    <t>ALLO-CSI-103</t>
  </si>
  <si>
    <t>ALLO-CSI-104</t>
  </si>
  <si>
    <t>ALLO-CSI-105</t>
  </si>
  <si>
    <t>ALLO-CSI-106</t>
  </si>
  <si>
    <t>ALLO-CSI-107</t>
  </si>
  <si>
    <t>ALLO-CSI-108</t>
  </si>
  <si>
    <t>ALLO-CSI-109</t>
  </si>
  <si>
    <t>ALLO-CSI-110</t>
  </si>
  <si>
    <t>ALLO-CSI-111</t>
  </si>
  <si>
    <t>ALLO-CSI-112</t>
  </si>
  <si>
    <t>ALLO-CSI-113</t>
  </si>
  <si>
    <t>ALLO-CSI-114</t>
  </si>
  <si>
    <t>ALLO-CSI-115</t>
  </si>
  <si>
    <t>ALLO-CSI-116</t>
  </si>
  <si>
    <t>ALLO-CSI-117</t>
  </si>
  <si>
    <t>ALLO-CSI-118</t>
  </si>
  <si>
    <t>ALLO-CSI-119</t>
  </si>
  <si>
    <t>ALLO-CSI-120</t>
  </si>
  <si>
    <t>ALLO-CSI-121</t>
  </si>
  <si>
    <t>ALLO-CSI-122</t>
  </si>
  <si>
    <t>ALLO-CSI-123</t>
  </si>
  <si>
    <t>ALLO-CSI-124</t>
  </si>
  <si>
    <t>ALLO-CSI-125</t>
  </si>
  <si>
    <t>ALLO-CSI-126</t>
  </si>
  <si>
    <t>ALLO-CSI-127</t>
  </si>
  <si>
    <t>ALLO-CSI-128</t>
  </si>
  <si>
    <t>ALLO-CSI-129</t>
  </si>
  <si>
    <t>ALLO-CSI-130</t>
  </si>
  <si>
    <t>ALLO-CSI-131</t>
  </si>
  <si>
    <t>ID6</t>
  </si>
  <si>
    <t>Witjira NP, Binns Track</t>
  </si>
  <si>
    <t>ALLO-CSI-132</t>
  </si>
  <si>
    <t>ID7</t>
  </si>
  <si>
    <t>Witjira NP, Melaleuca</t>
  </si>
  <si>
    <t>ALLO-CSI-133</t>
  </si>
  <si>
    <t>ID8</t>
  </si>
  <si>
    <t>ALLO-CSI-134</t>
  </si>
  <si>
    <t>ALLO-CSI-135</t>
  </si>
  <si>
    <t>ALLO-CSI-136</t>
  </si>
  <si>
    <t>ID9</t>
  </si>
  <si>
    <t>ALLO-CSI-137</t>
  </si>
  <si>
    <t>ALLO-CSI-138</t>
  </si>
  <si>
    <t>ALLO-CSI-139</t>
  </si>
  <si>
    <t>ALLO-CSI-140</t>
  </si>
  <si>
    <t>ALLO-CSI-141</t>
  </si>
  <si>
    <t>ALLO-CSI-142</t>
  </si>
  <si>
    <t>ALLO-CSI-143</t>
  </si>
  <si>
    <t>ALLO-CSI-144</t>
  </si>
  <si>
    <t>ALLO-CSI-145</t>
  </si>
  <si>
    <t>ALLO-CSI-146</t>
  </si>
  <si>
    <t>ALLO-CSI-147</t>
  </si>
  <si>
    <t>ALLO-CSI-148</t>
  </si>
  <si>
    <t>ALLO-CSI-149</t>
  </si>
  <si>
    <t>ALLO-CSI-150</t>
  </si>
  <si>
    <t>ALLO-CSI-151</t>
  </si>
  <si>
    <t>ALLO-CSI-152</t>
  </si>
  <si>
    <t>ALLO-CSI-153</t>
  </si>
  <si>
    <t>ALLO-CSI-154</t>
  </si>
  <si>
    <t>ID10</t>
  </si>
  <si>
    <t>Witjira NP, Creek</t>
  </si>
  <si>
    <t>ALLO-CSI-155</t>
  </si>
  <si>
    <t>ALLO-CSI-156</t>
  </si>
  <si>
    <t>ALLO-CSI-157</t>
  </si>
  <si>
    <t>ALLO-CSI-158</t>
  </si>
  <si>
    <t>ALLO-CSI-159</t>
  </si>
  <si>
    <t>ALLO-CSI-160</t>
  </si>
  <si>
    <t>ALLO-CSI-161</t>
  </si>
  <si>
    <t>ALLO-CSI-162</t>
  </si>
  <si>
    <t>ALLO-CSI-163</t>
  </si>
  <si>
    <t>ALLO-CSI-164</t>
  </si>
  <si>
    <t>ALLO-CSI-165</t>
  </si>
  <si>
    <t>ALLO-CSI-166</t>
  </si>
  <si>
    <t>ALLO-CSI-167</t>
  </si>
  <si>
    <t>ALLO-CSI-168</t>
  </si>
  <si>
    <t>ALLO-CSI-169</t>
  </si>
  <si>
    <t>ALLO-CSI-170</t>
  </si>
  <si>
    <t>ALLO-CSI-171</t>
  </si>
  <si>
    <t>ALLO-CSI-172</t>
  </si>
  <si>
    <t>ALLO-CSI-173</t>
  </si>
  <si>
    <t>ALLO-CSI-174</t>
  </si>
  <si>
    <t>ALLO-CSI-175</t>
  </si>
  <si>
    <t>ALLO-CSI-176</t>
  </si>
  <si>
    <t>ALLO-CSI-177</t>
  </si>
  <si>
    <t>ALLO-CSI-178</t>
  </si>
  <si>
    <t>ALLO-CSI-179</t>
  </si>
  <si>
    <t>ALLO-CSI-180</t>
  </si>
  <si>
    <t>ALLO-CSI-181</t>
  </si>
  <si>
    <t>ALLO-CSI-182</t>
  </si>
  <si>
    <t>ALLO-CSI-183</t>
  </si>
  <si>
    <t>ALLO-CSI-184</t>
  </si>
  <si>
    <t>ALLO-CSI-185</t>
  </si>
  <si>
    <t>ALLO-CSI-186</t>
  </si>
  <si>
    <t>ALLO-CSI-187</t>
  </si>
  <si>
    <t>ALLO-CSI-188</t>
  </si>
  <si>
    <t>ALLO-CSI-189</t>
  </si>
  <si>
    <t>ALLO-CSI-190</t>
  </si>
  <si>
    <t>ALLO-CSI-191</t>
  </si>
  <si>
    <t>ALLO-CSI-192</t>
  </si>
  <si>
    <t>ALLO-CSI-193</t>
  </si>
  <si>
    <t>ALLO-CSI-194</t>
  </si>
  <si>
    <t>ALLO-CSI-195</t>
  </si>
  <si>
    <t>ALLO-CSI-196</t>
  </si>
  <si>
    <t>ALLO-CSI-197</t>
  </si>
  <si>
    <t>ALLO-CSI-198</t>
  </si>
  <si>
    <t>ALLO-CSI-199</t>
  </si>
  <si>
    <t>ALLO-CSI-200</t>
  </si>
  <si>
    <t>ALLO-CSI-201</t>
  </si>
  <si>
    <t>ALLO-CSI-202</t>
  </si>
  <si>
    <t>ALLO-CSI-203</t>
  </si>
  <si>
    <t>ALLO-CSI-204</t>
  </si>
  <si>
    <t>ALLO-CSI-205</t>
  </si>
  <si>
    <t>ALLO-CSI-206</t>
  </si>
  <si>
    <t>ALLO-CSI-207</t>
  </si>
  <si>
    <t>ALLO-CSI-208</t>
  </si>
  <si>
    <t>ALLO-CSI-209</t>
  </si>
  <si>
    <t>ALLO-CSI-210</t>
  </si>
  <si>
    <t>ALLO-CSI-211</t>
  </si>
  <si>
    <t>ALLO-CSI-212</t>
  </si>
  <si>
    <t>ALLO-CSI-213</t>
  </si>
  <si>
    <t>ALLO-CSI-214</t>
  </si>
  <si>
    <t>ALLO-CSI-215</t>
  </si>
  <si>
    <t>ALLO-CSI-216</t>
  </si>
  <si>
    <t>ALLO-CSI-217</t>
  </si>
  <si>
    <t>ALLO-CSI-218</t>
  </si>
  <si>
    <t>ALLO-CSI-219</t>
  </si>
  <si>
    <t>ALLO-CSI-220</t>
  </si>
  <si>
    <t>ALLO-CSI-221</t>
  </si>
  <si>
    <t>ALLO-CSI-222</t>
  </si>
  <si>
    <t>ALLO-CSI-223</t>
  </si>
  <si>
    <t>ALLO-CSI-224</t>
  </si>
  <si>
    <t>ALLO-CSI-225</t>
  </si>
  <si>
    <t>ALLO-CSI-226</t>
  </si>
  <si>
    <t>ALLO-CSI-227</t>
  </si>
  <si>
    <t>ALLO-CSI-228</t>
  </si>
  <si>
    <t>ALLO-CSI-229</t>
  </si>
  <si>
    <t>ALLO-CSI-230</t>
  </si>
  <si>
    <t>ALLO-CSI-250</t>
  </si>
  <si>
    <t>ALLO-CSI-251</t>
  </si>
  <si>
    <t>ALLO-CSI-252</t>
  </si>
  <si>
    <t>ALLO-CSI-253</t>
  </si>
  <si>
    <t>ALLO-CSI-254</t>
  </si>
  <si>
    <t>ALLO-CSI-255</t>
  </si>
  <si>
    <t>ALLO-CSI-256</t>
  </si>
  <si>
    <t>ALLO-CSI-257</t>
  </si>
  <si>
    <t>ALLO-CSI-258</t>
  </si>
  <si>
    <t>ALLO-CSI-259</t>
  </si>
  <si>
    <t>ALLO-CSI-260</t>
  </si>
  <si>
    <t>ALLO-CSI-261</t>
  </si>
  <si>
    <t>ALLO-CSI-262</t>
  </si>
  <si>
    <t>ALLO-CSI-263</t>
  </si>
  <si>
    <t>ALLO-CSI-264</t>
  </si>
  <si>
    <t>ALLO-CSI-265</t>
  </si>
  <si>
    <t>ALLO-CSI-266</t>
  </si>
  <si>
    <t>ALLO-CSI-267</t>
  </si>
  <si>
    <t>ALLO-CSI-268</t>
  </si>
  <si>
    <t>ALLO-CSI-269</t>
  </si>
  <si>
    <t>ALLO-CSI-270</t>
  </si>
  <si>
    <t>ALLO-CSI-271</t>
  </si>
  <si>
    <t>ALLO-CSI-272</t>
  </si>
  <si>
    <t>ALLO-CSI-273</t>
  </si>
  <si>
    <t>ALLO-CSI-274</t>
  </si>
  <si>
    <t>ALLO-CSI-275</t>
  </si>
  <si>
    <t>ALLO-CSI-276</t>
  </si>
  <si>
    <t>ALLO-CSI-277</t>
  </si>
  <si>
    <t>ALLO-CSI-278</t>
  </si>
  <si>
    <t>ALLO-CSI-279</t>
  </si>
  <si>
    <t>ALLO-CSI-280</t>
  </si>
  <si>
    <t>ALLO-CSI-281</t>
  </si>
  <si>
    <t>ALLO-CSI-282</t>
  </si>
  <si>
    <t>ALLO-CSI-283</t>
  </si>
  <si>
    <t>ALLO-CSI-284</t>
  </si>
  <si>
    <t>ALLO-CSI-285</t>
  </si>
  <si>
    <t>ALLO-CSI-286</t>
  </si>
  <si>
    <t>ALLO-CSI-287</t>
  </si>
  <si>
    <t>ALLO-CSI-288</t>
  </si>
  <si>
    <t>ALLO-CSI-289</t>
  </si>
  <si>
    <t>ALLO-CSI-290</t>
  </si>
  <si>
    <t>ALLO-CSI-291</t>
  </si>
  <si>
    <t>ALLO-CSI-292</t>
  </si>
  <si>
    <t>ALLO-CSI-293</t>
  </si>
  <si>
    <t>ALLO-CSI-294</t>
  </si>
  <si>
    <t>ALLO-CSI-295</t>
  </si>
  <si>
    <t>ALLO-CSI-296</t>
  </si>
  <si>
    <t>ALLO-CSI-297</t>
  </si>
  <si>
    <t>ALLO-CSI-298</t>
  </si>
  <si>
    <t>ALLO-CSI-299</t>
  </si>
  <si>
    <t>ALLO-CSI-300</t>
  </si>
  <si>
    <t>ALLO-CSI-301</t>
  </si>
  <si>
    <t>ALLO-CSI-302</t>
  </si>
  <si>
    <t>ALLO-CSI-303</t>
  </si>
  <si>
    <t>ALLO-CSI-304</t>
  </si>
  <si>
    <t>ALLO-CSI-305</t>
  </si>
  <si>
    <t>ALLO-CSI-306</t>
  </si>
  <si>
    <t>ALLO-CSI-307</t>
  </si>
  <si>
    <t>ALLO-CSI-308</t>
  </si>
  <si>
    <t>ALLO-CSI-309</t>
  </si>
  <si>
    <t>ALLO-CSI-310</t>
  </si>
  <si>
    <t>ALLO-CSI-311</t>
  </si>
  <si>
    <t>ALLO-CSI-312</t>
  </si>
  <si>
    <t>ALLO-CSI-313</t>
  </si>
  <si>
    <t>ALLO-CSI-314</t>
  </si>
  <si>
    <t>ALLO-CSI-315</t>
  </si>
  <si>
    <t>ALLO-CSI-316</t>
  </si>
  <si>
    <t>ALLO-CSI-317</t>
  </si>
  <si>
    <t>ALLO-CSI-318</t>
  </si>
  <si>
    <t>ALLO-CSI-319</t>
  </si>
  <si>
    <t>ALLO-CSI-320</t>
  </si>
  <si>
    <t>ALLO-CSI-321</t>
  </si>
  <si>
    <t>ALLO-CSI-322</t>
  </si>
  <si>
    <t>ALLO-CSI-323</t>
  </si>
  <si>
    <t>ALLO-CSI-324</t>
  </si>
  <si>
    <t>ALLO-CSI-325</t>
  </si>
  <si>
    <t>ALLO-CSI-326</t>
  </si>
  <si>
    <t>ALLO-CSI-327</t>
  </si>
  <si>
    <t>ALLO-CSI-328</t>
  </si>
  <si>
    <t>ALLO-CSI-329</t>
  </si>
  <si>
    <t>ALLO-CSI-330</t>
  </si>
  <si>
    <t>ALLO-CSI-331</t>
  </si>
  <si>
    <t>ALLO-CSI-332</t>
  </si>
  <si>
    <t>ALLO-CSI-334</t>
  </si>
  <si>
    <t>ALLO-CSI-335</t>
  </si>
  <si>
    <t>ALLO-CSI-336</t>
  </si>
  <si>
    <t>ALLO-CSI-337</t>
  </si>
  <si>
    <t>ALLO-CSI-338</t>
  </si>
  <si>
    <t>ALLO-CSI-339</t>
  </si>
  <si>
    <t>ALLO-CSI-340</t>
  </si>
  <si>
    <t>ALLO-CSI-341</t>
  </si>
  <si>
    <t>ALLO-CSI-342</t>
  </si>
  <si>
    <t>ALLO-CSI-343</t>
  </si>
  <si>
    <t>ALLO-CSI-344</t>
  </si>
  <si>
    <t>ALLO-CSI-345</t>
  </si>
  <si>
    <t>ALLO-CSI-346</t>
  </si>
  <si>
    <t>ALLO-CSI-347</t>
  </si>
  <si>
    <t>ALLO-CSI-348</t>
  </si>
  <si>
    <t>ALLO-CSI-349</t>
  </si>
  <si>
    <t>ALLO-CSI-350</t>
  </si>
  <si>
    <t>ALLO-CSI-351</t>
  </si>
  <si>
    <t>ALLO-CSI-352</t>
  </si>
  <si>
    <t>ALLO-CSI-353</t>
  </si>
  <si>
    <t>ALLO-CSI-354</t>
  </si>
  <si>
    <t>ALLO-CSI-355</t>
  </si>
  <si>
    <t>ALLO-CSI-356</t>
  </si>
  <si>
    <t>ALLO-CSI-357</t>
  </si>
  <si>
    <t>ALLO-CSI-358</t>
  </si>
  <si>
    <t>ALLO-CSI-359</t>
  </si>
  <si>
    <t>ALLO-CSI-360</t>
  </si>
  <si>
    <t>ALLO-CSI-361</t>
  </si>
  <si>
    <t>ALLO-CSI-362</t>
  </si>
  <si>
    <t>ALLO-CSI-363</t>
  </si>
  <si>
    <t>ALLO-CSI-364</t>
  </si>
  <si>
    <t>ALLO-CSI-365</t>
  </si>
  <si>
    <t>ALLO-CSI-366</t>
  </si>
  <si>
    <t>ALLO-CSI-367</t>
  </si>
  <si>
    <t>ALLO-CSI-368</t>
  </si>
  <si>
    <t>ALLO-CSI-369</t>
  </si>
  <si>
    <t>ALLO-CSI-370</t>
  </si>
  <si>
    <t>ALLO-CSI-371</t>
  </si>
  <si>
    <t>ALLO-CSI-372</t>
  </si>
  <si>
    <t>ALLO-CSI-373</t>
  </si>
  <si>
    <t>ALLO-CSI-374</t>
  </si>
  <si>
    <t>ALLO-CSI-375</t>
  </si>
  <si>
    <t>ALLO-CSI-376</t>
  </si>
  <si>
    <t>ALLO-CSI-377</t>
  </si>
  <si>
    <t>ALLO-CSI-378</t>
  </si>
  <si>
    <t>ALLO-CSI-379</t>
  </si>
  <si>
    <t>ALLO-CSI-380</t>
  </si>
  <si>
    <t>ALLO-CSI-381</t>
  </si>
  <si>
    <t>ALLO-CSI-382</t>
  </si>
  <si>
    <t>ALLO-CSI-383</t>
  </si>
  <si>
    <t>ALLO-CSI-384</t>
  </si>
  <si>
    <t>ALLO-CSI-385</t>
  </si>
  <si>
    <t>ALLO-CSI-386</t>
  </si>
  <si>
    <t>ALLO-CSI-387</t>
  </si>
  <si>
    <t>ALLO-CSI-388</t>
  </si>
  <si>
    <t>ALLO-CSI-389</t>
  </si>
  <si>
    <t>ALLO-CSI-390</t>
  </si>
  <si>
    <t>ALLO-CSI-391</t>
  </si>
  <si>
    <t>ALLO-CSI-392</t>
  </si>
  <si>
    <t>ALLO-CSI-393</t>
  </si>
  <si>
    <t>ALLO-CSI-394</t>
  </si>
  <si>
    <t>ALLO-CSI-395</t>
  </si>
  <si>
    <t>ALLO-CSI-396</t>
  </si>
  <si>
    <t>ALLO-CSI-397</t>
  </si>
  <si>
    <t>ALLO-CSI-398</t>
  </si>
  <si>
    <t>ALLO-CSI-399</t>
  </si>
  <si>
    <t>ALLO-CSI-400</t>
  </si>
  <si>
    <t>ALLO-CSI-401</t>
  </si>
  <si>
    <t>ALLO-CSI-402</t>
  </si>
  <si>
    <t>ALLO-CSI-403</t>
  </si>
  <si>
    <t>ALLO-CSI-404</t>
  </si>
  <si>
    <t>ALLO-CSI-405</t>
  </si>
  <si>
    <t>ALLO-CSI-406</t>
  </si>
  <si>
    <t>ALLO-CSI-407</t>
  </si>
  <si>
    <t>ALLO-CSI-408</t>
  </si>
  <si>
    <t>ALLO-CSI-409</t>
  </si>
  <si>
    <t>ID11</t>
  </si>
  <si>
    <t>Dune NW off Finke Road</t>
  </si>
  <si>
    <t>Hand</t>
  </si>
  <si>
    <t>ALLO-CSI-410</t>
  </si>
  <si>
    <t>ALLO-CSI-411</t>
  </si>
  <si>
    <t>ALLO-CSI-412</t>
  </si>
  <si>
    <t>ALLO-CSI-413</t>
  </si>
  <si>
    <t>ALLO-CSI-414</t>
  </si>
  <si>
    <t>ALLO-CSI-415</t>
  </si>
  <si>
    <t>ALLO-CSI-416</t>
  </si>
  <si>
    <t>ALLO-CSI-417</t>
  </si>
  <si>
    <t>ALLO-CSI-418</t>
  </si>
  <si>
    <t>ALLO-CSI-419</t>
  </si>
  <si>
    <t>ALLO-CSI-420</t>
  </si>
  <si>
    <t>ALLO-CSI-421</t>
  </si>
  <si>
    <t>ALLO-CSI-422</t>
  </si>
  <si>
    <t>ALLO-CSI-423</t>
  </si>
  <si>
    <t>ALLO-CSI-424</t>
  </si>
  <si>
    <t>ALLO-CSI-425</t>
  </si>
  <si>
    <t>ALLO-CSI-426</t>
  </si>
  <si>
    <t>ALLO-CSI-427</t>
  </si>
  <si>
    <t>ALLO-CSI-428</t>
  </si>
  <si>
    <t>ALLO-CSI-429</t>
  </si>
  <si>
    <t>ALLO-CSI-430</t>
  </si>
  <si>
    <t>ALLO-CSI-431</t>
  </si>
  <si>
    <t>ALLO-CSI-432</t>
  </si>
  <si>
    <t>ALLO-CSI-433</t>
  </si>
  <si>
    <t>ALLO-CSI-434</t>
  </si>
  <si>
    <t>ALLO-CSI-435</t>
  </si>
  <si>
    <t>ALLO-CSI-436</t>
  </si>
  <si>
    <t>ALLO-CSI-437</t>
  </si>
  <si>
    <t>ALLO-CSI-438</t>
  </si>
  <si>
    <t>ALLO-CSI-439</t>
  </si>
  <si>
    <t>ALLO-CSI-440</t>
  </si>
  <si>
    <t>ALLO-CSI-441</t>
  </si>
  <si>
    <t>ALLO-CSI-442</t>
  </si>
  <si>
    <t>ALLO-CSI-443</t>
  </si>
  <si>
    <t>ALLO-CSI-444</t>
  </si>
  <si>
    <t>ALLO-CSI-445</t>
  </si>
  <si>
    <t>ID12</t>
  </si>
  <si>
    <t>ALLO-CSI-446</t>
  </si>
  <si>
    <t>ALLO-CSI-447</t>
  </si>
  <si>
    <t>ALLO-CSI-448</t>
  </si>
  <si>
    <t>ALLO-CSI-449</t>
  </si>
  <si>
    <t>ALLO-CSI-450</t>
  </si>
  <si>
    <t>ALLO-CSI-451</t>
  </si>
  <si>
    <t>ALLO-CSI-452</t>
  </si>
  <si>
    <t>ALLO-CSI-453</t>
  </si>
  <si>
    <t>ALLO-CSI-454</t>
  </si>
  <si>
    <t>ALLO-CSI-455</t>
  </si>
  <si>
    <t>ALLO-CSI-456</t>
  </si>
  <si>
    <t>ALLO-CSI-457</t>
  </si>
  <si>
    <t>ALLO-CSI-458</t>
  </si>
  <si>
    <t>ALLO-CSI-459</t>
  </si>
  <si>
    <t>ALLO-CSI-460</t>
  </si>
  <si>
    <t>ALLO-CSI-461</t>
  </si>
  <si>
    <t>ANDRENA</t>
  </si>
  <si>
    <t>NOT.PRES</t>
  </si>
  <si>
    <t>PINNED</t>
  </si>
  <si>
    <t>ALLO-GER-437</t>
  </si>
  <si>
    <t>ALCOHOL</t>
  </si>
  <si>
    <t>VIAL</t>
  </si>
  <si>
    <t>ALLO-GER-436</t>
  </si>
  <si>
    <t>Halictus</t>
  </si>
  <si>
    <t>ALLO-GER-435</t>
  </si>
  <si>
    <t>ALLO-GER-434</t>
  </si>
  <si>
    <t>ALLO-GER-433</t>
  </si>
  <si>
    <t>ALLO-GER-432</t>
  </si>
  <si>
    <t>ALLO-GER-431</t>
  </si>
  <si>
    <t>ALLO-GER-430</t>
  </si>
  <si>
    <t>ALLO-GER-429</t>
  </si>
  <si>
    <t>ALLO-GER-428</t>
  </si>
  <si>
    <t>ALLO-GER-427</t>
  </si>
  <si>
    <t>ALLO-GER-426</t>
  </si>
  <si>
    <t>ALLO-GER-425</t>
  </si>
  <si>
    <t>ALLO-GER-424</t>
  </si>
  <si>
    <t>ALLO-GER-423</t>
  </si>
  <si>
    <t>ALLO-GER-422</t>
  </si>
  <si>
    <t>Bombus</t>
  </si>
  <si>
    <t>ALLO-GER-421</t>
  </si>
  <si>
    <t>ALLO-GER-420</t>
  </si>
  <si>
    <t>ALLO-GER-419</t>
  </si>
  <si>
    <t>ALLO-GER-418</t>
  </si>
  <si>
    <t>ALLO-GER-417</t>
  </si>
  <si>
    <t>ALLO-GER-416</t>
  </si>
  <si>
    <t>ALLO-GER-415</t>
  </si>
  <si>
    <t>ALLO-GER-414</t>
  </si>
  <si>
    <t>ALLO-GER-413</t>
  </si>
  <si>
    <t>F</t>
  </si>
  <si>
    <t>ALLO-GER-412</t>
  </si>
  <si>
    <t>ALLO-GER-411</t>
  </si>
  <si>
    <t>ALLO-GER-410</t>
  </si>
  <si>
    <t>ALLO-GER-409</t>
  </si>
  <si>
    <t>ALLO-GER-408</t>
  </si>
  <si>
    <t>ALLO-GER-407</t>
  </si>
  <si>
    <t>ALLO-GER-406</t>
  </si>
  <si>
    <t>ALLO-GER-405</t>
  </si>
  <si>
    <t>ALLO-GER-404</t>
  </si>
  <si>
    <t>ALLO-GER-403</t>
  </si>
  <si>
    <t>ALLO-GER-402</t>
  </si>
  <si>
    <t>ALLO-GER-401</t>
  </si>
  <si>
    <t>ALLO-GER-400</t>
  </si>
  <si>
    <t>ALLO-GER-399</t>
  </si>
  <si>
    <t>ALLO-GER-398</t>
  </si>
  <si>
    <t>ALLO-GER-397</t>
  </si>
  <si>
    <t>ALLO-GER-396</t>
  </si>
  <si>
    <t>ALLO-GER-395</t>
  </si>
  <si>
    <t>ALLO-GER-394</t>
  </si>
  <si>
    <t>ALLO-GER-393</t>
  </si>
  <si>
    <t>ALLO-GER-392</t>
  </si>
  <si>
    <t>ALLO-GER-391</t>
  </si>
  <si>
    <t>ALLO-GER-390</t>
  </si>
  <si>
    <t>ALLO-GER-389</t>
  </si>
  <si>
    <t>ALLO-GER-388</t>
  </si>
  <si>
    <t>ALLO-GER-387</t>
  </si>
  <si>
    <t>ALLO-GER-386</t>
  </si>
  <si>
    <t>ALLO-GER-385</t>
  </si>
  <si>
    <t>M</t>
  </si>
  <si>
    <t>ALLO-GER-384</t>
  </si>
  <si>
    <t>ALLO-GER-383</t>
  </si>
  <si>
    <t>ALLO-GER-382</t>
  </si>
  <si>
    <t>ALLO-GER-381</t>
  </si>
  <si>
    <t>ALLO-GER-380</t>
  </si>
  <si>
    <t>ALLO-GER-379</t>
  </si>
  <si>
    <t>ALLO-GER-378</t>
  </si>
  <si>
    <t>ALLO-GER-377</t>
  </si>
  <si>
    <t>ALLO-GER-376</t>
  </si>
  <si>
    <t>ALLO-GER-375</t>
  </si>
  <si>
    <t>ALLO-GER-374</t>
  </si>
  <si>
    <t>ALLO-GER-373</t>
  </si>
  <si>
    <t>ALLO-GER-372</t>
  </si>
  <si>
    <t>ALLO-GER-371</t>
  </si>
  <si>
    <t>ALLO-GER-370</t>
  </si>
  <si>
    <t>ALLO-GER-369</t>
  </si>
  <si>
    <t>ALLO-GER-368</t>
  </si>
  <si>
    <t>GER-367</t>
  </si>
  <si>
    <t>ALLO-GER-367</t>
  </si>
  <si>
    <t>ALLO-GER-366</t>
  </si>
  <si>
    <t>abdomen lost</t>
  </si>
  <si>
    <t>ALLO-GER-365</t>
  </si>
  <si>
    <t>ALLO-GER-364</t>
  </si>
  <si>
    <t>ALLO-GER-363</t>
  </si>
  <si>
    <t>ALLO-GER-362</t>
  </si>
  <si>
    <t>ALLO-GER-361</t>
  </si>
  <si>
    <t>ALLO-GER-360</t>
  </si>
  <si>
    <t>ALLO-GER-359</t>
  </si>
  <si>
    <t>ALLO-GER-358</t>
  </si>
  <si>
    <t>ALLO-GER-357</t>
  </si>
  <si>
    <t>ALLO-GER-356</t>
  </si>
  <si>
    <t>ALLO-GER-355</t>
  </si>
  <si>
    <t>ALLO-GER-354</t>
  </si>
  <si>
    <t>ALLO-GER-353</t>
  </si>
  <si>
    <t>ALLO-GER-352</t>
  </si>
  <si>
    <t>ALLO-GER-351</t>
  </si>
  <si>
    <t>ALLO-GER-350</t>
  </si>
  <si>
    <t>ALLO-GER-349</t>
  </si>
  <si>
    <t>ALLO-GER-348</t>
  </si>
  <si>
    <t>ALLO-GER-347</t>
  </si>
  <si>
    <t>ALLO-GER-346</t>
  </si>
  <si>
    <t>ALLO-GER-345</t>
  </si>
  <si>
    <t>ALLO-GER-344</t>
  </si>
  <si>
    <t>ALLO-GER-343</t>
  </si>
  <si>
    <t>ALLO-GER-342</t>
  </si>
  <si>
    <t>ALLO-GER-341</t>
  </si>
  <si>
    <t>ALLO-GER-340</t>
  </si>
  <si>
    <t>ALLO-GER-339</t>
  </si>
  <si>
    <t>ALLO-GER-338</t>
  </si>
  <si>
    <t>ALLO-GER-337</t>
  </si>
  <si>
    <t>ALLO-GER-336</t>
  </si>
  <si>
    <t>ALLO-GER-335</t>
  </si>
  <si>
    <t>ALLO-GER-334</t>
  </si>
  <si>
    <t>ALLO-GER-333</t>
  </si>
  <si>
    <t>ALLO-GER-332</t>
  </si>
  <si>
    <t>ALLO-GER-331</t>
  </si>
  <si>
    <t>ALLO-GER-330</t>
  </si>
  <si>
    <t>ALLO-GER-329</t>
  </si>
  <si>
    <t>ALLO-GER-328</t>
  </si>
  <si>
    <t>ALLO-GER-327</t>
  </si>
  <si>
    <t>ALLO-GER-326</t>
  </si>
  <si>
    <t>ALLO-GER-325</t>
  </si>
  <si>
    <t>ALLO-GER-324</t>
  </si>
  <si>
    <t>ALLO-GER-323</t>
  </si>
  <si>
    <t>ALLO-GER-322</t>
  </si>
  <si>
    <t>ALLO-GER-321</t>
  </si>
  <si>
    <t>ALLO-GER-320</t>
  </si>
  <si>
    <t>ALLO-GER-319</t>
  </si>
  <si>
    <t>ALLO-GER-318</t>
  </si>
  <si>
    <t>ALLO-GER-317</t>
  </si>
  <si>
    <t>ALLO-GER-316</t>
  </si>
  <si>
    <t>ALLO-GER-315</t>
  </si>
  <si>
    <t>ALLO-GER-314</t>
  </si>
  <si>
    <t>ALLO-GER-313</t>
  </si>
  <si>
    <t>ALLO-GER-312</t>
  </si>
  <si>
    <t>ALLO-GER-311</t>
  </si>
  <si>
    <t>ALLO-GER-310</t>
  </si>
  <si>
    <t>ALLO-GER-309</t>
  </si>
  <si>
    <t>ALLO-GER-308</t>
  </si>
  <si>
    <t>ALLO-GER-307</t>
  </si>
  <si>
    <t>ALLO-GER-306</t>
  </si>
  <si>
    <t>ALLO-GER-305</t>
  </si>
  <si>
    <t>ALLO-GER-304</t>
  </si>
  <si>
    <t>ALLO-GER-303</t>
  </si>
  <si>
    <t>ALLO-GER-302</t>
  </si>
  <si>
    <t>ALLO-GER-301</t>
  </si>
  <si>
    <t>ALLO-GER-300</t>
  </si>
  <si>
    <t>ALLO-GER-299</t>
  </si>
  <si>
    <t>ALLO-GER-298</t>
  </si>
  <si>
    <t>ALLO-GER-297</t>
  </si>
  <si>
    <t>ALLO-GER-296</t>
  </si>
  <si>
    <t>ALLO-GER-295</t>
  </si>
  <si>
    <t>ALLO-GER-294</t>
  </si>
  <si>
    <t>ALLO-GER-293</t>
  </si>
  <si>
    <t>ALLO-GER-292</t>
  </si>
  <si>
    <t>ALLO-GER-291</t>
  </si>
  <si>
    <t>ALLO-GER-290</t>
  </si>
  <si>
    <t>ALLO-GER-289</t>
  </si>
  <si>
    <t>ALLO-GER-288</t>
  </si>
  <si>
    <t>ALLO-GER-287</t>
  </si>
  <si>
    <t>ALLO-GER-286</t>
  </si>
  <si>
    <t>ALLO-GER-285</t>
  </si>
  <si>
    <t>ALLO-GER-284</t>
  </si>
  <si>
    <t>ALLO-GER-283</t>
  </si>
  <si>
    <t>ALLO-GER-282</t>
  </si>
  <si>
    <t>ALLO-GER-281</t>
  </si>
  <si>
    <t>ALLO-GER-280</t>
  </si>
  <si>
    <t>ALLO-GER-279</t>
  </si>
  <si>
    <t>ALLO-GER-278</t>
  </si>
  <si>
    <t>ALLO-GER-277</t>
  </si>
  <si>
    <t>ALLO-GER-276</t>
  </si>
  <si>
    <t>ALLO-GER-275</t>
  </si>
  <si>
    <t>ALLO-GER-274</t>
  </si>
  <si>
    <t>ALLO-GER-273</t>
  </si>
  <si>
    <t>ALLO-GER-272</t>
  </si>
  <si>
    <t>ALLO-GER-271</t>
  </si>
  <si>
    <t>ALLO-GER-270</t>
  </si>
  <si>
    <t>ALLO-GER-269</t>
  </si>
  <si>
    <t>ALLO-GER-268</t>
  </si>
  <si>
    <t>ALLO-GER-267</t>
  </si>
  <si>
    <t>ALLO-GER-266</t>
  </si>
  <si>
    <t>ALLO-GER-265</t>
  </si>
  <si>
    <t>ALLO-GER-264</t>
  </si>
  <si>
    <t>ALLO-GER-263</t>
  </si>
  <si>
    <t>ALLO-GER-262</t>
  </si>
  <si>
    <t>ALLO-GER-261</t>
  </si>
  <si>
    <t>ALLO-GER-260</t>
  </si>
  <si>
    <t>ALLO-GER-259</t>
  </si>
  <si>
    <t>ALLO-GER-258</t>
  </si>
  <si>
    <t>ALLO-GER-257</t>
  </si>
  <si>
    <t>ALLO-GER-256</t>
  </si>
  <si>
    <t>ALLO-GER-255</t>
  </si>
  <si>
    <t>ALLO-GER-254</t>
  </si>
  <si>
    <t>ALLO-GER-253</t>
  </si>
  <si>
    <t>ALLO-GER-252</t>
  </si>
  <si>
    <t>ALLO-GER-251</t>
  </si>
  <si>
    <t>ALLO-GER-250</t>
  </si>
  <si>
    <t>ALLO-GER-249</t>
  </si>
  <si>
    <t>ALLO-GER-248</t>
  </si>
  <si>
    <t>ALLO-GER-247</t>
  </si>
  <si>
    <t>ALLO-GER-246</t>
  </si>
  <si>
    <t>ALLO-GER-245</t>
  </si>
  <si>
    <t>ALLO-GER-244</t>
  </si>
  <si>
    <t>ALLO-GER-243</t>
  </si>
  <si>
    <t>ALLO-GER-242</t>
  </si>
  <si>
    <t>ALLO-GER-241</t>
  </si>
  <si>
    <t>ALLO-GER-240</t>
  </si>
  <si>
    <t>ALLO-GER-239</t>
  </si>
  <si>
    <t>ALLO-GER-238</t>
  </si>
  <si>
    <t>ALLO-GER-237</t>
  </si>
  <si>
    <t>Gender</t>
  </si>
  <si>
    <t>ALLO-GER-236</t>
  </si>
  <si>
    <t>ALLO-GER-235</t>
  </si>
  <si>
    <t>ALLO-GER-234</t>
  </si>
  <si>
    <t>ALLO-GER-233</t>
  </si>
  <si>
    <t>ALLO-GER-232</t>
  </si>
  <si>
    <t>ALLO-GER-231</t>
  </si>
  <si>
    <t>ALLO-GER-228</t>
  </si>
  <si>
    <t>ALLO-GER-226</t>
  </si>
  <si>
    <t>ALLO-GER-225</t>
  </si>
  <si>
    <t>ALLO-GER-224</t>
  </si>
  <si>
    <t>ALLO-GER-223</t>
  </si>
  <si>
    <t>ALLO-GER-222</t>
  </si>
  <si>
    <t>ALLO-GER-221</t>
  </si>
  <si>
    <t>ALLO-GER-220</t>
  </si>
  <si>
    <t>ALLO-GER-219</t>
  </si>
  <si>
    <t>ALLO-GER-218</t>
  </si>
  <si>
    <t>ALLO-GER-217</t>
  </si>
  <si>
    <t>ALLO-GER-216</t>
  </si>
  <si>
    <t>ALLO-GER-215</t>
  </si>
  <si>
    <t>ALLO-GER-214</t>
  </si>
  <si>
    <t>ALLO-GER-213</t>
  </si>
  <si>
    <t>ALLO-GER-212</t>
  </si>
  <si>
    <t>ALLO-GER-211</t>
  </si>
  <si>
    <t>ALLO-GER-210</t>
  </si>
  <si>
    <t>ALLO-GER-209</t>
  </si>
  <si>
    <t>ALLO-GER-208</t>
  </si>
  <si>
    <t>ALLO-GER-207</t>
  </si>
  <si>
    <t>ALLO-GER-206</t>
  </si>
  <si>
    <t>ALLO-GER-205</t>
  </si>
  <si>
    <t>ALLO-GER-204</t>
  </si>
  <si>
    <t>ALLO-GER-203</t>
  </si>
  <si>
    <t>ALLO-GER-202</t>
  </si>
  <si>
    <t>ALLO-GER-201</t>
  </si>
  <si>
    <t>ALLO-GER-200</t>
  </si>
  <si>
    <t>ALLO-GER-199</t>
  </si>
  <si>
    <t>ALLO-GER-198</t>
  </si>
  <si>
    <t>ALLO-GER-197</t>
  </si>
  <si>
    <t>ALLO-GER-196</t>
  </si>
  <si>
    <t>ALLO-GER-195</t>
  </si>
  <si>
    <t>ALLO-GER-194</t>
  </si>
  <si>
    <t>ALLO-GER-192</t>
  </si>
  <si>
    <t>ALLO-GER-191</t>
  </si>
  <si>
    <t>ALLO-GER-190</t>
  </si>
  <si>
    <t>ALLO-GER-189</t>
  </si>
  <si>
    <t>ALLO-GER-188</t>
  </si>
  <si>
    <t>ALLO-GER-187</t>
  </si>
  <si>
    <t>ALLO-GER-186</t>
  </si>
  <si>
    <t>ALLO-GER-185</t>
  </si>
  <si>
    <t>ALLO-GER-184</t>
  </si>
  <si>
    <t>ALLO-GER-183</t>
  </si>
  <si>
    <t>ALLO-GER-182</t>
  </si>
  <si>
    <t>ALLO-GER-181</t>
  </si>
  <si>
    <t>ALLO-GER-180</t>
  </si>
  <si>
    <t>ALLO-GER-179</t>
  </si>
  <si>
    <t>ALLO-GER-178</t>
  </si>
  <si>
    <t>ALLO-GER-177</t>
  </si>
  <si>
    <t>ALLO-GER-176</t>
  </si>
  <si>
    <t>ALLO-GER-175</t>
  </si>
  <si>
    <t>ALLO-GER-174</t>
  </si>
  <si>
    <t>ALLO-GER-173</t>
  </si>
  <si>
    <t>ALLO-GER-172</t>
  </si>
  <si>
    <t>ALLO-GER-171</t>
  </si>
  <si>
    <t>ALLO-GER-170</t>
  </si>
  <si>
    <t>ALLO-GER-169</t>
  </si>
  <si>
    <t>ALLO-GER-168</t>
  </si>
  <si>
    <t>ALLO-GER-167</t>
  </si>
  <si>
    <t>ALLO-GER-166</t>
  </si>
  <si>
    <t>ALLO-GER-165</t>
  </si>
  <si>
    <t>ALLO-GER-164</t>
  </si>
  <si>
    <t>ALLO-GER-163</t>
  </si>
  <si>
    <t>ALLO-GER-162</t>
  </si>
  <si>
    <t>ALLO-GER-161</t>
  </si>
  <si>
    <t>ALLO-GER-160</t>
  </si>
  <si>
    <t>ALLO-GER-159</t>
  </si>
  <si>
    <t>ALLO-GER-158</t>
  </si>
  <si>
    <t>ALLO-GER-157</t>
  </si>
  <si>
    <t>ALLO-GER-156</t>
  </si>
  <si>
    <t>ALLO-GER-155</t>
  </si>
  <si>
    <t>ALLO-GER-154</t>
  </si>
  <si>
    <t>ALLO-GER-153</t>
  </si>
  <si>
    <t>ALLO-GER-152</t>
  </si>
  <si>
    <t>ALLO-GER-151</t>
  </si>
  <si>
    <t>ALLO-GER-150</t>
  </si>
  <si>
    <t>ALLO-GER-149</t>
  </si>
  <si>
    <t>ALLO-GER-148</t>
  </si>
  <si>
    <t>ALLO-GER-147</t>
  </si>
  <si>
    <t>ALLO-GER-146</t>
  </si>
  <si>
    <t>ALLO-GER-145</t>
  </si>
  <si>
    <t>ALLO-GER-144</t>
  </si>
  <si>
    <t>ALLO-GER-143</t>
  </si>
  <si>
    <t>ALLO-GER-142</t>
  </si>
  <si>
    <t>ALLO-GER-141</t>
  </si>
  <si>
    <t>ALLO-GER-140</t>
  </si>
  <si>
    <t>ALLO-GER-139</t>
  </si>
  <si>
    <t>ALLO-GER-138</t>
  </si>
  <si>
    <t>ALLO-GER-137</t>
  </si>
  <si>
    <t>ALLO-GER-136</t>
  </si>
  <si>
    <t>ALLO-GER-135</t>
  </si>
  <si>
    <t>ALLO-GER-134</t>
  </si>
  <si>
    <t>ALLO-GER-133</t>
  </si>
  <si>
    <t>ALLO-GER-132</t>
  </si>
  <si>
    <t>ALLO-GER-131</t>
  </si>
  <si>
    <t>ALLO-GER-130</t>
  </si>
  <si>
    <t>ALLO-GER-129</t>
  </si>
  <si>
    <t>ALLO-GER-128</t>
  </si>
  <si>
    <t>ALLO-GER-127</t>
  </si>
  <si>
    <t>ALLO-GER-126</t>
  </si>
  <si>
    <t>ALLO-GER-125</t>
  </si>
  <si>
    <t>ALLO-GER-124</t>
  </si>
  <si>
    <t>ALLO-GER-123</t>
  </si>
  <si>
    <t>ALLO-GER-122</t>
  </si>
  <si>
    <t>ALLO-GER-121</t>
  </si>
  <si>
    <t>ALLO-GER-120</t>
  </si>
  <si>
    <t>ALLO-GER-119</t>
  </si>
  <si>
    <t>ALLO-GER-118</t>
  </si>
  <si>
    <t>ALLO-GER-117</t>
  </si>
  <si>
    <t>ALLO-GER-116</t>
  </si>
  <si>
    <t>ALLO-GER-115</t>
  </si>
  <si>
    <t>ALLO-GER-114</t>
  </si>
  <si>
    <t>ALLO-GER-113</t>
  </si>
  <si>
    <t>ALLO-GER-112</t>
  </si>
  <si>
    <t>ALLO-GER-111</t>
  </si>
  <si>
    <t>ALLO-GER-110</t>
  </si>
  <si>
    <t>ALLO-GER-109</t>
  </si>
  <si>
    <t>ALLO-GER-108</t>
  </si>
  <si>
    <t>ALLO-GER-106</t>
  </si>
  <si>
    <t>ALLO-GER-105</t>
  </si>
  <si>
    <t>ALLO-GER-104</t>
  </si>
  <si>
    <t>ALLO-GER-103</t>
  </si>
  <si>
    <t>ALLO-GER-102</t>
  </si>
  <si>
    <t>ALLO-GER-101</t>
  </si>
  <si>
    <t>ALLO-GER-100</t>
  </si>
  <si>
    <t>ALLO-GER-99</t>
  </si>
  <si>
    <t>ALLO-GER-98</t>
  </si>
  <si>
    <t>ALLO-GER-97</t>
  </si>
  <si>
    <t>ALLO-GER-96</t>
  </si>
  <si>
    <t>ALLO-GER-95</t>
  </si>
  <si>
    <t>ALLO-GER-94</t>
  </si>
  <si>
    <t>ALLO-GER-93</t>
  </si>
  <si>
    <t>ALLO-GER-92</t>
  </si>
  <si>
    <t>ALLO-GER-91</t>
  </si>
  <si>
    <t>ALLO-GER-90</t>
  </si>
  <si>
    <t>ALLO-GER-89</t>
  </si>
  <si>
    <t>ALLO-GER-88</t>
  </si>
  <si>
    <t>ALLO-GER-87</t>
  </si>
  <si>
    <t>ALLO-GER-86</t>
  </si>
  <si>
    <t>ALLO-GER-85</t>
  </si>
  <si>
    <t>ALLO-GER-84</t>
  </si>
  <si>
    <t>ALLO-GER-83</t>
  </si>
  <si>
    <t>ALLO-GER-82</t>
  </si>
  <si>
    <t>ALLO-GER-81</t>
  </si>
  <si>
    <t>ALLO-GER-80</t>
  </si>
  <si>
    <t>ALLO-GER-79</t>
  </si>
  <si>
    <t>ALLO-GER-78</t>
  </si>
  <si>
    <t>ALLO-GER-77</t>
  </si>
  <si>
    <t>ALLO-GER-76</t>
  </si>
  <si>
    <t>ALLO-GER-75</t>
  </si>
  <si>
    <t>ALLO-GER-74</t>
  </si>
  <si>
    <t>ALLO-GER-73</t>
  </si>
  <si>
    <t>ALLO-GER-72</t>
  </si>
  <si>
    <t>ALLO-GER-71</t>
  </si>
  <si>
    <t>ALLO-GER-70</t>
  </si>
  <si>
    <t>ALLO-GER-69</t>
  </si>
  <si>
    <t>ALLO-GER-68</t>
  </si>
  <si>
    <t>ALLO-GER-67</t>
  </si>
  <si>
    <t>ALLO-GER-66</t>
  </si>
  <si>
    <t>ALLO-GER-65</t>
  </si>
  <si>
    <t>ALLO-GER-64</t>
  </si>
  <si>
    <t>ALLO-GER-63</t>
  </si>
  <si>
    <t>ALLO-GER-62</t>
  </si>
  <si>
    <t>ALLO-GER-61</t>
  </si>
  <si>
    <t>ALLO-GER-60</t>
  </si>
  <si>
    <t>ALLO-GER-59</t>
  </si>
  <si>
    <t>ALLO-GER-58</t>
  </si>
  <si>
    <t>ALLO-GER-57</t>
  </si>
  <si>
    <t>ALLO-GER-56</t>
  </si>
  <si>
    <t>ALLO-GER-55</t>
  </si>
  <si>
    <t>ALLO-GER-54</t>
  </si>
  <si>
    <t>ALLO-GER-53</t>
  </si>
  <si>
    <t>ALLO-GER-52</t>
  </si>
  <si>
    <t>ALLO-GER-51</t>
  </si>
  <si>
    <t>ALLO-GER-50</t>
  </si>
  <si>
    <t>ALLO-GER-49</t>
  </si>
  <si>
    <t>ALLO-GER-48</t>
  </si>
  <si>
    <t>ALLO-GER-47</t>
  </si>
  <si>
    <t>ALLO-GER-46</t>
  </si>
  <si>
    <t>ALLO-GER-45</t>
  </si>
  <si>
    <t>ALLO-GER-44</t>
  </si>
  <si>
    <t>ALLO-GER-43</t>
  </si>
  <si>
    <t>ALLO-GER-42</t>
  </si>
  <si>
    <t>ALLO-GER-41</t>
  </si>
  <si>
    <t>ALLO-GER-40</t>
  </si>
  <si>
    <t>ALLO-GER-39</t>
  </si>
  <si>
    <t>ALLO-GER-38</t>
  </si>
  <si>
    <t>ALLO-GER-37</t>
  </si>
  <si>
    <t>ALLO-GER-36</t>
  </si>
  <si>
    <t>ALLO-GER-35</t>
  </si>
  <si>
    <t>ALLO-GER-34</t>
  </si>
  <si>
    <t>ALLO-GER-33</t>
  </si>
  <si>
    <t>ALLO-GER-32</t>
  </si>
  <si>
    <t>ALLO-GER-31</t>
  </si>
  <si>
    <t>ALLO-GER-30</t>
  </si>
  <si>
    <t>ALLO-GER-29</t>
  </si>
  <si>
    <t>ALLO-GER-28</t>
  </si>
  <si>
    <t>ALLO-GER-27</t>
  </si>
  <si>
    <t>ALLO-GER-26</t>
  </si>
  <si>
    <t>ALLO-GER-25</t>
  </si>
  <si>
    <t>ALLO-GER-24</t>
  </si>
  <si>
    <t>ALLO-GER-23</t>
  </si>
  <si>
    <t>ALLO-GER-22</t>
  </si>
  <si>
    <t>ALLO-GER-21</t>
  </si>
  <si>
    <t>ALLO-GER-20</t>
  </si>
  <si>
    <t>ALLO-GER-19</t>
  </si>
  <si>
    <t>ALLO-GER-18</t>
  </si>
  <si>
    <t>ALLO-GER-17</t>
  </si>
  <si>
    <t>ALLO-GER-16</t>
  </si>
  <si>
    <t>ALLO-GER-15</t>
  </si>
  <si>
    <t>ALLO-GER-14</t>
  </si>
  <si>
    <t>ALLO-GER-13</t>
  </si>
  <si>
    <t>ALLO-GER-12</t>
  </si>
  <si>
    <t>ALLO-GER-11</t>
  </si>
  <si>
    <t>ALLO-GER-10</t>
  </si>
  <si>
    <t>ALLO-GER-9</t>
  </si>
  <si>
    <t>ALLO-GER-8</t>
  </si>
  <si>
    <t>ALLO-GER-7</t>
  </si>
  <si>
    <t>ALLO-GER-6</t>
  </si>
  <si>
    <t>ALLO-GER-5</t>
  </si>
  <si>
    <t>ALLO-GER-4</t>
  </si>
  <si>
    <t>ALLO-GER-3</t>
  </si>
  <si>
    <t>ALLO-GER-2</t>
  </si>
  <si>
    <t>ALLO-GER-1</t>
  </si>
  <si>
    <t>Pres.date</t>
  </si>
  <si>
    <t>Col.date</t>
  </si>
  <si>
    <t>Treatment</t>
  </si>
  <si>
    <t>Stored</t>
  </si>
  <si>
    <t>ALLO-GER-738</t>
  </si>
  <si>
    <t>ALLO-GER-737</t>
  </si>
  <si>
    <t>ALLO-GER-719</t>
  </si>
  <si>
    <t>ALLO-GER-715</t>
  </si>
  <si>
    <t>ALLO-GER-714</t>
  </si>
  <si>
    <t>ALLO-GER-696</t>
  </si>
  <si>
    <t>ALLO-GER-695</t>
  </si>
  <si>
    <t>ALLO-GER-694</t>
  </si>
  <si>
    <t>ALLO-GER-693</t>
  </si>
  <si>
    <t>ALLO-GER-692</t>
  </si>
  <si>
    <t>ALLO-GER-691</t>
  </si>
  <si>
    <t>ALLO-GER-673</t>
  </si>
  <si>
    <t>ALLO-GER-672</t>
  </si>
  <si>
    <t>ALLO-GER-671</t>
  </si>
  <si>
    <t>ALLO-GER-670</t>
  </si>
  <si>
    <t>ALLO-GER-668</t>
  </si>
  <si>
    <t>ALLO-GER-650</t>
  </si>
  <si>
    <t>ALLO-GER-648</t>
  </si>
  <si>
    <t>ALLO-GER-647</t>
  </si>
  <si>
    <t>ALLO-GER-646</t>
  </si>
  <si>
    <t>ALLO-GER-645</t>
  </si>
  <si>
    <t>ALLO-GER-644</t>
  </si>
  <si>
    <t>ALLO-GER-627</t>
  </si>
  <si>
    <t>ALLO-GER-625</t>
  </si>
  <si>
    <t>ALLO-GER-621</t>
  </si>
  <si>
    <t>ALLO-GER-604</t>
  </si>
  <si>
    <t>ALLO-GER-603</t>
  </si>
  <si>
    <t>ALLO-GER-601</t>
  </si>
  <si>
    <t>ALLO-GER-600</t>
  </si>
  <si>
    <t>ALLO-GER-599</t>
  </si>
  <si>
    <t>ALLO-GER-598</t>
  </si>
  <si>
    <t>ALLO-GER-597</t>
  </si>
  <si>
    <t>ALLO-GER-596</t>
  </si>
  <si>
    <t>ALLO-GER-595</t>
  </si>
  <si>
    <t>ALLO-GER-594</t>
  </si>
  <si>
    <t>ALLO-GER-593</t>
  </si>
  <si>
    <t>ALLO-GER-592</t>
  </si>
  <si>
    <t>ALLO-GER-591</t>
  </si>
  <si>
    <t>ALLO-GER-590</t>
  </si>
  <si>
    <t>ALLO-GER-589</t>
  </si>
  <si>
    <t>ALLO-GER-588</t>
  </si>
  <si>
    <t>ALLO-GER-587</t>
  </si>
  <si>
    <t>ALLO-GER-586</t>
  </si>
  <si>
    <t>ALLO-GER-585</t>
  </si>
  <si>
    <t>ALLO-GER-584</t>
  </si>
  <si>
    <t>ALLO-GER-583</t>
  </si>
  <si>
    <t>ALLO-GER-582</t>
  </si>
  <si>
    <t>ALLO-GER-581</t>
  </si>
  <si>
    <t>ALLO-GER-580</t>
  </si>
  <si>
    <t>ALLO-GER-579</t>
  </si>
  <si>
    <t>ALLO-GER-578</t>
  </si>
  <si>
    <t>ALLO-GER-577</t>
  </si>
  <si>
    <t>ALLO-GER-576</t>
  </si>
  <si>
    <t>ALLO-GER-575</t>
  </si>
  <si>
    <t>ALLO-GER-574</t>
  </si>
  <si>
    <t>ALLO-GER-573</t>
  </si>
  <si>
    <t>ALLO-GER-572</t>
  </si>
  <si>
    <t>ALLO-GER-571</t>
  </si>
  <si>
    <t>ALLO-GER-570</t>
  </si>
  <si>
    <t>ALLO-GER-569</t>
  </si>
  <si>
    <t>ALLO-GER-568</t>
  </si>
  <si>
    <t>ALLO-GER-567</t>
  </si>
  <si>
    <t>ALLO-GER-566</t>
  </si>
  <si>
    <t>ALLO-GER-565</t>
  </si>
  <si>
    <t>ALLO-GER-564</t>
  </si>
  <si>
    <t>ALLO-GER-563</t>
  </si>
  <si>
    <t>ALLO-GER-562</t>
  </si>
  <si>
    <t>ALLO-GER-561</t>
  </si>
  <si>
    <t>ALLO-GER-560</t>
  </si>
  <si>
    <t>ALLO-GER-559</t>
  </si>
  <si>
    <t>ALLO-GER-558</t>
  </si>
  <si>
    <t>ALLO-GER-557</t>
  </si>
  <si>
    <t>ALLO-GER-556</t>
  </si>
  <si>
    <t>ALLO-GER-555</t>
  </si>
  <si>
    <t>ALLO-GER-554</t>
  </si>
  <si>
    <t>ALLO-GER-553</t>
  </si>
  <si>
    <t>ALLO-GER-552</t>
  </si>
  <si>
    <t>ALLO-GER-551</t>
  </si>
  <si>
    <t>ALLO-GER-550</t>
  </si>
  <si>
    <t>ALLO-GER-549</t>
  </si>
  <si>
    <t>ALLO-GER-548</t>
  </si>
  <si>
    <t>ALLO-GER-547</t>
  </si>
  <si>
    <t>ALLO-GER-546</t>
  </si>
  <si>
    <t>ALLO-GER-545</t>
  </si>
  <si>
    <t>ALLO-GER-544</t>
  </si>
  <si>
    <t>ALLO-GER-543</t>
  </si>
  <si>
    <t>ALLO-GER-542</t>
  </si>
  <si>
    <t>ALLO-GER-541</t>
  </si>
  <si>
    <t>ALLO-GER-540</t>
  </si>
  <si>
    <t>ALLO-GER-539</t>
  </si>
  <si>
    <t>ALLO-GER-538</t>
  </si>
  <si>
    <t>ALLO-GER-537</t>
  </si>
  <si>
    <t>ALLO-GER-536</t>
  </si>
  <si>
    <t>ALLO-GER-535</t>
  </si>
  <si>
    <t>ALLO-GER-534</t>
  </si>
  <si>
    <t>ALLO-GER-533</t>
  </si>
  <si>
    <t>ALLO-GER-532</t>
  </si>
  <si>
    <t>ALLO-GER-531</t>
  </si>
  <si>
    <t>ALLO-GER-530</t>
  </si>
  <si>
    <t>ALLO-GER-529</t>
  </si>
  <si>
    <t>ALLO-GER-528</t>
  </si>
  <si>
    <t>ALLO-GER-527</t>
  </si>
  <si>
    <t>ALLO-GER-526</t>
  </si>
  <si>
    <t>ALLO-GER-525</t>
  </si>
  <si>
    <t>ALLO-GER-524</t>
  </si>
  <si>
    <t>ALLO-GER-523</t>
  </si>
  <si>
    <t>ALLO-GER-522</t>
  </si>
  <si>
    <t>ALLO-GER-521</t>
  </si>
  <si>
    <t>ALLO-GER-520</t>
  </si>
  <si>
    <t>ALLO-GER-519</t>
  </si>
  <si>
    <t>ALLO-GER-518</t>
  </si>
  <si>
    <t>ALLO-GER-517</t>
  </si>
  <si>
    <t>ALLO-GER-516</t>
  </si>
  <si>
    <t>ALLO-GER-515</t>
  </si>
  <si>
    <t>ALLO-GER-514</t>
  </si>
  <si>
    <t>ALLO-GER-513</t>
  </si>
  <si>
    <t>ALLO-GER-512</t>
  </si>
  <si>
    <t>ALLO-GER-511</t>
  </si>
  <si>
    <t>ALLO-GER-510</t>
  </si>
  <si>
    <t>ALLO-GER-509</t>
  </si>
  <si>
    <t>ALLO-GER-508</t>
  </si>
  <si>
    <t>ALLO-GER-507</t>
  </si>
  <si>
    <t>ALLO-GER-506</t>
  </si>
  <si>
    <t>ALLO-GER-505</t>
  </si>
  <si>
    <t>ALLO-GER-504</t>
  </si>
  <si>
    <t>ALLO-GER-503</t>
  </si>
  <si>
    <t>ALLO-GER-502</t>
  </si>
  <si>
    <t>ALLO-GER-501</t>
  </si>
  <si>
    <t>ALLO-GER-500</t>
  </si>
  <si>
    <t>ALLO-GER-499</t>
  </si>
  <si>
    <t>ALLO-GER-498</t>
  </si>
  <si>
    <t>ALLO-GER-497</t>
  </si>
  <si>
    <t>ALLO-GER-496</t>
  </si>
  <si>
    <t>ALLO-GER-495</t>
  </si>
  <si>
    <t>ALLO-GER-494</t>
  </si>
  <si>
    <t>ALLO-GER-493</t>
  </si>
  <si>
    <t>ALLO-GER-492</t>
  </si>
  <si>
    <t>ALLO-GER-491</t>
  </si>
  <si>
    <t>ALLO-GER-490</t>
  </si>
  <si>
    <t>ALLO-GER-489</t>
  </si>
  <si>
    <t>ALLO-GER-488</t>
  </si>
  <si>
    <t>ALLO-GER-487</t>
  </si>
  <si>
    <t>ALLO-GER-486</t>
  </si>
  <si>
    <t>ALLO-GER-485</t>
  </si>
  <si>
    <t>ALLO-GER-484</t>
  </si>
  <si>
    <t>ALLO-GER-483</t>
  </si>
  <si>
    <t>ALLO-GER-482</t>
  </si>
  <si>
    <t>ALLO-GER-481</t>
  </si>
  <si>
    <t>ALLO-GER-480</t>
  </si>
  <si>
    <t>ALLO-GER-479</t>
  </si>
  <si>
    <t>ALLO-GER-478</t>
  </si>
  <si>
    <t>ALLO-GER-477</t>
  </si>
  <si>
    <t>ALLO-GER-476</t>
  </si>
  <si>
    <t>ALLO-GER-475</t>
  </si>
  <si>
    <t>ALLO-GER-474</t>
  </si>
  <si>
    <t>ALLO-GER-473</t>
  </si>
  <si>
    <t>ALLO-GER-472</t>
  </si>
  <si>
    <t>ALLO-GER-471</t>
  </si>
  <si>
    <t>ALLO-GER-470</t>
  </si>
  <si>
    <t>ALLO-GER-469</t>
  </si>
  <si>
    <t>ALLO-GER-468</t>
  </si>
  <si>
    <t>ALLO-GER-467</t>
  </si>
  <si>
    <t>ALLO-GER-466</t>
  </si>
  <si>
    <t>ALLO-GER-465</t>
  </si>
  <si>
    <t>ALLO-GER-464</t>
  </si>
  <si>
    <t>ALLO-GER-463</t>
  </si>
  <si>
    <t>ALLO-GER-462</t>
  </si>
  <si>
    <t>ALLO-GER-461</t>
  </si>
  <si>
    <t>ALLO-GER-460</t>
  </si>
  <si>
    <t>ALLO-GER-459</t>
  </si>
  <si>
    <t>ALLO-GER-458</t>
  </si>
  <si>
    <t>ALLO-GER-457</t>
  </si>
  <si>
    <t>ALLO-GER-456</t>
  </si>
  <si>
    <t>ALLO-GER-455</t>
  </si>
  <si>
    <t>ALLO-GER-454</t>
  </si>
  <si>
    <t>ALLO-GER-453</t>
  </si>
  <si>
    <t>ALLO-GER-452</t>
  </si>
  <si>
    <t>ALLO-GER-451</t>
  </si>
  <si>
    <t>ALLO-GER-450</t>
  </si>
  <si>
    <t>ALLO-GER-449</t>
  </si>
  <si>
    <t>ALLO-GER-448</t>
  </si>
  <si>
    <t>ALLO-GER-447</t>
  </si>
  <si>
    <t>ALLO-GER-446</t>
  </si>
  <si>
    <t>ALLO-GER-445</t>
  </si>
  <si>
    <t>ALLO-GER-444</t>
  </si>
  <si>
    <t>ALLO-GER-443</t>
  </si>
  <si>
    <t>ALLO-GER-442</t>
  </si>
  <si>
    <t>ALLO-GER-441</t>
  </si>
  <si>
    <t>ALLO-GER-440</t>
  </si>
  <si>
    <t>ALLO-GER-439</t>
  </si>
  <si>
    <t>ALLO-GER-438</t>
  </si>
  <si>
    <t>ALLO-GER-697</t>
  </si>
  <si>
    <t>ALLO-GER-698</t>
  </si>
  <si>
    <t>ALLO-GER-699</t>
  </si>
  <si>
    <t>ALLO-GER-700</t>
  </si>
  <si>
    <t>ALLO-GER-701</t>
  </si>
  <si>
    <t>ALLO-GER-702</t>
  </si>
  <si>
    <t>ALLO-GER-703</t>
  </si>
  <si>
    <t>ALLO-GER-704</t>
  </si>
  <si>
    <t>ALLO-GER-705</t>
  </si>
  <si>
    <t>ALLO-GER-706</t>
  </si>
  <si>
    <t>ALLO-GER-707</t>
  </si>
  <si>
    <t>ALLO-GER-708</t>
  </si>
  <si>
    <t>ALLO-GER-709</t>
  </si>
  <si>
    <t>ALLO-GER-710</t>
  </si>
  <si>
    <t>ALLO-GER-711</t>
  </si>
  <si>
    <t>ALLO-GER-712</t>
  </si>
  <si>
    <t>ALLO-GER-713</t>
  </si>
  <si>
    <t>ALLO-GER-602</t>
  </si>
  <si>
    <t>HALICTUS</t>
  </si>
  <si>
    <t>ALLO-GER-606</t>
  </si>
  <si>
    <t>ALLO-GER-608</t>
  </si>
  <si>
    <t>ALLO-GER-609</t>
  </si>
  <si>
    <t>ALLO-GER-610</t>
  </si>
  <si>
    <t>ALLO-GER-620</t>
  </si>
  <si>
    <t>ALLO-GER-628</t>
  </si>
  <si>
    <t>ALLO-GER-632</t>
  </si>
  <si>
    <t>ALLO-GER-643</t>
  </si>
  <si>
    <t>ALLO-GER-649</t>
  </si>
  <si>
    <t>ALLO-GER-651</t>
  </si>
  <si>
    <t>ALLO-GER-652</t>
  </si>
  <si>
    <t>ALLO-GER-654</t>
  </si>
  <si>
    <t>ALLO-GER-666</t>
  </si>
  <si>
    <t>ALLO-GER-667</t>
  </si>
  <si>
    <t>ALLO-GER-669</t>
  </si>
  <si>
    <t>ALLO-GER-675</t>
  </si>
  <si>
    <t>ALLO-GER-678</t>
  </si>
  <si>
    <t>ALLO-GER-679</t>
  </si>
  <si>
    <t>ALLO-GER-689</t>
  </si>
  <si>
    <t>ALLO-GER-690</t>
  </si>
  <si>
    <t>ALLO-GER-716</t>
  </si>
  <si>
    <t>ALLO-GER-717</t>
  </si>
  <si>
    <t>ALLO-GER-718</t>
  </si>
  <si>
    <t>ALLO-GER-721</t>
  </si>
  <si>
    <t>ALLO-GER-722</t>
  </si>
  <si>
    <t>ALLO-GER-723</t>
  </si>
  <si>
    <t>ALLO-GER-724</t>
  </si>
  <si>
    <t>ALLO-GER-735</t>
  </si>
  <si>
    <t>ALLO-GER-736</t>
  </si>
  <si>
    <t>ALLO-GER-739</t>
  </si>
  <si>
    <t>ALLO-GER-741</t>
  </si>
  <si>
    <t>ALLO-GER-742</t>
  </si>
  <si>
    <t>ALLO-GER-743</t>
  </si>
  <si>
    <t>ALLO-GER-744</t>
  </si>
  <si>
    <t>ALLO-GER-745</t>
  </si>
  <si>
    <t>ALLO-GER-746</t>
  </si>
  <si>
    <t>ALLO-GER-747</t>
  </si>
  <si>
    <t>ALLO-GER-748</t>
  </si>
  <si>
    <t>ALLO-GER-605</t>
  </si>
  <si>
    <t>ALLO-GER-607</t>
  </si>
  <si>
    <t>ALLO-GER-611</t>
  </si>
  <si>
    <t>ALLO-GER-612</t>
  </si>
  <si>
    <t>ALLO-GER-613</t>
  </si>
  <si>
    <t>ALLO-GER-614</t>
  </si>
  <si>
    <t>ALLO-GER-615</t>
  </si>
  <si>
    <t>ALLO-GER-616</t>
  </si>
  <si>
    <t>ALLO-GER-617</t>
  </si>
  <si>
    <t>ALLO-GER-618</t>
  </si>
  <si>
    <t>ALLO-GER-619</t>
  </si>
  <si>
    <t>ALLO-GER-629</t>
  </si>
  <si>
    <t>ALLO-GER-630</t>
  </si>
  <si>
    <t>ALLO-GER-631</t>
  </si>
  <si>
    <t>ALLO-GER-633</t>
  </si>
  <si>
    <t>ALLO-GER-634</t>
  </si>
  <si>
    <t>ALLO-GER-635</t>
  </si>
  <si>
    <t>ALLO-GER-636</t>
  </si>
  <si>
    <t>ALLO-GER-637</t>
  </si>
  <si>
    <t>ALLO-GER-638</t>
  </si>
  <si>
    <t>ALLO-GER-639</t>
  </si>
  <si>
    <t>ALLO-GER-640</t>
  </si>
  <si>
    <t>ALLO-GER-641</t>
  </si>
  <si>
    <t>ALLO-GER-642</t>
  </si>
  <si>
    <t>ALLO-GER-653</t>
  </si>
  <si>
    <t>ALLO-GER-655</t>
  </si>
  <si>
    <t>ALLO-GER-656</t>
  </si>
  <si>
    <t>ALLO-GER-657</t>
  </si>
  <si>
    <t>ALLO-GER-658</t>
  </si>
  <si>
    <t>ALLO-GER-659</t>
  </si>
  <si>
    <t>ALLO-GER-660</t>
  </si>
  <si>
    <t>ALLO-GER-661</t>
  </si>
  <si>
    <t>ALLO-GER-662</t>
  </si>
  <si>
    <t>ALLO-GER-663</t>
  </si>
  <si>
    <t>ALLO-GER-664</t>
  </si>
  <si>
    <t>ALLO-GER-665</t>
  </si>
  <si>
    <t>ALLO-GER-674</t>
  </si>
  <si>
    <t>ALLO-GER-676</t>
  </si>
  <si>
    <t>ALLO-GER-677</t>
  </si>
  <si>
    <t>ALLO-GER-680</t>
  </si>
  <si>
    <t>ALLO-GER-681</t>
  </si>
  <si>
    <t>ALLO-GER-682</t>
  </si>
  <si>
    <t>ALLO-GER-683</t>
  </si>
  <si>
    <t>ALLO-GER-684</t>
  </si>
  <si>
    <t>ALLO-GER-685</t>
  </si>
  <si>
    <t>ALLO-GER-686</t>
  </si>
  <si>
    <t>ALLO-GER-687</t>
  </si>
  <si>
    <t>ALLO-GER-688</t>
  </si>
  <si>
    <t>ALLO-GER-720</t>
  </si>
  <si>
    <t>ALLO-GER-725</t>
  </si>
  <si>
    <t>ALLO-GER-726</t>
  </si>
  <si>
    <t>ALLO-GER-727</t>
  </si>
  <si>
    <t>ALLO-GER-728</t>
  </si>
  <si>
    <t>ALLO-GER-729</t>
  </si>
  <si>
    <t>ALLO-GER-730</t>
  </si>
  <si>
    <t>ALLO-GER-731</t>
  </si>
  <si>
    <t>ALLO-GER-732</t>
  </si>
  <si>
    <t>ALLO-GER-733</t>
  </si>
  <si>
    <t>ALLO-GER-734</t>
  </si>
  <si>
    <t>ALLO-GER-749</t>
  </si>
  <si>
    <t>ALLO-GER-750</t>
  </si>
  <si>
    <t>ALLO-GER-751</t>
  </si>
  <si>
    <t>ALLO-GER-752</t>
  </si>
  <si>
    <t>ALLO-GER-753</t>
  </si>
  <si>
    <t>ALLO-GER-754</t>
  </si>
  <si>
    <t>ALLO-GER-755</t>
  </si>
  <si>
    <t>ALLO-GER-756</t>
  </si>
  <si>
    <t>ALLO-GER-757</t>
  </si>
  <si>
    <t>ALLO-GER-758</t>
  </si>
  <si>
    <t>ALLO-GER-759</t>
  </si>
  <si>
    <t>ALLO-GER-760</t>
  </si>
  <si>
    <t>ALLO-GER-761</t>
  </si>
  <si>
    <t>ALLO-GER-762</t>
  </si>
  <si>
    <t>ALLO-GER-781</t>
  </si>
  <si>
    <t>ALLO-GER-782</t>
  </si>
  <si>
    <t>ALLO-GER-783</t>
  </si>
  <si>
    <t>ALLO-GER-784</t>
  </si>
  <si>
    <t>ALLO-GER-785</t>
  </si>
  <si>
    <t>ALLO-GER-804</t>
  </si>
  <si>
    <t>ALLO-GER-805</t>
  </si>
  <si>
    <t>ALLO-GER-806</t>
  </si>
  <si>
    <t>ALLO-GER-807</t>
  </si>
  <si>
    <t>ALLO-GER-808</t>
  </si>
  <si>
    <t>ALLO-GER-827</t>
  </si>
  <si>
    <t>ALLO-GER-828</t>
  </si>
  <si>
    <t>ALLO-GER-829</t>
  </si>
  <si>
    <t>ALLO-GER-830</t>
  </si>
  <si>
    <t>ALLO-GER-831</t>
  </si>
  <si>
    <t>ALLO-GER-850</t>
  </si>
  <si>
    <t>ALLO-GER-851</t>
  </si>
  <si>
    <t>ALLO-GER-852</t>
  </si>
  <si>
    <t>ALLO-GER-853</t>
  </si>
  <si>
    <t>ALLO-GER-854</t>
  </si>
  <si>
    <t>ALLO-GER-873</t>
  </si>
  <si>
    <t>ALLO-GER-874</t>
  </si>
  <si>
    <t>ALLO-GER-875</t>
  </si>
  <si>
    <t>ALLO-GER-876</t>
  </si>
  <si>
    <t>ALLO-GER-877</t>
  </si>
  <si>
    <t>ALLO-GER-896</t>
  </si>
  <si>
    <t>ALLO-GER-897</t>
  </si>
  <si>
    <t>ALLO-GER-898</t>
  </si>
  <si>
    <t>ALLO-GER-899</t>
  </si>
  <si>
    <t>ALLO-GER-900</t>
  </si>
  <si>
    <t>ITD</t>
  </si>
  <si>
    <t>Royal Fort Gardens</t>
  </si>
  <si>
    <t>BRIS_002</t>
  </si>
  <si>
    <t>Apidae</t>
  </si>
  <si>
    <t>lapidarius</t>
  </si>
  <si>
    <t>BRIS_007</t>
  </si>
  <si>
    <t>BRIS_012</t>
  </si>
  <si>
    <t>BRIS_023</t>
  </si>
  <si>
    <t>BRIS_028</t>
  </si>
  <si>
    <t>BRIS_036</t>
  </si>
  <si>
    <t>Stoke Bishop Halls</t>
  </si>
  <si>
    <t>BRIS_051</t>
  </si>
  <si>
    <t>BRIS_001</t>
  </si>
  <si>
    <t>BRIS_004</t>
  </si>
  <si>
    <t>BRIS_005</t>
  </si>
  <si>
    <t>BRIS_006</t>
  </si>
  <si>
    <t>BRIS_008</t>
  </si>
  <si>
    <t>BRIS_010</t>
  </si>
  <si>
    <t>BRIS_011</t>
  </si>
  <si>
    <t>BRIS_027</t>
  </si>
  <si>
    <t>BRIS_041</t>
  </si>
  <si>
    <t>lucorum</t>
  </si>
  <si>
    <t>BRIS_042</t>
  </si>
  <si>
    <t>BRIS_037</t>
  </si>
  <si>
    <t>BRIS_043</t>
  </si>
  <si>
    <t>BRIS_038</t>
  </si>
  <si>
    <t>pascuorum</t>
  </si>
  <si>
    <t>BRIS_044</t>
  </si>
  <si>
    <t>BRIS_024</t>
  </si>
  <si>
    <t>BRIS_039</t>
  </si>
  <si>
    <t>BRIS_040</t>
  </si>
  <si>
    <t>BRIS_045</t>
  </si>
  <si>
    <t>BRIS_046</t>
  </si>
  <si>
    <t>BRIS_047</t>
  </si>
  <si>
    <t>BRIS_048</t>
  </si>
  <si>
    <t>BRIS_049</t>
  </si>
  <si>
    <t>BRIS_050</t>
  </si>
  <si>
    <t>BRIS_003</t>
  </si>
  <si>
    <t>terrestris</t>
  </si>
  <si>
    <t>BRIS_009</t>
  </si>
  <si>
    <t>BRIS_014</t>
  </si>
  <si>
    <t>BRIS_015</t>
  </si>
  <si>
    <t>BRIS_017</t>
  </si>
  <si>
    <t>BRIS_018</t>
  </si>
  <si>
    <t>BRIS_019</t>
  </si>
  <si>
    <t>BRIS_020</t>
  </si>
  <si>
    <t>BRIS_021</t>
  </si>
  <si>
    <t>BRIS_022</t>
  </si>
  <si>
    <t>BRIS_025</t>
  </si>
  <si>
    <t>BRIS_026</t>
  </si>
  <si>
    <t>BRIS_030</t>
  </si>
  <si>
    <t>BRIS_031</t>
  </si>
  <si>
    <t>BRIS_032</t>
  </si>
  <si>
    <t>BRIS_033</t>
  </si>
  <si>
    <t>BL X IT</t>
  </si>
  <si>
    <t>Leg missing</t>
  </si>
  <si>
    <t>Germany</t>
  </si>
  <si>
    <t>Pin.weight</t>
  </si>
  <si>
    <t>Specimen.wgt</t>
  </si>
  <si>
    <t>WgtPin</t>
  </si>
  <si>
    <t>Australia</t>
  </si>
  <si>
    <t>38x55</t>
  </si>
  <si>
    <t>38x53</t>
  </si>
  <si>
    <t>38x40</t>
  </si>
  <si>
    <t>Pin.wgt</t>
  </si>
  <si>
    <t>Spec.wgt</t>
  </si>
  <si>
    <t>CSI-2</t>
  </si>
  <si>
    <t>NO HEAD</t>
  </si>
  <si>
    <t>CSI-3</t>
  </si>
  <si>
    <t>CSI-4</t>
  </si>
  <si>
    <t>CSI-5</t>
  </si>
  <si>
    <t>CSI-6</t>
  </si>
  <si>
    <t>CSI-8</t>
  </si>
  <si>
    <t>CSI-9</t>
  </si>
  <si>
    <t>CSI-10</t>
  </si>
  <si>
    <t>CSI-11</t>
  </si>
  <si>
    <t>CSI-12</t>
  </si>
  <si>
    <t>CSI-13</t>
  </si>
  <si>
    <t>CSI-14</t>
  </si>
  <si>
    <t>CSI-17</t>
  </si>
  <si>
    <t>CSI-18</t>
  </si>
  <si>
    <t>CSI-19</t>
  </si>
  <si>
    <t>CSI-21</t>
  </si>
  <si>
    <t>CSI-22</t>
  </si>
  <si>
    <t>CSI-23</t>
  </si>
  <si>
    <t>CSI-34</t>
  </si>
  <si>
    <t>CSI-36</t>
  </si>
  <si>
    <t>CSI-37</t>
  </si>
  <si>
    <t>CSI-40</t>
  </si>
  <si>
    <t>CSI-41</t>
  </si>
  <si>
    <t>CSI-42</t>
  </si>
  <si>
    <t>CSI-45</t>
  </si>
  <si>
    <t>CSI-116</t>
  </si>
  <si>
    <t>CSI-117</t>
  </si>
  <si>
    <t>CSI-118</t>
  </si>
  <si>
    <t>CSI-120</t>
  </si>
  <si>
    <t>CSI-121</t>
  </si>
  <si>
    <t>CSI-125</t>
  </si>
  <si>
    <t>CSI-126</t>
  </si>
  <si>
    <t>CSI-154</t>
  </si>
  <si>
    <t>CSI-155</t>
  </si>
  <si>
    <t>CSI-156</t>
  </si>
  <si>
    <t>CSI-157</t>
  </si>
  <si>
    <t>CSI-158</t>
  </si>
  <si>
    <t>CSI-159</t>
  </si>
  <si>
    <t>CSI-160</t>
  </si>
  <si>
    <t>CSI-161</t>
  </si>
  <si>
    <t>CSI-162</t>
  </si>
  <si>
    <t>CSI-163</t>
  </si>
  <si>
    <t>CSI-445</t>
  </si>
  <si>
    <t>CSI-446</t>
  </si>
  <si>
    <t>CSI-447</t>
  </si>
  <si>
    <t>CSI-448</t>
  </si>
  <si>
    <t>CSI-450</t>
  </si>
  <si>
    <t>CSI-451</t>
  </si>
  <si>
    <t>CSI-452</t>
  </si>
  <si>
    <t>CSI-453</t>
  </si>
  <si>
    <t>CSI-457</t>
  </si>
  <si>
    <t>BEHEADED</t>
  </si>
  <si>
    <t>NO ABDOMEN</t>
  </si>
  <si>
    <t>CSI-1</t>
  </si>
  <si>
    <t>CSI-7</t>
  </si>
  <si>
    <t>CSI-15</t>
  </si>
  <si>
    <t>CSI-16</t>
  </si>
  <si>
    <t>CSI-20</t>
  </si>
  <si>
    <t>CSI-24</t>
  </si>
  <si>
    <t>CSI-25</t>
  </si>
  <si>
    <t>CSI-26</t>
  </si>
  <si>
    <t>CSI-27</t>
  </si>
  <si>
    <t>CSI-28</t>
  </si>
  <si>
    <t>CSI-29</t>
  </si>
  <si>
    <t>CSI-30</t>
  </si>
  <si>
    <t>CSI-31</t>
  </si>
  <si>
    <t>CSI-32</t>
  </si>
  <si>
    <t>CSI-33</t>
  </si>
  <si>
    <t>CSI-35</t>
  </si>
  <si>
    <t>CSI-38</t>
  </si>
  <si>
    <t>CSI-39</t>
  </si>
  <si>
    <t>CSI-43</t>
  </si>
  <si>
    <t>CSI-44</t>
  </si>
  <si>
    <t>CSI-46</t>
  </si>
  <si>
    <t>CSI-47</t>
  </si>
  <si>
    <t>CSI-48</t>
  </si>
  <si>
    <t>CSI-49</t>
  </si>
  <si>
    <t>CSI-50</t>
  </si>
  <si>
    <t>CSI-51</t>
  </si>
  <si>
    <t>CSI-52</t>
  </si>
  <si>
    <t>CSI-53</t>
  </si>
  <si>
    <t>CSI-54</t>
  </si>
  <si>
    <t>CSI-55</t>
  </si>
  <si>
    <t>CSI-56</t>
  </si>
  <si>
    <t>CSI-57</t>
  </si>
  <si>
    <t>CSI-58</t>
  </si>
  <si>
    <t>CSI-59</t>
  </si>
  <si>
    <t>CSI-60</t>
  </si>
  <si>
    <t>CSI-61</t>
  </si>
  <si>
    <t>CSI-62</t>
  </si>
  <si>
    <t>CSI-63</t>
  </si>
  <si>
    <t>CSI-64</t>
  </si>
  <si>
    <t>CSI-65</t>
  </si>
  <si>
    <t>CSI-66</t>
  </si>
  <si>
    <t>CSI-67</t>
  </si>
  <si>
    <t>CSI-68</t>
  </si>
  <si>
    <t>CSI-69</t>
  </si>
  <si>
    <t>CSI-70</t>
  </si>
  <si>
    <t>CSI-71</t>
  </si>
  <si>
    <t>CSI-72</t>
  </si>
  <si>
    <t>CSI-73</t>
  </si>
  <si>
    <t>CSI-74</t>
  </si>
  <si>
    <t>CSI-75</t>
  </si>
  <si>
    <t>CSI-76</t>
  </si>
  <si>
    <t>CSI-77</t>
  </si>
  <si>
    <t>CSI-78</t>
  </si>
  <si>
    <t>CSI-79</t>
  </si>
  <si>
    <t>CSI-80</t>
  </si>
  <si>
    <t>CSI-81</t>
  </si>
  <si>
    <t>CSI-82</t>
  </si>
  <si>
    <t>CSI-83</t>
  </si>
  <si>
    <t>CSI-84</t>
  </si>
  <si>
    <t>CSI-85</t>
  </si>
  <si>
    <t>CSI-86</t>
  </si>
  <si>
    <t>CSI-87</t>
  </si>
  <si>
    <t>CSI-88</t>
  </si>
  <si>
    <t>CSI-89</t>
  </si>
  <si>
    <t>CSI-90</t>
  </si>
  <si>
    <t>CSI-91</t>
  </si>
  <si>
    <t>CSI-92</t>
  </si>
  <si>
    <t>CSI-93</t>
  </si>
  <si>
    <t>CSI-94</t>
  </si>
  <si>
    <t>CSI-95</t>
  </si>
  <si>
    <t>CSI-96</t>
  </si>
  <si>
    <t>CSI-97</t>
  </si>
  <si>
    <t>CSI-98</t>
  </si>
  <si>
    <t>CSI-99</t>
  </si>
  <si>
    <t>CSI-100</t>
  </si>
  <si>
    <t>CSI-101</t>
  </si>
  <si>
    <t>CSI-102</t>
  </si>
  <si>
    <t>CSI-103</t>
  </si>
  <si>
    <t>CSI-104</t>
  </si>
  <si>
    <t>CSI-105</t>
  </si>
  <si>
    <t>CSI-106</t>
  </si>
  <si>
    <t>CSI-107</t>
  </si>
  <si>
    <t>CSI-108</t>
  </si>
  <si>
    <t>CSI-109</t>
  </si>
  <si>
    <t>CSI-110</t>
  </si>
  <si>
    <t>CSI-111</t>
  </si>
  <si>
    <t>CSI-112</t>
  </si>
  <si>
    <t>CSI-113</t>
  </si>
  <si>
    <t>CSI-114</t>
  </si>
  <si>
    <t>CSI-115</t>
  </si>
  <si>
    <t>CSI-119</t>
  </si>
  <si>
    <t>CSI-122</t>
  </si>
  <si>
    <t>CSI-123</t>
  </si>
  <si>
    <t>CSI-124</t>
  </si>
  <si>
    <t>CSI-127</t>
  </si>
  <si>
    <t>CSI-128</t>
  </si>
  <si>
    <t>CSI-131</t>
  </si>
  <si>
    <t>CSI-132</t>
  </si>
  <si>
    <t>CSI-133</t>
  </si>
  <si>
    <t>CSI-134</t>
  </si>
  <si>
    <t>CSI-135</t>
  </si>
  <si>
    <t>CSI-136</t>
  </si>
  <si>
    <t>CSI-137</t>
  </si>
  <si>
    <t>CSI-138</t>
  </si>
  <si>
    <t>CSI-139</t>
  </si>
  <si>
    <t>CSI-140</t>
  </si>
  <si>
    <t>CSI-141</t>
  </si>
  <si>
    <t>CSI-142</t>
  </si>
  <si>
    <t>CSI-143</t>
  </si>
  <si>
    <t>CSI-144</t>
  </si>
  <si>
    <t>CSI-145</t>
  </si>
  <si>
    <t>CSI-146</t>
  </si>
  <si>
    <t>CSI-147</t>
  </si>
  <si>
    <t>CSI-148</t>
  </si>
  <si>
    <t>CSI-149</t>
  </si>
  <si>
    <t>CSI-150</t>
  </si>
  <si>
    <t>CSI-151</t>
  </si>
  <si>
    <t>CSI-152</t>
  </si>
  <si>
    <t>CSI-153</t>
  </si>
  <si>
    <t>CSI-164</t>
  </si>
  <si>
    <t>CSI-165</t>
  </si>
  <si>
    <t>CSI-166</t>
  </si>
  <si>
    <t>CSI-167</t>
  </si>
  <si>
    <t>CSI-168</t>
  </si>
  <si>
    <t>CSI-169</t>
  </si>
  <si>
    <t>CSI-170</t>
  </si>
  <si>
    <t>CSI-171</t>
  </si>
  <si>
    <t>CSI-172</t>
  </si>
  <si>
    <t>CSI-173</t>
  </si>
  <si>
    <t>CSI-174</t>
  </si>
  <si>
    <t>CSI-175</t>
  </si>
  <si>
    <t>CSI-176</t>
  </si>
  <si>
    <t>CSI-177</t>
  </si>
  <si>
    <t>CSI-178</t>
  </si>
  <si>
    <t>CSI-179</t>
  </si>
  <si>
    <t>CSI-180</t>
  </si>
  <si>
    <t>CSI-181</t>
  </si>
  <si>
    <t>CSI-182</t>
  </si>
  <si>
    <t>CSI-183</t>
  </si>
  <si>
    <t>CSI-184</t>
  </si>
  <si>
    <t>CSI-185</t>
  </si>
  <si>
    <t>CSI-186</t>
  </si>
  <si>
    <t>CSI-187</t>
  </si>
  <si>
    <t>CSI-188</t>
  </si>
  <si>
    <t>CSI-189</t>
  </si>
  <si>
    <t>CSI-190</t>
  </si>
  <si>
    <t>CSI-191</t>
  </si>
  <si>
    <t>CSI-192</t>
  </si>
  <si>
    <t>CSI-193</t>
  </si>
  <si>
    <t>CSI-194</t>
  </si>
  <si>
    <t>CSI-195</t>
  </si>
  <si>
    <t>CSI-196</t>
  </si>
  <si>
    <t>CSI-197</t>
  </si>
  <si>
    <t>CSI-198</t>
  </si>
  <si>
    <t>CSI-199</t>
  </si>
  <si>
    <t>CSI-200</t>
  </si>
  <si>
    <t>CSI-201</t>
  </si>
  <si>
    <t>CSI-202</t>
  </si>
  <si>
    <t>CSI-203</t>
  </si>
  <si>
    <t>CSI-204</t>
  </si>
  <si>
    <t>CSI-205</t>
  </si>
  <si>
    <t>CSI-206</t>
  </si>
  <si>
    <t>CSI-207</t>
  </si>
  <si>
    <t>CSI-208</t>
  </si>
  <si>
    <t>CSI-209</t>
  </si>
  <si>
    <t>CSI-210</t>
  </si>
  <si>
    <t>CSI-211</t>
  </si>
  <si>
    <t>CSI-212</t>
  </si>
  <si>
    <t>CSI-213</t>
  </si>
  <si>
    <t>CSI-214</t>
  </si>
  <si>
    <t>CSI-215</t>
  </si>
  <si>
    <t>CSI-216</t>
  </si>
  <si>
    <t>CSI-217</t>
  </si>
  <si>
    <t>CSI-218</t>
  </si>
  <si>
    <t>CSI-219</t>
  </si>
  <si>
    <t>CSI-220</t>
  </si>
  <si>
    <t>CSI-221</t>
  </si>
  <si>
    <t>CSI-222</t>
  </si>
  <si>
    <t>CSI-223</t>
  </si>
  <si>
    <t>CSI-224</t>
  </si>
  <si>
    <t>CSI-225</t>
  </si>
  <si>
    <t>CSI-226</t>
  </si>
  <si>
    <t>CSI-227</t>
  </si>
  <si>
    <t>CSI-228</t>
  </si>
  <si>
    <t>CSI-229</t>
  </si>
  <si>
    <t>CSI-230</t>
  </si>
  <si>
    <t>CSI-250</t>
  </si>
  <si>
    <t>CSI-251</t>
  </si>
  <si>
    <t>CSI-252</t>
  </si>
  <si>
    <t>CSI-253</t>
  </si>
  <si>
    <t>CSI-254</t>
  </si>
  <si>
    <t>CSI-255</t>
  </si>
  <si>
    <t>CSI-264</t>
  </si>
  <si>
    <t>CSI-343</t>
  </si>
  <si>
    <t>CSI-344</t>
  </si>
  <si>
    <t>CSI-352</t>
  </si>
  <si>
    <t>CSI-353</t>
  </si>
  <si>
    <t>CSI-354</t>
  </si>
  <si>
    <t>CSI-355</t>
  </si>
  <si>
    <t>CSI-356</t>
  </si>
  <si>
    <t>CSI-357</t>
  </si>
  <si>
    <t>CSI-365</t>
  </si>
  <si>
    <t>CSI-366</t>
  </si>
  <si>
    <t>CSI-367</t>
  </si>
  <si>
    <t>CSI-368</t>
  </si>
  <si>
    <t>CSI-369</t>
  </si>
  <si>
    <t>CSI-370</t>
  </si>
  <si>
    <t>CSI-371</t>
  </si>
  <si>
    <t>CSI-372</t>
  </si>
  <si>
    <t>CSI-373</t>
  </si>
  <si>
    <t>CSI-374</t>
  </si>
  <si>
    <t>CSI-375</t>
  </si>
  <si>
    <t>CSI-376</t>
  </si>
  <si>
    <t>CSI-377</t>
  </si>
  <si>
    <t>CSI-378</t>
  </si>
  <si>
    <t>CSI-379</t>
  </si>
  <si>
    <t>CSI-380</t>
  </si>
  <si>
    <t>CSI-381</t>
  </si>
  <si>
    <t>CSI-382</t>
  </si>
  <si>
    <t>CSI-383</t>
  </si>
  <si>
    <t>CSI-384</t>
  </si>
  <si>
    <t>CSI-385</t>
  </si>
  <si>
    <t>CSI-386</t>
  </si>
  <si>
    <t>CSI-387</t>
  </si>
  <si>
    <t>CSI-388</t>
  </si>
  <si>
    <t>CSI-389</t>
  </si>
  <si>
    <t>CSI-390</t>
  </si>
  <si>
    <t>CSI-391</t>
  </si>
  <si>
    <t>CSI-392</t>
  </si>
  <si>
    <t>CSI-393</t>
  </si>
  <si>
    <t>CSI-394</t>
  </si>
  <si>
    <t>CSI-395</t>
  </si>
  <si>
    <t>CSI-396</t>
  </si>
  <si>
    <t>CSI-397</t>
  </si>
  <si>
    <t>CSI-398</t>
  </si>
  <si>
    <t>CSI-399</t>
  </si>
  <si>
    <t>CSI-400</t>
  </si>
  <si>
    <t>CSI-401</t>
  </si>
  <si>
    <t>CSI-402</t>
  </si>
  <si>
    <t>CSI-403</t>
  </si>
  <si>
    <t>CSI-404</t>
  </si>
  <si>
    <t>CSI-405</t>
  </si>
  <si>
    <t>CSI-407</t>
  </si>
  <si>
    <t>CSI-408</t>
  </si>
  <si>
    <t>CSI-409</t>
  </si>
  <si>
    <t>CSI-410</t>
  </si>
  <si>
    <t>CSI-411</t>
  </si>
  <si>
    <t>CSI-412</t>
  </si>
  <si>
    <t>CSI-413</t>
  </si>
  <si>
    <t>CSI-415</t>
  </si>
  <si>
    <t>CSI-416</t>
  </si>
  <si>
    <t>CSI-417</t>
  </si>
  <si>
    <t>CSI-418</t>
  </si>
  <si>
    <t>CSI-419</t>
  </si>
  <si>
    <t>CSI-420</t>
  </si>
  <si>
    <t>CSI-421</t>
  </si>
  <si>
    <t>CSI-422</t>
  </si>
  <si>
    <t>CSI-423</t>
  </si>
  <si>
    <t>CSI-424</t>
  </si>
  <si>
    <t>CSI-425</t>
  </si>
  <si>
    <t>CSI-426</t>
  </si>
  <si>
    <t>CSI-427</t>
  </si>
  <si>
    <t>CSI-428</t>
  </si>
  <si>
    <t>CSI-429</t>
  </si>
  <si>
    <t>CSI-430</t>
  </si>
  <si>
    <t>CSI-431</t>
  </si>
  <si>
    <t>CSI-432</t>
  </si>
  <si>
    <t>CSI-433</t>
  </si>
  <si>
    <t>CSI-434</t>
  </si>
  <si>
    <t>CSI-435</t>
  </si>
  <si>
    <t>CSI-436</t>
  </si>
  <si>
    <t>CSI-437</t>
  </si>
  <si>
    <t>CSI-438</t>
  </si>
  <si>
    <t>CSI-439</t>
  </si>
  <si>
    <t>CSI-440</t>
  </si>
  <si>
    <t>CSI-441</t>
  </si>
  <si>
    <t>CSI-442</t>
  </si>
  <si>
    <t>CSI-443</t>
  </si>
  <si>
    <t>CSI-444</t>
  </si>
  <si>
    <t>CSI-449</t>
  </si>
  <si>
    <t>CSI-454</t>
  </si>
  <si>
    <t>CSI-455</t>
  </si>
  <si>
    <t>CSI-456</t>
  </si>
  <si>
    <t>CSI-458</t>
  </si>
  <si>
    <t>CSI-459</t>
  </si>
  <si>
    <t>CSI-460</t>
  </si>
  <si>
    <t>CSI-461</t>
  </si>
  <si>
    <t>CSI-462</t>
  </si>
  <si>
    <t>ALLO-CSI-462</t>
  </si>
  <si>
    <t>ALLO-GER-107</t>
  </si>
  <si>
    <t>PIN</t>
  </si>
  <si>
    <t>Braunsapis</t>
  </si>
  <si>
    <t>Dillwynia</t>
  </si>
  <si>
    <t>Vaccinium</t>
  </si>
  <si>
    <t>Pultanea</t>
  </si>
  <si>
    <t>Lantana</t>
  </si>
  <si>
    <t>Melaleuca</t>
  </si>
  <si>
    <t>Sex</t>
  </si>
  <si>
    <t>Lasioglossum (Chilalictus)</t>
  </si>
  <si>
    <t>Tetragonula</t>
  </si>
  <si>
    <t>carbonaria</t>
  </si>
  <si>
    <t>Homalictus</t>
  </si>
  <si>
    <t>Austroplebeia</t>
  </si>
  <si>
    <t>australis</t>
  </si>
  <si>
    <t>Lasioglossum?</t>
  </si>
  <si>
    <t>ALLO-AUS-141-2</t>
  </si>
  <si>
    <t>WASP</t>
  </si>
  <si>
    <t>Lipotriches</t>
  </si>
  <si>
    <t>Maybe 0.531</t>
  </si>
  <si>
    <t>NOTES</t>
  </si>
  <si>
    <t>COUNTRY</t>
  </si>
  <si>
    <t>GERMANY</t>
  </si>
  <si>
    <t>ALLO-GER-622</t>
  </si>
  <si>
    <t>ALLO-GER-623</t>
  </si>
  <si>
    <t>ALLO-GER-624</t>
  </si>
  <si>
    <t>ALLO-GER-626</t>
  </si>
  <si>
    <t>ALLO-GER-740</t>
  </si>
  <si>
    <t>CSI-345</t>
  </si>
  <si>
    <t>CSI-346</t>
  </si>
  <si>
    <t>CSI-347</t>
  </si>
  <si>
    <t>CSI-348</t>
  </si>
  <si>
    <t>CSI-349</t>
  </si>
  <si>
    <t>CSI-350</t>
  </si>
  <si>
    <t>CSI-351</t>
  </si>
  <si>
    <t>CSI-329</t>
  </si>
  <si>
    <t>CSI-330</t>
  </si>
  <si>
    <t>CSI-331</t>
  </si>
  <si>
    <t>CSI-332</t>
  </si>
  <si>
    <t>CSI-334</t>
  </si>
  <si>
    <t>CSI-335</t>
  </si>
  <si>
    <t>CSI-336</t>
  </si>
  <si>
    <t>CSI-337</t>
  </si>
  <si>
    <t>CSI-338</t>
  </si>
  <si>
    <t>CSI-339</t>
  </si>
  <si>
    <t>CSI-340</t>
  </si>
  <si>
    <t>CSI-341</t>
  </si>
  <si>
    <t>CSI-342</t>
  </si>
  <si>
    <t>CSI-256</t>
  </si>
  <si>
    <t>CSI-257</t>
  </si>
  <si>
    <t>CSI-258</t>
  </si>
  <si>
    <t>CSI-259</t>
  </si>
  <si>
    <t>CSI-260</t>
  </si>
  <si>
    <t>CSI-261</t>
  </si>
  <si>
    <t>CSI-262</t>
  </si>
  <si>
    <t>CSI-263</t>
  </si>
  <si>
    <t>CSI-265</t>
  </si>
  <si>
    <t>CSI-266</t>
  </si>
  <si>
    <t>CSI-267</t>
  </si>
  <si>
    <t>CSI-268</t>
  </si>
  <si>
    <t>CSI-269</t>
  </si>
  <si>
    <t>CSI-270</t>
  </si>
  <si>
    <t>CSI-271</t>
  </si>
  <si>
    <t>CSI-272</t>
  </si>
  <si>
    <t>CSI-273</t>
  </si>
  <si>
    <t>CSI-274</t>
  </si>
  <si>
    <t>CSI-275</t>
  </si>
  <si>
    <t>CSI-276</t>
  </si>
  <si>
    <t>CSI-277</t>
  </si>
  <si>
    <t>CSI-278</t>
  </si>
  <si>
    <t>CSI-279</t>
  </si>
  <si>
    <t>CSI-280</t>
  </si>
  <si>
    <t>CSI-281</t>
  </si>
  <si>
    <t>CSI-282</t>
  </si>
  <si>
    <t>CSI-283</t>
  </si>
  <si>
    <t>CSI-284</t>
  </si>
  <si>
    <t>CSI-285</t>
  </si>
  <si>
    <t>CSI-286</t>
  </si>
  <si>
    <t>CSI-287</t>
  </si>
  <si>
    <t>CSI-288</t>
  </si>
  <si>
    <t>CSI-289</t>
  </si>
  <si>
    <t>CSI-290</t>
  </si>
  <si>
    <t>CSI-291</t>
  </si>
  <si>
    <t>CSI-292</t>
  </si>
  <si>
    <t>CSI-293</t>
  </si>
  <si>
    <t>CSI-294</t>
  </si>
  <si>
    <t>CSI-295</t>
  </si>
  <si>
    <t>CSI-296</t>
  </si>
  <si>
    <t>CSI-297</t>
  </si>
  <si>
    <t>CSI-298</t>
  </si>
  <si>
    <t>CSI-299</t>
  </si>
  <si>
    <t>CSI-300</t>
  </si>
  <si>
    <t>CSI-301</t>
  </si>
  <si>
    <t>CSI-302</t>
  </si>
  <si>
    <t>CSI-303</t>
  </si>
  <si>
    <t>CSI-304</t>
  </si>
  <si>
    <t>CSI-305</t>
  </si>
  <si>
    <t>CSI-306</t>
  </si>
  <si>
    <t>CSI-307</t>
  </si>
  <si>
    <t>CSI-308</t>
  </si>
  <si>
    <t>CSI-309</t>
  </si>
  <si>
    <t>CSI-310</t>
  </si>
  <si>
    <t>CSI-311</t>
  </si>
  <si>
    <t>CSI-312</t>
  </si>
  <si>
    <t>CSI-313</t>
  </si>
  <si>
    <t>CSI-314</t>
  </si>
  <si>
    <t>CSI-315</t>
  </si>
  <si>
    <t>CSI-316</t>
  </si>
  <si>
    <t>CSI-317</t>
  </si>
  <si>
    <t>CSI-318</t>
  </si>
  <si>
    <t>CSI-319</t>
  </si>
  <si>
    <t>CSI-320</t>
  </si>
  <si>
    <t>CSI-321</t>
  </si>
  <si>
    <t>CSI-322</t>
  </si>
  <si>
    <t>CSI-323</t>
  </si>
  <si>
    <t>CSI-324</t>
  </si>
  <si>
    <t>CSI-325</t>
  </si>
  <si>
    <t>CSI-326</t>
  </si>
  <si>
    <t>CSI-327</t>
  </si>
  <si>
    <t>CSI-328</t>
  </si>
  <si>
    <t>DAMAGED</t>
  </si>
  <si>
    <t>EUHESMA</t>
  </si>
  <si>
    <t>Euhesma</t>
  </si>
  <si>
    <t>H DOTATUS? See FACE</t>
  </si>
  <si>
    <t>CSI-358</t>
  </si>
  <si>
    <t>CSI-359</t>
  </si>
  <si>
    <t>CSI-360</t>
  </si>
  <si>
    <t>CSI-361</t>
  </si>
  <si>
    <t>CSI-362</t>
  </si>
  <si>
    <t>CSI-363</t>
  </si>
  <si>
    <t>CSI-364</t>
  </si>
  <si>
    <t>H?</t>
  </si>
  <si>
    <t>Country</t>
  </si>
  <si>
    <t>Oberaltertheim</t>
  </si>
  <si>
    <t>Rieden1</t>
  </si>
  <si>
    <t>Rieden3</t>
  </si>
  <si>
    <t>Rieden2</t>
  </si>
  <si>
    <t>Dipbach</t>
  </si>
  <si>
    <t>Prosselsheim4</t>
  </si>
  <si>
    <t>Opferbaum2</t>
  </si>
  <si>
    <t>Opferbaum4</t>
  </si>
  <si>
    <t>Bergtheim1</t>
  </si>
  <si>
    <t>Bergtheim3</t>
  </si>
  <si>
    <t>Hausen1</t>
  </si>
  <si>
    <t>Bergtheim2</t>
  </si>
  <si>
    <t>Prosselsheim1</t>
  </si>
  <si>
    <t>Opferbaum3</t>
  </si>
  <si>
    <t>Opferbaum5</t>
  </si>
  <si>
    <t>Prosselsheim3</t>
  </si>
  <si>
    <t>Prosselsheim2</t>
  </si>
  <si>
    <t>Opferbaum1</t>
  </si>
  <si>
    <t>Hausen2</t>
  </si>
  <si>
    <t>NO ABD</t>
  </si>
  <si>
    <t>Mean</t>
  </si>
  <si>
    <t>ALLO-AUS-301</t>
  </si>
  <si>
    <t>ALLO-AUS-302</t>
  </si>
  <si>
    <t>ALLO-AUS-303</t>
  </si>
  <si>
    <t>ALLO-AUS-304</t>
  </si>
  <si>
    <t>ALLO-AUS-305</t>
  </si>
  <si>
    <t>ALLO-AUS-306</t>
  </si>
  <si>
    <t>ALLO-AUS-307</t>
  </si>
  <si>
    <t>ALLO-AUS-308</t>
  </si>
  <si>
    <t>ALLO-AUS-309</t>
  </si>
  <si>
    <t>ALLO-AUS-310</t>
  </si>
  <si>
    <t>ALLO-AUS-311</t>
  </si>
  <si>
    <t>ALLO-AUS-312</t>
  </si>
  <si>
    <t>ALLO-AUS-313</t>
  </si>
  <si>
    <t>ALLO-AUS-314</t>
  </si>
  <si>
    <t>ALLO-AUS-315</t>
  </si>
  <si>
    <t>ALLO-AUS-316</t>
  </si>
  <si>
    <t>ALLO-AUS-317</t>
  </si>
  <si>
    <t>ALLO-AUS-318</t>
  </si>
  <si>
    <t>ALLO-AUS-319</t>
  </si>
  <si>
    <t>ALLO-AUS-320</t>
  </si>
  <si>
    <t>ALLO-AUS-321</t>
  </si>
  <si>
    <t>ALLO-AUS-322</t>
  </si>
  <si>
    <t>ALLO-AUS-323</t>
  </si>
  <si>
    <t>ALLO-AUS-324</t>
  </si>
  <si>
    <t>ALLO-AUS-325</t>
  </si>
  <si>
    <t>ALLO-AUS-326</t>
  </si>
  <si>
    <t>ALLO-AUS-327</t>
  </si>
  <si>
    <t>ALLO-AUS-328</t>
  </si>
  <si>
    <t>ALLO-AUS-329</t>
  </si>
  <si>
    <t>ALLO-AUS-330</t>
  </si>
  <si>
    <t>ALLO-AUS-331</t>
  </si>
  <si>
    <t>ALLO-AUS-332</t>
  </si>
  <si>
    <t>ALLO-AUS-333</t>
  </si>
  <si>
    <t>ALLO-AUS-334</t>
  </si>
  <si>
    <t>ALLO-AUS-335</t>
  </si>
  <si>
    <t>ALLO-AUS-336</t>
  </si>
  <si>
    <t>ALLO-AUS-337</t>
  </si>
  <si>
    <t>ALLO-AUS-338</t>
  </si>
  <si>
    <t>ALLO-AUS-339</t>
  </si>
  <si>
    <t>ALLO-AUS-340</t>
  </si>
  <si>
    <t>ALLO-AUS-341</t>
  </si>
  <si>
    <t>ALLO-AUS-342</t>
  </si>
  <si>
    <t>ALLO-AUS-343</t>
  </si>
  <si>
    <t>ALLO-AUS-344</t>
  </si>
  <si>
    <t>ALLO-AUS-345</t>
  </si>
  <si>
    <t>ALLO-AUS-346</t>
  </si>
  <si>
    <t>ALLO-AUS-347</t>
  </si>
  <si>
    <t>ALLO-AUS-348</t>
  </si>
  <si>
    <t>ALLO-AUS-349</t>
  </si>
  <si>
    <t>ALLO-AUS-350</t>
  </si>
  <si>
    <t>ALLO-AUS-351</t>
  </si>
  <si>
    <t>ALLO-AUS-352</t>
  </si>
  <si>
    <t>ALLO-AUS-353</t>
  </si>
  <si>
    <t>ALLO-AUS-354</t>
  </si>
  <si>
    <t>ALLO-AUS-355</t>
  </si>
  <si>
    <t>ALLO-AUS-356</t>
  </si>
  <si>
    <t>ALLO-AUS-357</t>
  </si>
  <si>
    <t>ALLO-AUS-358</t>
  </si>
  <si>
    <t>ALLO-AUS-359</t>
  </si>
  <si>
    <t>ALLO-AUS-360</t>
  </si>
  <si>
    <t>ALLO-AUS-361</t>
  </si>
  <si>
    <t>ALLO-AUS-362</t>
  </si>
  <si>
    <t>ALLO-AUS-363</t>
  </si>
  <si>
    <t>ALLO-AUS-364</t>
  </si>
  <si>
    <t>ALLO-AUS-365</t>
  </si>
  <si>
    <t>ALLO-AUS-366</t>
  </si>
  <si>
    <t>ALLO-AUS-367</t>
  </si>
  <si>
    <t>ALLO-AUS-368</t>
  </si>
  <si>
    <t>ALLO-AUS-369</t>
  </si>
  <si>
    <t>ALLO-AUS-370</t>
  </si>
  <si>
    <t>ALLO-AUS-371</t>
  </si>
  <si>
    <t>ALLO-AUS-372</t>
  </si>
  <si>
    <t>ALLO-AUS-373</t>
  </si>
  <si>
    <t>ALLO-AUS-374</t>
  </si>
  <si>
    <t>ALLO-AUS-375</t>
  </si>
  <si>
    <t>ALLO-AUS-376</t>
  </si>
  <si>
    <t>ALLO-AUS-377</t>
  </si>
  <si>
    <t>ALLO-AUS-378</t>
  </si>
  <si>
    <t>ALLO-AUS-379</t>
  </si>
  <si>
    <t>ALLO-AUS-380</t>
  </si>
  <si>
    <t>ALLO-AUS-381</t>
  </si>
  <si>
    <t>ALLO-AUS-382</t>
  </si>
  <si>
    <t>ALLO-AUS-383</t>
  </si>
  <si>
    <t>ALLO-AUS-384</t>
  </si>
  <si>
    <t>ALLO-AUS-385</t>
  </si>
  <si>
    <t>ALLO-AUS-386</t>
  </si>
  <si>
    <t>ALLO-AUS-387</t>
  </si>
  <si>
    <t>ALLO-AUS-388</t>
  </si>
  <si>
    <t>ALLO-AUS-389</t>
  </si>
  <si>
    <t>ALLO-AUS-390</t>
  </si>
  <si>
    <t>ALLO-AUS-391</t>
  </si>
  <si>
    <t>ALLO-AUS-392</t>
  </si>
  <si>
    <t>ALLO-AUS-393</t>
  </si>
  <si>
    <t>ALLO-AUS-394</t>
  </si>
  <si>
    <t>ALLO-AUS-395</t>
  </si>
  <si>
    <t>ALLO-AUS-396</t>
  </si>
  <si>
    <t>ALLO-AUS-397</t>
  </si>
  <si>
    <t>Katherine</t>
  </si>
  <si>
    <t>WM003_2017</t>
  </si>
  <si>
    <t>Stanthorpe</t>
  </si>
  <si>
    <t>APPLE036_2017</t>
  </si>
  <si>
    <t>ALLO-AUS-398</t>
  </si>
  <si>
    <t>ALLO-AUS-399</t>
  </si>
  <si>
    <t>ALLO-AUS-400</t>
  </si>
  <si>
    <t>ALLO-AUS-401</t>
  </si>
  <si>
    <t>ALLO-AUS-402</t>
  </si>
  <si>
    <t>ALLO-AUS-403</t>
  </si>
  <si>
    <t>ALLO-AUS-404</t>
  </si>
  <si>
    <t>ALLO-AUS-405</t>
  </si>
  <si>
    <t>ALLO-AUS-406</t>
  </si>
  <si>
    <t>ALLO-AUS-407</t>
  </si>
  <si>
    <t>ALLO-AUS-408</t>
  </si>
  <si>
    <t>ALLO-AUS-409</t>
  </si>
  <si>
    <t>ALLO-AUS-410</t>
  </si>
  <si>
    <t>ALLO-AUS-411</t>
  </si>
  <si>
    <t>ALLO-AUS-412</t>
  </si>
  <si>
    <t>ALLO-AUS-413</t>
  </si>
  <si>
    <t>ALLO-AUS-414</t>
  </si>
  <si>
    <t>ALLO-AUS-415</t>
  </si>
  <si>
    <t>APPLE006_2017</t>
  </si>
  <si>
    <t>Bee?</t>
  </si>
  <si>
    <t>sp</t>
  </si>
  <si>
    <t>Megachile</t>
  </si>
  <si>
    <t>sulthicum</t>
  </si>
  <si>
    <t>leichardti</t>
  </si>
  <si>
    <t>hamulata</t>
  </si>
  <si>
    <t>heriadiformis</t>
  </si>
  <si>
    <t>kelvini</t>
  </si>
  <si>
    <t>primulipictus</t>
  </si>
  <si>
    <t>rotundiceps</t>
  </si>
  <si>
    <t>Callohesma</t>
  </si>
  <si>
    <t>elegans</t>
  </si>
  <si>
    <t>Thyreus</t>
  </si>
  <si>
    <t>nitidulus</t>
  </si>
  <si>
    <t>bicolor</t>
  </si>
  <si>
    <t>monstrosa</t>
  </si>
  <si>
    <t>bombiformis</t>
  </si>
  <si>
    <t>lanarium</t>
  </si>
  <si>
    <t>Homalictus (Homalictus)</t>
  </si>
  <si>
    <t>sphecodoides</t>
  </si>
  <si>
    <t>urbanus</t>
  </si>
  <si>
    <t>lieftincki</t>
  </si>
  <si>
    <t>bombylans</t>
  </si>
  <si>
    <t>cingulata</t>
  </si>
  <si>
    <t>asserta</t>
  </si>
  <si>
    <t>chlorocyanea</t>
  </si>
  <si>
    <t>pulchra</t>
  </si>
  <si>
    <t>maculariformis</t>
  </si>
  <si>
    <t>serricauda</t>
  </si>
  <si>
    <t>tenuicincta</t>
  </si>
  <si>
    <t>Nomia</t>
  </si>
  <si>
    <t>aurifrons</t>
  </si>
  <si>
    <t>australica</t>
  </si>
  <si>
    <t>bicingulatum</t>
  </si>
  <si>
    <t>flavoviridis</t>
  </si>
  <si>
    <t>flavomaculatus</t>
  </si>
  <si>
    <t>Apis</t>
  </si>
  <si>
    <t>mellifera</t>
  </si>
  <si>
    <t>mellipes</t>
  </si>
  <si>
    <t>cerana</t>
  </si>
  <si>
    <t>Euryglossinae</t>
  </si>
  <si>
    <t>GLUE exclude</t>
  </si>
  <si>
    <t>Missing head</t>
  </si>
  <si>
    <t>wing missing</t>
  </si>
  <si>
    <t>Taxa</t>
  </si>
  <si>
    <t>J.Lumbers WA 9.5k N Victoria Rock</t>
  </si>
  <si>
    <t>J.Lumbers WA 25k S Fraser Range Station</t>
  </si>
  <si>
    <t>J.Lumbers WA 43k SW Wubin, Jibberding</t>
  </si>
  <si>
    <t>ManbullooREF055</t>
  </si>
  <si>
    <t>Kings producersREF129</t>
  </si>
  <si>
    <t>ManbullooREF107</t>
  </si>
  <si>
    <t>ManbullooREF099</t>
  </si>
  <si>
    <t>ManbullooREF044</t>
  </si>
  <si>
    <t>ManbullooREF092</t>
  </si>
  <si>
    <t>Kings producersREF136</t>
  </si>
  <si>
    <t>Kings producersREF142</t>
  </si>
  <si>
    <t>FoxaliciousREF149</t>
  </si>
  <si>
    <t>Kings producersREF144</t>
  </si>
  <si>
    <t>CetinecREF014</t>
  </si>
  <si>
    <t>MoroREF006</t>
  </si>
  <si>
    <t>MoroREF005</t>
  </si>
  <si>
    <t>FeelyREF070</t>
  </si>
  <si>
    <t>DinoREF061</t>
  </si>
  <si>
    <t>CetinecREF013</t>
  </si>
  <si>
    <t>MarcelloREF046</t>
  </si>
  <si>
    <t>FeelyREF066</t>
  </si>
  <si>
    <t>MoroREF31</t>
  </si>
  <si>
    <t>CetinecREF017</t>
  </si>
  <si>
    <t>MarcelloREF058</t>
  </si>
  <si>
    <t>CetinecREF021</t>
  </si>
  <si>
    <t>CetinecREF041</t>
  </si>
  <si>
    <t>CetinecREF018</t>
  </si>
  <si>
    <t>MoroREF002</t>
  </si>
  <si>
    <t>MoroREF001</t>
  </si>
  <si>
    <t>CetinecREF043</t>
  </si>
  <si>
    <t>MarcelloREF056</t>
  </si>
  <si>
    <t>MarcelloREF055</t>
  </si>
  <si>
    <t>MoroREF009</t>
  </si>
  <si>
    <t>FeelyREF052</t>
  </si>
  <si>
    <t>CetinecREF042</t>
  </si>
  <si>
    <t>KatherineWM037_2017</t>
  </si>
  <si>
    <t>KatherineWM038_2017</t>
  </si>
  <si>
    <t>KatherineWM032_2017</t>
  </si>
  <si>
    <t>KatherineWM068_2017</t>
  </si>
  <si>
    <t>KatherineWM043_2017</t>
  </si>
  <si>
    <t>KatherineWM084_2017</t>
  </si>
  <si>
    <t>KatherineWM056_2017</t>
  </si>
  <si>
    <t>KatherineWM016_2017</t>
  </si>
  <si>
    <t>KatherineWM014_2017</t>
  </si>
  <si>
    <t>KatherineWM060_2017</t>
  </si>
  <si>
    <t>KatherineWM059_2017</t>
  </si>
  <si>
    <t>KatherineWM076_2017</t>
  </si>
  <si>
    <t>ManbullooREF045</t>
  </si>
  <si>
    <t>K15REF132</t>
  </si>
  <si>
    <t>ManbullooREF109</t>
  </si>
  <si>
    <t>ManbullooREF046</t>
  </si>
  <si>
    <t>ManbullooREF043</t>
  </si>
  <si>
    <t>ManbullooREF039</t>
  </si>
  <si>
    <t>ManbullooREF089</t>
  </si>
  <si>
    <t>ManbullooREF068</t>
  </si>
  <si>
    <t>ManbullooREF028</t>
  </si>
  <si>
    <t>FoxaliciousREF143</t>
  </si>
  <si>
    <t>Kings producersREF133</t>
  </si>
  <si>
    <t>ManbullooREF081</t>
  </si>
  <si>
    <t>ManbullooREF100</t>
  </si>
  <si>
    <t>ManbullooREF121</t>
  </si>
  <si>
    <t>ManbullooREF054</t>
  </si>
  <si>
    <t>Kings producersREF139</t>
  </si>
  <si>
    <t>StanthorpeAPPLE116_2017</t>
  </si>
  <si>
    <t>StanthorpeAPPLE115_2017</t>
  </si>
  <si>
    <t>StanthorpeAPPLE060_2017</t>
  </si>
  <si>
    <t>StanthorpeAPPLE064_2017</t>
  </si>
  <si>
    <t>StanthorpeAPPLE078_2017</t>
  </si>
  <si>
    <t>StanthorpeAPPLE020_2017</t>
  </si>
  <si>
    <t>StanthorpeAPPLE114_2017</t>
  </si>
  <si>
    <t>StanthorpeAPPLE019_2017</t>
  </si>
  <si>
    <t>KatherineWM046_2017</t>
  </si>
  <si>
    <t>KatherineWM045_2017</t>
  </si>
  <si>
    <t>KatherineWM047_2017</t>
  </si>
  <si>
    <t>StanthorpeAPPLE025_2017</t>
  </si>
  <si>
    <t>StanthorpeAPPLE047_2017</t>
  </si>
  <si>
    <t>StanthorpeAPPLE042_2017</t>
  </si>
  <si>
    <t>StanthorpeAPPLE028_2017</t>
  </si>
  <si>
    <t>StanthorpeAPPLE112_2017</t>
  </si>
  <si>
    <t>StanthorpeAPPLE103_2017</t>
  </si>
  <si>
    <t>StanthorpeAPPLE015_2017</t>
  </si>
  <si>
    <t>StanthorpeAPPLE023_2017</t>
  </si>
  <si>
    <t>StanthorpeAPPLE092_2017</t>
  </si>
  <si>
    <t>StanthorpeAPPLE026_2017</t>
  </si>
  <si>
    <t>StanthorpeAPPLE024_2017</t>
  </si>
  <si>
    <t>StanthorpeAPPLE084_2017</t>
  </si>
  <si>
    <t>StanthorpeAPPLE016_2017</t>
  </si>
  <si>
    <t>StanthorpeAPPLE074_2017</t>
  </si>
  <si>
    <t>StanthorpeAPPLE003_2017</t>
  </si>
  <si>
    <t>KatherineWM057_2017</t>
  </si>
  <si>
    <t>KatherineWM052_2017</t>
  </si>
  <si>
    <t>StanthorpeAPPLE069_2017</t>
  </si>
  <si>
    <t>StanthorpeAPPLE041_2017</t>
  </si>
  <si>
    <t>KatherineWM082_2017</t>
  </si>
  <si>
    <t>KatherineWM066_2017</t>
  </si>
  <si>
    <t>KatherineWM081_2017</t>
  </si>
  <si>
    <t>KatherineWM021_2017</t>
  </si>
  <si>
    <t>KatherineWM041_2017</t>
  </si>
  <si>
    <t>KatherineWM070_2017</t>
  </si>
  <si>
    <t>KatherineWM064_2017</t>
  </si>
  <si>
    <t>KatherineWM063_2017</t>
  </si>
  <si>
    <t>KatherineWM071_2017</t>
  </si>
  <si>
    <t>KatherineWM048_2017</t>
  </si>
  <si>
    <t>KatherineWM051_2017</t>
  </si>
  <si>
    <t>KatherineWM075_2017</t>
  </si>
  <si>
    <t>KatherineWM049_2017</t>
  </si>
  <si>
    <t>KatherineWM044_2017</t>
  </si>
  <si>
    <t>KatherineWM072_2017</t>
  </si>
  <si>
    <t>CSIRO_BRIS_COTTON</t>
  </si>
  <si>
    <t>COFFSRoadside weeds</t>
  </si>
  <si>
    <t>COFFSGrays Road</t>
  </si>
  <si>
    <t>COFFSS1S</t>
  </si>
  <si>
    <t>COFFSCamellia</t>
  </si>
  <si>
    <t>COFFSRoadside S4?</t>
  </si>
  <si>
    <t>COFFSBasil</t>
  </si>
  <si>
    <t xml:space="preserve">COFFSS1S </t>
  </si>
  <si>
    <t>COFFSRoadside Tunnels</t>
  </si>
  <si>
    <t>COFFSRoadside Weeds</t>
  </si>
  <si>
    <t>COFFSRoadside - S4</t>
  </si>
  <si>
    <t>COFFSRoadside - Ditch</t>
  </si>
  <si>
    <t>COFFSFeatherstones</t>
  </si>
  <si>
    <t>COFFSBean Plant</t>
  </si>
  <si>
    <t>COFFSMelaleuca - Caravan Pak</t>
  </si>
  <si>
    <t>COFFSBean Vine - Hardip</t>
  </si>
  <si>
    <t>COFFSKelly Potts</t>
  </si>
  <si>
    <t>COFFSParminder</t>
  </si>
  <si>
    <t>COFFSHardip</t>
  </si>
  <si>
    <t>COFFSCOMPOUND-YELLOW</t>
  </si>
  <si>
    <t>COFFSSherwood</t>
  </si>
  <si>
    <t>COFFSKangaroo</t>
  </si>
  <si>
    <t>COFFSPonds</t>
  </si>
  <si>
    <t>COFFSroadside weeds</t>
  </si>
  <si>
    <t>ARMIDALEUNE</t>
  </si>
  <si>
    <t>COFFS_ FST</t>
  </si>
  <si>
    <t>COFFS_ S4A</t>
  </si>
  <si>
    <t>COFFS_ B81</t>
  </si>
  <si>
    <t>COFFS_B910</t>
  </si>
  <si>
    <t>COFFS_ S3R</t>
  </si>
  <si>
    <t>COFFS_ B46</t>
  </si>
  <si>
    <t>COFFS_9-10</t>
  </si>
  <si>
    <t>COFFS_FST</t>
  </si>
  <si>
    <t>ITxBL</t>
  </si>
  <si>
    <t>Syrphidae</t>
  </si>
  <si>
    <t>scutellaris</t>
  </si>
  <si>
    <t>Mango</t>
  </si>
  <si>
    <t>Watermelon</t>
  </si>
  <si>
    <t>Apple</t>
  </si>
  <si>
    <t>viridiceps</t>
  </si>
  <si>
    <t>Subfamily</t>
  </si>
  <si>
    <t>Syrphinae</t>
  </si>
  <si>
    <t>Meliponini</t>
  </si>
  <si>
    <t>Apinae</t>
  </si>
  <si>
    <t>Xylocopinae</t>
  </si>
  <si>
    <t>Allodapini</t>
  </si>
  <si>
    <t>Halictidae</t>
  </si>
  <si>
    <t>Halictinae</t>
  </si>
  <si>
    <t>Anthophorini</t>
  </si>
  <si>
    <t>Megachilidae</t>
  </si>
  <si>
    <t>Megachilinae</t>
  </si>
  <si>
    <t>Megachilini</t>
  </si>
  <si>
    <t>Colletidae</t>
  </si>
  <si>
    <t>Hylaeinae</t>
  </si>
  <si>
    <t>Nomiinae</t>
  </si>
  <si>
    <t>Melectini</t>
  </si>
  <si>
    <t>Colletinae</t>
  </si>
  <si>
    <t>Xylocopini</t>
  </si>
  <si>
    <t>Ireland</t>
  </si>
  <si>
    <t>cuprea</t>
  </si>
  <si>
    <t>rubicundus</t>
  </si>
  <si>
    <t>albimanus</t>
  </si>
  <si>
    <t>pratorum</t>
  </si>
  <si>
    <t>splendens</t>
  </si>
  <si>
    <t>balteatus</t>
  </si>
  <si>
    <t>villosulum</t>
  </si>
  <si>
    <t>lucorum agg</t>
  </si>
  <si>
    <t>luniger</t>
  </si>
  <si>
    <t>auricollis</t>
  </si>
  <si>
    <t>tenax</t>
  </si>
  <si>
    <t>communis</t>
  </si>
  <si>
    <t>calceatum</t>
  </si>
  <si>
    <t>pyrastri</t>
  </si>
  <si>
    <t>pectoralis</t>
  </si>
  <si>
    <t>bicinctum</t>
  </si>
  <si>
    <t>pipiens</t>
  </si>
  <si>
    <t>ribesii</t>
  </si>
  <si>
    <t>Ferdinandea</t>
  </si>
  <si>
    <t>Platycheirus</t>
  </si>
  <si>
    <t>Ripponesia</t>
  </si>
  <si>
    <t>Lasioglossum</t>
  </si>
  <si>
    <t>Episyrphus</t>
  </si>
  <si>
    <t>Andrena</t>
  </si>
  <si>
    <t>Eupeodes</t>
  </si>
  <si>
    <t>Meliscaeva</t>
  </si>
  <si>
    <t>Eristalis</t>
  </si>
  <si>
    <t>Hylaeus</t>
  </si>
  <si>
    <t>Scaeva</t>
  </si>
  <si>
    <t>Chrysotoxum</t>
  </si>
  <si>
    <t>Syritta</t>
  </si>
  <si>
    <t>Syrphus</t>
  </si>
  <si>
    <t>South DublinGNI 1</t>
  </si>
  <si>
    <t>South DublinGNI 2</t>
  </si>
  <si>
    <t>South DublinGNI 3</t>
  </si>
  <si>
    <t>South DublinGNI 4</t>
  </si>
  <si>
    <t>South DublinRTE 1</t>
  </si>
  <si>
    <t>South DublinRTE 3</t>
  </si>
  <si>
    <t>South DublinRTE 4</t>
  </si>
  <si>
    <t>South DublinTCD 1</t>
  </si>
  <si>
    <t>South DublinTCD 2</t>
  </si>
  <si>
    <t>South DublinTCD 4</t>
  </si>
  <si>
    <t>South DublinUCD 1</t>
  </si>
  <si>
    <t>South DublinUCD 2</t>
  </si>
  <si>
    <t>South DublinUCD 3</t>
  </si>
  <si>
    <t>South DublinUCD 4</t>
  </si>
  <si>
    <t>Andrenidae</t>
  </si>
  <si>
    <t>Hypochaeris radicata</t>
  </si>
  <si>
    <t>Plantago lanceolata</t>
  </si>
  <si>
    <t>Phacelia tanacetifolia</t>
  </si>
  <si>
    <t>Epilobium hirsutum</t>
  </si>
  <si>
    <t>Filipendula ulmaria</t>
  </si>
  <si>
    <t>cypromicans</t>
  </si>
  <si>
    <t>leucopus</t>
  </si>
  <si>
    <t>corollae</t>
  </si>
  <si>
    <t>ALLO-AUS-94.1</t>
  </si>
  <si>
    <t>ALLO-AUS-95.1</t>
  </si>
  <si>
    <t>ALLO-AUS-96.1</t>
  </si>
  <si>
    <t>ALLO-AUS-97.1</t>
  </si>
  <si>
    <t>ALLO-AUS-98.1</t>
  </si>
  <si>
    <t>ALLO-AUS-99.1</t>
  </si>
  <si>
    <t>ALLO-AUS-100.1</t>
  </si>
  <si>
    <t>ALLO-AUS-101.1</t>
  </si>
  <si>
    <t>ALLO-AUS-102.1</t>
  </si>
  <si>
    <t>ALLO-AUS-103.1</t>
  </si>
  <si>
    <t>Westringia</t>
  </si>
  <si>
    <t>MareebaMoro</t>
  </si>
  <si>
    <t>Allobaccha</t>
  </si>
  <si>
    <t>Eristalinus</t>
  </si>
  <si>
    <t>Orthoprosopa</t>
  </si>
  <si>
    <t>Tachinidae</t>
  </si>
  <si>
    <t>aeruginosa</t>
  </si>
  <si>
    <t>South DublinRTE 2</t>
  </si>
  <si>
    <t>Cirsium vulgare</t>
  </si>
  <si>
    <t>Oregano vulgare</t>
  </si>
  <si>
    <t>Identification Number</t>
  </si>
  <si>
    <t>Sphaerophoria</t>
  </si>
  <si>
    <t>scripta</t>
  </si>
  <si>
    <t>Melanostoma</t>
  </si>
  <si>
    <t>mellinum</t>
  </si>
  <si>
    <t>Myathropa</t>
  </si>
  <si>
    <t>florea</t>
  </si>
  <si>
    <t>subopaca</t>
  </si>
  <si>
    <t>hortorum</t>
  </si>
  <si>
    <t>Britain</t>
  </si>
  <si>
    <t>Thyreus </t>
  </si>
  <si>
    <t>waroonensis</t>
  </si>
  <si>
    <t>sp6</t>
  </si>
  <si>
    <t>platychilum</t>
  </si>
  <si>
    <t>Halictini</t>
  </si>
  <si>
    <t>apicata</t>
  </si>
  <si>
    <t>macularisCOMPLEX</t>
  </si>
  <si>
    <t>captionis</t>
  </si>
  <si>
    <t>amiculus</t>
  </si>
  <si>
    <t>paracallida</t>
  </si>
  <si>
    <t>turneri</t>
  </si>
  <si>
    <t>megsp1</t>
  </si>
  <si>
    <t>callura</t>
  </si>
  <si>
    <t>megsp2</t>
  </si>
  <si>
    <t>megbid</t>
  </si>
  <si>
    <t>Goniocolletes</t>
  </si>
  <si>
    <t>perfasciatus</t>
  </si>
  <si>
    <t>micrerythrura</t>
  </si>
  <si>
    <t>megsp3</t>
  </si>
  <si>
    <t>hemichalceum</t>
  </si>
  <si>
    <t>brasp2</t>
  </si>
  <si>
    <t>brasp1</t>
  </si>
  <si>
    <t>brasp3</t>
  </si>
  <si>
    <t>nomsp1</t>
  </si>
  <si>
    <t>eursp1</t>
  </si>
  <si>
    <t>lipsp3</t>
  </si>
  <si>
    <t>lipsp1</t>
  </si>
  <si>
    <t>ferricauda</t>
  </si>
  <si>
    <t>lipsp4</t>
  </si>
  <si>
    <t>lipsp10</t>
  </si>
  <si>
    <t>lipsp8</t>
  </si>
  <si>
    <t>lassp1</t>
  </si>
  <si>
    <t>homsp1</t>
  </si>
  <si>
    <t>lassp2</t>
  </si>
  <si>
    <t>lassp3</t>
  </si>
  <si>
    <t>calsp1</t>
  </si>
  <si>
    <t>lassp4</t>
  </si>
  <si>
    <t>megsp4</t>
  </si>
  <si>
    <t>euhsp1</t>
  </si>
  <si>
    <t>lipsp7</t>
  </si>
  <si>
    <t>lassp5</t>
  </si>
  <si>
    <t>eremaean</t>
  </si>
  <si>
    <t>lassp6</t>
  </si>
  <si>
    <t>orbitum</t>
  </si>
  <si>
    <t>lassp7</t>
  </si>
  <si>
    <t>lassp8</t>
  </si>
  <si>
    <t>Apini</t>
  </si>
  <si>
    <t>J.LumbersNSWGibraltarRange</t>
  </si>
  <si>
    <t>Male</t>
  </si>
  <si>
    <t>Female</t>
  </si>
  <si>
    <t>erisp2</t>
  </si>
  <si>
    <t>erisp3</t>
  </si>
  <si>
    <t>punctulatus</t>
  </si>
  <si>
    <t>Syrphini</t>
  </si>
  <si>
    <t>Subgenus</t>
  </si>
  <si>
    <t>Austrosyrphus</t>
  </si>
  <si>
    <t>Melangyna</t>
  </si>
  <si>
    <t>Lathyrophthalmus</t>
  </si>
  <si>
    <t>melsp1</t>
  </si>
  <si>
    <t>messp1</t>
  </si>
  <si>
    <t>Ischiodon</t>
  </si>
  <si>
    <t>Simosyrphus</t>
  </si>
  <si>
    <t>simsp1</t>
  </si>
  <si>
    <t>Milesiini</t>
  </si>
  <si>
    <t>ortsp1</t>
  </si>
  <si>
    <t>allsp1</t>
  </si>
  <si>
    <t>Paragus</t>
  </si>
  <si>
    <t>parsp1</t>
  </si>
  <si>
    <t>Paragini</t>
  </si>
  <si>
    <t>Exoneura</t>
  </si>
  <si>
    <t>Amegilla</t>
  </si>
  <si>
    <t>Chilalictus</t>
  </si>
  <si>
    <t>Zonamegilla</t>
  </si>
  <si>
    <t>Eutricharaea</t>
  </si>
  <si>
    <t>Xenohylaeus</t>
  </si>
  <si>
    <t>Austronomia</t>
  </si>
  <si>
    <t>Lestis</t>
  </si>
  <si>
    <t>Propoisteron</t>
  </si>
  <si>
    <t>Xylocopa</t>
  </si>
  <si>
    <t>syrsp2</t>
  </si>
  <si>
    <t>chasp1</t>
  </si>
  <si>
    <t>syrsp3</t>
  </si>
  <si>
    <t>syrsp4</t>
  </si>
  <si>
    <t>spisp1</t>
  </si>
  <si>
    <t>Trichopsomyia</t>
  </si>
  <si>
    <t>trisp1</t>
  </si>
  <si>
    <t>Eristalinae</t>
  </si>
  <si>
    <t>Ceriana</t>
  </si>
  <si>
    <t>cersp1</t>
  </si>
  <si>
    <t>cersp2</t>
  </si>
  <si>
    <t>Cerioidini</t>
  </si>
  <si>
    <t>Mesembrius</t>
  </si>
  <si>
    <t>C4</t>
  </si>
  <si>
    <t>C9</t>
  </si>
  <si>
    <t>C10</t>
  </si>
  <si>
    <t>C14</t>
  </si>
  <si>
    <t>C15</t>
  </si>
  <si>
    <t>Mareeba</t>
  </si>
  <si>
    <t>C1Mareeba2016</t>
  </si>
  <si>
    <t>C2Mareeba2016</t>
  </si>
  <si>
    <t>C3Mareeba2016</t>
  </si>
  <si>
    <t>C5Mareeba2016</t>
  </si>
  <si>
    <t>C6Mareeba2016</t>
  </si>
  <si>
    <t>C7Mareeba2016</t>
  </si>
  <si>
    <t>C8Mareeba2016</t>
  </si>
  <si>
    <t>C11Mareeba2016</t>
  </si>
  <si>
    <t>C12Mareeba2016</t>
  </si>
  <si>
    <t>C13Mareeba2016</t>
  </si>
  <si>
    <t>C16Mareeba2016</t>
  </si>
  <si>
    <t>C17Mareeba2016</t>
  </si>
  <si>
    <t>lassp9</t>
  </si>
  <si>
    <t>Parasphecodes</t>
  </si>
  <si>
    <t>Exleycolletes</t>
  </si>
  <si>
    <t>Leioproctus</t>
  </si>
  <si>
    <t>Euprosopoides</t>
  </si>
  <si>
    <t>Asaropoda</t>
  </si>
  <si>
    <t>Koptortosoma</t>
  </si>
  <si>
    <t>Euprosopis</t>
  </si>
  <si>
    <t>Notomegilla</t>
  </si>
  <si>
    <t>Schizomegachile</t>
  </si>
  <si>
    <t>Gnathoprosopis</t>
  </si>
  <si>
    <t>Bidens pilosa</t>
  </si>
  <si>
    <t>Camellia</t>
  </si>
  <si>
    <t>Pan trap</t>
  </si>
  <si>
    <t>Passiflora</t>
  </si>
  <si>
    <t>Spain</t>
  </si>
  <si>
    <t>Rophitinae</t>
  </si>
  <si>
    <t>Rophitini</t>
  </si>
  <si>
    <t>planidens</t>
  </si>
  <si>
    <t>scabiosae</t>
  </si>
  <si>
    <t>Melittidae</t>
  </si>
  <si>
    <t>Dasypodainae</t>
  </si>
  <si>
    <t>Dasypodaini</t>
  </si>
  <si>
    <t>crassicornis</t>
  </si>
  <si>
    <t>imminutus</t>
  </si>
  <si>
    <t>Colletini</t>
  </si>
  <si>
    <t>acutus</t>
  </si>
  <si>
    <t>nigricans</t>
  </si>
  <si>
    <t>Osmiini</t>
  </si>
  <si>
    <t>adunca</t>
  </si>
  <si>
    <t>Ceratinini</t>
  </si>
  <si>
    <t>cucurbitina</t>
  </si>
  <si>
    <t>Andreninae</t>
  </si>
  <si>
    <t>Andrenini</t>
  </si>
  <si>
    <t>nigroaenaea</t>
  </si>
  <si>
    <t>Xylocopinini</t>
  </si>
  <si>
    <t>valga</t>
  </si>
  <si>
    <t>cantabrita</t>
  </si>
  <si>
    <t>dispar</t>
  </si>
  <si>
    <t>worker</t>
  </si>
  <si>
    <t>Bombini</t>
  </si>
  <si>
    <t>Panurginae</t>
  </si>
  <si>
    <t>Panurgini</t>
  </si>
  <si>
    <t>banksianus</t>
  </si>
  <si>
    <t>ovatula</t>
  </si>
  <si>
    <t>venustus</t>
  </si>
  <si>
    <t>dargius</t>
  </si>
  <si>
    <t>cephalotes</t>
  </si>
  <si>
    <t>rhyssonota</t>
  </si>
  <si>
    <t>flavipes</t>
  </si>
  <si>
    <t>thoracica</t>
  </si>
  <si>
    <t>ferrugineicrus</t>
  </si>
  <si>
    <t>hispania</t>
  </si>
  <si>
    <t>leucozonium</t>
  </si>
  <si>
    <t>Nomadinae</t>
  </si>
  <si>
    <t>Nomadini</t>
  </si>
  <si>
    <t>merceti</t>
  </si>
  <si>
    <t>melathoracica</t>
  </si>
  <si>
    <t>agrestis</t>
  </si>
  <si>
    <t>fucata</t>
  </si>
  <si>
    <t>albocinctum</t>
  </si>
  <si>
    <t>Eucerini</t>
  </si>
  <si>
    <t>elongatula</t>
  </si>
  <si>
    <t>rufa</t>
  </si>
  <si>
    <t>chrysopyga</t>
  </si>
  <si>
    <t>hispanica</t>
  </si>
  <si>
    <t>aestivalis</t>
  </si>
  <si>
    <t>atroalba</t>
  </si>
  <si>
    <t>quadrifasciata</t>
  </si>
  <si>
    <t>Anthidini</t>
  </si>
  <si>
    <t>sticticum</t>
  </si>
  <si>
    <t>melanorum</t>
  </si>
  <si>
    <t>calcaratus</t>
  </si>
  <si>
    <t>bicornis</t>
  </si>
  <si>
    <t>submicans</t>
  </si>
  <si>
    <t>crenulatus</t>
  </si>
  <si>
    <t>Beetle</t>
  </si>
  <si>
    <t>ruficollis</t>
  </si>
  <si>
    <t>lusitanicum</t>
  </si>
  <si>
    <t>vllosulus</t>
  </si>
  <si>
    <t>schaefferi</t>
  </si>
  <si>
    <t>coerulescens</t>
  </si>
  <si>
    <t>squalida</t>
  </si>
  <si>
    <t>funesta</t>
  </si>
  <si>
    <t>viridicoerulea</t>
  </si>
  <si>
    <t>morph1</t>
  </si>
  <si>
    <t>Butterfly</t>
  </si>
  <si>
    <t>pirithous</t>
  </si>
  <si>
    <t>marshalli</t>
  </si>
  <si>
    <t>rubi</t>
  </si>
  <si>
    <t>Fly</t>
  </si>
  <si>
    <t>torquatus</t>
  </si>
  <si>
    <t>atra</t>
  </si>
  <si>
    <t>senex</t>
  </si>
  <si>
    <t>micans</t>
  </si>
  <si>
    <t>tessellata</t>
  </si>
  <si>
    <t>Merodontini</t>
  </si>
  <si>
    <t>setosus</t>
  </si>
  <si>
    <t>baleatus</t>
  </si>
  <si>
    <t>Volucellini</t>
  </si>
  <si>
    <t>Eristalini</t>
  </si>
  <si>
    <t>taeniops</t>
  </si>
  <si>
    <t>morph2</t>
  </si>
  <si>
    <t>megacephalus</t>
  </si>
  <si>
    <t>sp1</t>
  </si>
  <si>
    <t>Other</t>
  </si>
  <si>
    <t>bipennis</t>
  </si>
  <si>
    <t>montana</t>
  </si>
  <si>
    <t>arenaria</t>
  </si>
  <si>
    <t>panzeri</t>
  </si>
  <si>
    <t>triangulum</t>
  </si>
  <si>
    <t>refulgens</t>
  </si>
  <si>
    <t>germanica</t>
  </si>
  <si>
    <t>oculata</t>
  </si>
  <si>
    <t>dominula</t>
  </si>
  <si>
    <t>maculata</t>
  </si>
  <si>
    <t>carpetanus</t>
  </si>
  <si>
    <t>quinquencincta</t>
  </si>
  <si>
    <t>gazella</t>
  </si>
  <si>
    <t>clypeata</t>
  </si>
  <si>
    <t>heydeni</t>
  </si>
  <si>
    <t>coarctatus</t>
  </si>
  <si>
    <t>posticus</t>
  </si>
  <si>
    <t>denisi</t>
  </si>
  <si>
    <t>biphaleratus</t>
  </si>
  <si>
    <t>SpainBF100</t>
  </si>
  <si>
    <t>SpainBF101</t>
  </si>
  <si>
    <t>SpainBF102</t>
  </si>
  <si>
    <t>SpainBF103</t>
  </si>
  <si>
    <t>SpainBF110</t>
  </si>
  <si>
    <t>SpainBF120</t>
  </si>
  <si>
    <t>SpainBF122</t>
  </si>
  <si>
    <t>SpainBF127</t>
  </si>
  <si>
    <t>SpainBF136</t>
  </si>
  <si>
    <t>SpainBF15</t>
  </si>
  <si>
    <t>SpainBF151</t>
  </si>
  <si>
    <t>SpainBF156</t>
  </si>
  <si>
    <t>SpainBF160</t>
  </si>
  <si>
    <t>SpainBF161</t>
  </si>
  <si>
    <t>SpainBF162</t>
  </si>
  <si>
    <t>SpainBF171</t>
  </si>
  <si>
    <t>SpainBF180</t>
  </si>
  <si>
    <t>SpainBF184</t>
  </si>
  <si>
    <t>SpainBF19</t>
  </si>
  <si>
    <t>SpainBF193</t>
  </si>
  <si>
    <t>SpainBF195</t>
  </si>
  <si>
    <t>SpainBF197</t>
  </si>
  <si>
    <t>SpainBF2</t>
  </si>
  <si>
    <t>SpainBF201</t>
  </si>
  <si>
    <t>SpainBF216</t>
  </si>
  <si>
    <t>SpainBF223</t>
  </si>
  <si>
    <t>SpainBF224</t>
  </si>
  <si>
    <t>SpainBF228</t>
  </si>
  <si>
    <t>SpainBF23</t>
  </si>
  <si>
    <t>SpainBF241</t>
  </si>
  <si>
    <t>SpainBF242</t>
  </si>
  <si>
    <t>SpainBF258</t>
  </si>
  <si>
    <t>SpainBF261</t>
  </si>
  <si>
    <t>SpainBF266</t>
  </si>
  <si>
    <t>SpainBF273</t>
  </si>
  <si>
    <t>SpainBF275</t>
  </si>
  <si>
    <t>SpainBF278</t>
  </si>
  <si>
    <t>SpainBF279</t>
  </si>
  <si>
    <t>SpainBF28</t>
  </si>
  <si>
    <t>SpainBF282</t>
  </si>
  <si>
    <t>SpainBF293</t>
  </si>
  <si>
    <t>SpainBF317</t>
  </si>
  <si>
    <t>SpainBF32</t>
  </si>
  <si>
    <t>SpainBF320</t>
  </si>
  <si>
    <t>SpainBF334</t>
  </si>
  <si>
    <t>SpainBF338</t>
  </si>
  <si>
    <t>SpainBF34</t>
  </si>
  <si>
    <t>SpainBF346</t>
  </si>
  <si>
    <t>SpainBF352</t>
  </si>
  <si>
    <t>SpainBF353</t>
  </si>
  <si>
    <t>SpainBF354</t>
  </si>
  <si>
    <t>SpainBF46</t>
  </si>
  <si>
    <t>SpainBF548</t>
  </si>
  <si>
    <t>SpainBF555</t>
  </si>
  <si>
    <t>SpainBF559</t>
  </si>
  <si>
    <t>SpainBF572</t>
  </si>
  <si>
    <t>SpainBF585</t>
  </si>
  <si>
    <t>SpainBF586</t>
  </si>
  <si>
    <t>SpainBF593</t>
  </si>
  <si>
    <t>SpainBF601</t>
  </si>
  <si>
    <t>SpainBF602</t>
  </si>
  <si>
    <t>SpainBF606</t>
  </si>
  <si>
    <t>SpainBF614</t>
  </si>
  <si>
    <t>SpainBF621</t>
  </si>
  <si>
    <t>SpainBF624</t>
  </si>
  <si>
    <t>SpainBF625</t>
  </si>
  <si>
    <t>SpainBF626</t>
  </si>
  <si>
    <t>SpainBF63</t>
  </si>
  <si>
    <t>SpainBF634</t>
  </si>
  <si>
    <t>SpainBF638</t>
  </si>
  <si>
    <t>SpainBF643</t>
  </si>
  <si>
    <t>SpainBF66</t>
  </si>
  <si>
    <t>SpainBF690</t>
  </si>
  <si>
    <t>SpainBF91</t>
  </si>
  <si>
    <t>SpainBF98</t>
  </si>
  <si>
    <t>SpainBF479</t>
  </si>
  <si>
    <t>SpainBF482</t>
  </si>
  <si>
    <t>SpainBF493</t>
  </si>
  <si>
    <t>SpainBF500</t>
  </si>
  <si>
    <t>SpainBF504</t>
  </si>
  <si>
    <t>SpainBF507</t>
  </si>
  <si>
    <t>SpainBF517</t>
  </si>
  <si>
    <t>SpainBF522</t>
  </si>
  <si>
    <t>SpainBF532</t>
  </si>
  <si>
    <t>SpainBF540</t>
  </si>
  <si>
    <t>SpainBF672</t>
  </si>
  <si>
    <t>SpainBF673</t>
  </si>
  <si>
    <t>SpainBF677</t>
  </si>
  <si>
    <t>SpainBF678</t>
  </si>
  <si>
    <t>SpainBF355</t>
  </si>
  <si>
    <t>SpainBF358</t>
  </si>
  <si>
    <t>SpainBF364</t>
  </si>
  <si>
    <t>SpainBF368</t>
  </si>
  <si>
    <t>SpainBF372</t>
  </si>
  <si>
    <t>SpainBF377</t>
  </si>
  <si>
    <t>SpainBF386</t>
  </si>
  <si>
    <t>SpainBF388</t>
  </si>
  <si>
    <t>SpainBF397</t>
  </si>
  <si>
    <t>SpainBF415</t>
  </si>
  <si>
    <t>SpainBF417</t>
  </si>
  <si>
    <t>SpainBF422</t>
  </si>
  <si>
    <t>SpainBF425</t>
  </si>
  <si>
    <t>SpainBF428</t>
  </si>
  <si>
    <t>SpainBF433</t>
  </si>
  <si>
    <t>SpainBF450</t>
  </si>
  <si>
    <t>SpainBF457</t>
  </si>
  <si>
    <t>SpainBF463</t>
  </si>
  <si>
    <t>SpainBF465</t>
  </si>
  <si>
    <t>SpainBF467</t>
  </si>
  <si>
    <t>SpainBF472</t>
  </si>
  <si>
    <t>SpainBF682</t>
  </si>
  <si>
    <t>SpainBF174</t>
  </si>
  <si>
    <t>SpainBF176</t>
  </si>
  <si>
    <t>SpainBF349</t>
  </si>
  <si>
    <t>SpainBF350</t>
  </si>
  <si>
    <t>SpainBF351</t>
  </si>
  <si>
    <t>SpainBF633</t>
  </si>
  <si>
    <t>SpainBF650</t>
  </si>
  <si>
    <t>SpainBF654</t>
  </si>
  <si>
    <t>SpainBF655</t>
  </si>
  <si>
    <t>SpainBF656</t>
  </si>
  <si>
    <t>SpainBF660</t>
  </si>
  <si>
    <t>SpainBF661</t>
  </si>
  <si>
    <t>SpainBF662</t>
  </si>
  <si>
    <t>SpainBF664</t>
  </si>
  <si>
    <t>SpainBF667</t>
  </si>
  <si>
    <t>SpainBF668</t>
  </si>
  <si>
    <t>SpainBF669</t>
  </si>
  <si>
    <t>SpainBF670</t>
  </si>
  <si>
    <t>SpainBF675</t>
  </si>
  <si>
    <t>SpainBF676</t>
  </si>
  <si>
    <t>SpainBF680</t>
  </si>
  <si>
    <t>SpainBF681</t>
  </si>
  <si>
    <t>SpainBF687</t>
  </si>
  <si>
    <t>SpainBF689</t>
  </si>
  <si>
    <t>SpainBF693</t>
  </si>
  <si>
    <t>Systropha</t>
  </si>
  <si>
    <t>Sphecodes</t>
  </si>
  <si>
    <t>Dasypoda</t>
  </si>
  <si>
    <t>Colletes</t>
  </si>
  <si>
    <t>Hoplitis</t>
  </si>
  <si>
    <t>Ceratina</t>
  </si>
  <si>
    <t>Anthophora</t>
  </si>
  <si>
    <t>Panurgus</t>
  </si>
  <si>
    <t>Flavipanurgus</t>
  </si>
  <si>
    <t>Nomada</t>
  </si>
  <si>
    <t>Eucera</t>
  </si>
  <si>
    <t>Pseudoanthidium</t>
  </si>
  <si>
    <t>Osmia</t>
  </si>
  <si>
    <t>Heriades</t>
  </si>
  <si>
    <t>Heliotaurus</t>
  </si>
  <si>
    <t>Exosoma</t>
  </si>
  <si>
    <t>Chasmatopterus</t>
  </si>
  <si>
    <t>Cerocoma</t>
  </si>
  <si>
    <t>Opsilia</t>
  </si>
  <si>
    <t>Tropinota</t>
  </si>
  <si>
    <t>Oxythyrea</t>
  </si>
  <si>
    <t>Psilothrix</t>
  </si>
  <si>
    <t>Malachius</t>
  </si>
  <si>
    <t>Leptotes</t>
  </si>
  <si>
    <t>Cacyreus</t>
  </si>
  <si>
    <t>Callophrys</t>
  </si>
  <si>
    <t>Bombylius</t>
  </si>
  <si>
    <t>Usia</t>
  </si>
  <si>
    <t>Bombylella</t>
  </si>
  <si>
    <t>Dischistus</t>
  </si>
  <si>
    <t>Pangonius</t>
  </si>
  <si>
    <t>Lomatia</t>
  </si>
  <si>
    <t>Systoechus</t>
  </si>
  <si>
    <t>Empis</t>
  </si>
  <si>
    <t>Rhyncomyia</t>
  </si>
  <si>
    <t>Platynochaetus</t>
  </si>
  <si>
    <t>Volucella</t>
  </si>
  <si>
    <t>Dasypogon</t>
  </si>
  <si>
    <t>Meloidae</t>
  </si>
  <si>
    <t>Nemoptera</t>
  </si>
  <si>
    <t>Macrophya</t>
  </si>
  <si>
    <t>Cerceris</t>
  </si>
  <si>
    <t>Tachysphex</t>
  </si>
  <si>
    <t>Philanthus</t>
  </si>
  <si>
    <t>Chrysura</t>
  </si>
  <si>
    <t>Vespula</t>
  </si>
  <si>
    <t>Bembix</t>
  </si>
  <si>
    <t>Arachnospila</t>
  </si>
  <si>
    <t>Polistes</t>
  </si>
  <si>
    <t>Megascolia</t>
  </si>
  <si>
    <t>Bembecinus</t>
  </si>
  <si>
    <t>Colpa</t>
  </si>
  <si>
    <t>Scolia</t>
  </si>
  <si>
    <t>Ancistrocerus</t>
  </si>
  <si>
    <t>Lestica</t>
  </si>
  <si>
    <t>Ammophila</t>
  </si>
  <si>
    <t>Eumenes</t>
  </si>
  <si>
    <t>Ichneumonidae</t>
  </si>
  <si>
    <t>Eodynerus</t>
  </si>
  <si>
    <t>ALLO-AUS-93-1</t>
  </si>
  <si>
    <t>IRE20170181</t>
  </si>
  <si>
    <t>IRE20170269</t>
  </si>
  <si>
    <t>IRE20170282</t>
  </si>
  <si>
    <t>IRE20170601</t>
  </si>
  <si>
    <t>IRE20170002</t>
  </si>
  <si>
    <t>IRE20170006</t>
  </si>
  <si>
    <t>IRE20170010</t>
  </si>
  <si>
    <t>IRE20170058</t>
  </si>
  <si>
    <t>IRE20170093</t>
  </si>
  <si>
    <t>IRE20170109</t>
  </si>
  <si>
    <t>IRE20170127</t>
  </si>
  <si>
    <t>IRE20170135</t>
  </si>
  <si>
    <t>IRE20170145</t>
  </si>
  <si>
    <t>IRE20170148</t>
  </si>
  <si>
    <t>IRE20170149</t>
  </si>
  <si>
    <t>IRE20170153</t>
  </si>
  <si>
    <t>IRE20170156</t>
  </si>
  <si>
    <t>IRE20170170</t>
  </si>
  <si>
    <t>IRE20170177</t>
  </si>
  <si>
    <t>IRE20170216</t>
  </si>
  <si>
    <t>IRE20170247</t>
  </si>
  <si>
    <t>IRE20170287</t>
  </si>
  <si>
    <t>IRE20170308</t>
  </si>
  <si>
    <t>IRE20170348</t>
  </si>
  <si>
    <t>IRE20170355</t>
  </si>
  <si>
    <t>IRE20170407</t>
  </si>
  <si>
    <t>IRE20170446</t>
  </si>
  <si>
    <t>IRE20170464</t>
  </si>
  <si>
    <t>IRE20170481</t>
  </si>
  <si>
    <t>IRE20170572</t>
  </si>
  <si>
    <t>IRE20170611</t>
  </si>
  <si>
    <t>IRE20170636</t>
  </si>
  <si>
    <t>IRE20170655</t>
  </si>
  <si>
    <t>IRE20170422</t>
  </si>
  <si>
    <t>IRE20170018</t>
  </si>
  <si>
    <t>IRE20170030</t>
  </si>
  <si>
    <t>IRE20170117</t>
  </si>
  <si>
    <t>IRE20170186</t>
  </si>
  <si>
    <t>IRE20170227</t>
  </si>
  <si>
    <t>IRE20170541</t>
  </si>
  <si>
    <t>IRE20170309</t>
  </si>
  <si>
    <t>IRE20170538</t>
  </si>
  <si>
    <t>IRE20170545</t>
  </si>
  <si>
    <t>IRE20170078</t>
  </si>
  <si>
    <t>IRE20170254</t>
  </si>
  <si>
    <t>IRE20170260</t>
  </si>
  <si>
    <t>IRE20170487</t>
  </si>
  <si>
    <t>IRE20170580</t>
  </si>
  <si>
    <t>IRE20170268</t>
  </si>
  <si>
    <t>IRE20170169</t>
  </si>
  <si>
    <t>IRE20170380</t>
  </si>
  <si>
    <t>IRE20170381</t>
  </si>
  <si>
    <t>IRE20170512</t>
  </si>
  <si>
    <t>IRE20170619</t>
  </si>
  <si>
    <t>IRE20170141</t>
  </si>
  <si>
    <t>IRE20170143</t>
  </si>
  <si>
    <t>IRE20170146</t>
  </si>
  <si>
    <t>IRE20170168</t>
  </si>
  <si>
    <t>IRE20170220</t>
  </si>
  <si>
    <t>IRE20170236</t>
  </si>
  <si>
    <t>IRE20170262</t>
  </si>
  <si>
    <t>IRE20170276</t>
  </si>
  <si>
    <t>IRE20170291</t>
  </si>
  <si>
    <t>IRE20170478</t>
  </si>
  <si>
    <t>IRE20170559</t>
  </si>
  <si>
    <t>IRE20170560</t>
  </si>
  <si>
    <t>IRE20170663</t>
  </si>
  <si>
    <t>IRE20170113</t>
  </si>
  <si>
    <t>IRE20170171</t>
  </si>
  <si>
    <t>IRE20170397</t>
  </si>
  <si>
    <t>IRE20170023</t>
  </si>
  <si>
    <t>IRE20170191</t>
  </si>
  <si>
    <t>IRE20170271</t>
  </si>
  <si>
    <t>IRE20170012</t>
  </si>
  <si>
    <t>IRE20170026</t>
  </si>
  <si>
    <t>IRE20170353</t>
  </si>
  <si>
    <t>IRE20170361</t>
  </si>
  <si>
    <t>IRE20170391</t>
  </si>
  <si>
    <t>IRE20170521</t>
  </si>
  <si>
    <t>IRE20170396</t>
  </si>
  <si>
    <t>IRE20170137</t>
  </si>
  <si>
    <t>IRE20170028</t>
  </si>
  <si>
    <t>IRE20170089</t>
  </si>
  <si>
    <t>IRE20170235</t>
  </si>
  <si>
    <t>IRE20170523</t>
  </si>
  <si>
    <t>IRE20170015</t>
  </si>
  <si>
    <t>IRE20170130</t>
  </si>
  <si>
    <t>IRE20170131</t>
  </si>
  <si>
    <t>IRE20170178</t>
  </si>
  <si>
    <t>IRE20170306</t>
  </si>
  <si>
    <t>IRE20170322</t>
  </si>
  <si>
    <t>Col.method</t>
  </si>
  <si>
    <t>Melanobombus</t>
  </si>
  <si>
    <t>Thoracobombus</t>
  </si>
  <si>
    <t>Megabombus</t>
  </si>
  <si>
    <t>Pyrobombus</t>
  </si>
  <si>
    <t>Nomiini</t>
  </si>
  <si>
    <t>Paracolletini</t>
  </si>
  <si>
    <t>xylocopa</t>
  </si>
  <si>
    <t>A2F1B</t>
  </si>
  <si>
    <t>A5P2B</t>
  </si>
  <si>
    <t>A7R3B</t>
  </si>
  <si>
    <t>B6P2B</t>
  </si>
  <si>
    <t>B6C1B</t>
  </si>
  <si>
    <t>C1OP1b</t>
  </si>
  <si>
    <t>c7rib</t>
  </si>
  <si>
    <t>C7RIB</t>
  </si>
  <si>
    <t>C12p3b</t>
  </si>
  <si>
    <t>D1P3B</t>
  </si>
  <si>
    <t>D9RIb</t>
  </si>
  <si>
    <t>na</t>
  </si>
  <si>
    <t>A2PIB</t>
  </si>
  <si>
    <t>a7p3b</t>
  </si>
  <si>
    <t>B12P3B</t>
  </si>
  <si>
    <t>B2PIB</t>
  </si>
  <si>
    <t>B6TIB</t>
  </si>
  <si>
    <t>B8CIB</t>
  </si>
  <si>
    <t>B8TIB</t>
  </si>
  <si>
    <t>C1OC1B</t>
  </si>
  <si>
    <t>C10R2B</t>
  </si>
  <si>
    <t>C11P2B</t>
  </si>
  <si>
    <t>C12P2B</t>
  </si>
  <si>
    <t>C12R2B</t>
  </si>
  <si>
    <t>c12r2b</t>
  </si>
  <si>
    <t>d9p6b</t>
  </si>
  <si>
    <t>clarki</t>
  </si>
  <si>
    <t>b5pib</t>
  </si>
  <si>
    <t>amabilis</t>
  </si>
  <si>
    <t>b6cib</t>
  </si>
  <si>
    <t>b6p2b</t>
  </si>
  <si>
    <t>b6p3b</t>
  </si>
  <si>
    <t>B9P3B</t>
  </si>
  <si>
    <t>B6P3B</t>
  </si>
  <si>
    <t>C7P3B</t>
  </si>
  <si>
    <t>C7R1B</t>
  </si>
  <si>
    <t>C7R3B</t>
  </si>
  <si>
    <t>D2P2B</t>
  </si>
  <si>
    <t>D2P6B</t>
  </si>
  <si>
    <t>D3P3B</t>
  </si>
  <si>
    <t>D3P6B</t>
  </si>
  <si>
    <t>A1OT2Y</t>
  </si>
  <si>
    <t>A6T3B</t>
  </si>
  <si>
    <t>D7P3B</t>
  </si>
  <si>
    <t>A10PIB</t>
  </si>
  <si>
    <t>obscurus</t>
  </si>
  <si>
    <t>a10p3b</t>
  </si>
  <si>
    <t>a10p1b</t>
  </si>
  <si>
    <t>a10p3y</t>
  </si>
  <si>
    <t>a10t3y</t>
  </si>
  <si>
    <t>a2p1b</t>
  </si>
  <si>
    <t>a2pib</t>
  </si>
  <si>
    <t>a3r3b</t>
  </si>
  <si>
    <t>A4piY</t>
  </si>
  <si>
    <t>A6p3Y</t>
  </si>
  <si>
    <t>a4p3b</t>
  </si>
  <si>
    <t>A6t3b</t>
  </si>
  <si>
    <t>a7rib</t>
  </si>
  <si>
    <t>A7r3y</t>
  </si>
  <si>
    <t>a7r1y</t>
  </si>
  <si>
    <t>A7P3B</t>
  </si>
  <si>
    <t>ALLO-AUS-419</t>
  </si>
  <si>
    <t>ALLO-AUS-416</t>
  </si>
  <si>
    <t>ALLO-AUS-417</t>
  </si>
  <si>
    <t>ALLO-AUS-418</t>
  </si>
  <si>
    <t>ALLO-AUS-420</t>
  </si>
  <si>
    <t>ALLO-AUS-421</t>
  </si>
  <si>
    <t>ALLO-AUS-422</t>
  </si>
  <si>
    <t>ALLO-AUS-423</t>
  </si>
  <si>
    <t>ALLO-AUS-424</t>
  </si>
  <si>
    <t>ALLO-AUS-425</t>
  </si>
  <si>
    <t>ALLO-AUS-426</t>
  </si>
  <si>
    <t>ALLO-AUS-427</t>
  </si>
  <si>
    <t>ALLO-AUS-428</t>
  </si>
  <si>
    <t>ALLO-AUS-429</t>
  </si>
  <si>
    <t>ALLO-AUS-430</t>
  </si>
  <si>
    <t>ALLO-AUS-431</t>
  </si>
  <si>
    <t>ALLO-AUS-432</t>
  </si>
  <si>
    <t>ALLO-AUS-433</t>
  </si>
  <si>
    <t>ALLO-AUS-434</t>
  </si>
  <si>
    <t>ALLO-AUS-435</t>
  </si>
  <si>
    <t>ALLO-AUS-436</t>
  </si>
  <si>
    <t>ALLO-AUS-437</t>
  </si>
  <si>
    <t>ALLO-AUS-438</t>
  </si>
  <si>
    <t>ALLO-AUS-439</t>
  </si>
  <si>
    <t>ALLO-AUS-440</t>
  </si>
  <si>
    <t>ALLO-AUS-441</t>
  </si>
  <si>
    <t>ALLO-AUS-442</t>
  </si>
  <si>
    <t>ALLO-AUS-443</t>
  </si>
  <si>
    <t>ALLO-AUS-444</t>
  </si>
  <si>
    <t>ALLO-AUS-445</t>
  </si>
  <si>
    <t>ALLO-AUS-446</t>
  </si>
  <si>
    <t>ALLO-AUS-447</t>
  </si>
  <si>
    <t>ALLO-AUS-448</t>
  </si>
  <si>
    <t>ALLO-AUS-449</t>
  </si>
  <si>
    <t>ALLO-AUS-450</t>
  </si>
  <si>
    <t>ALLO-AUS-451</t>
  </si>
  <si>
    <t>ALLO-AUS-452</t>
  </si>
  <si>
    <t>ALLO-AUS-453</t>
  </si>
  <si>
    <t>ALLO-AUS-454</t>
  </si>
  <si>
    <t>ALLO-AUS-455</t>
  </si>
  <si>
    <t>ALLO-AUS-456</t>
  </si>
  <si>
    <t>ALLO-AUS-457</t>
  </si>
  <si>
    <t>ALLO-AUS-458</t>
  </si>
  <si>
    <t>ALLO-AUS-459</t>
  </si>
  <si>
    <t>ALLO-AUS-460</t>
  </si>
  <si>
    <t>ALLO-AUS-461</t>
  </si>
  <si>
    <t>ALLO-AUS-462</t>
  </si>
  <si>
    <t>ALLO-AUS-463</t>
  </si>
  <si>
    <t>ALLO-AUS-464</t>
  </si>
  <si>
    <t>ALLO-AUS-465</t>
  </si>
  <si>
    <t>ALLO-AUS-466</t>
  </si>
  <si>
    <t>ALLO-AUS-467</t>
  </si>
  <si>
    <t>ALLO-AUS-468</t>
  </si>
  <si>
    <t>ALLO-AUS-469</t>
  </si>
  <si>
    <t>ALLO-AUS-470</t>
  </si>
  <si>
    <t>ALLO-AUS-471</t>
  </si>
  <si>
    <t>ALLO-AUS-472</t>
  </si>
  <si>
    <t>ALLO-AUS-473</t>
  </si>
  <si>
    <t>ALLO-AUS-474</t>
  </si>
  <si>
    <t>ALLO-AUS-475</t>
  </si>
  <si>
    <t>ALLO-AUS-476</t>
  </si>
  <si>
    <t>ALLO-AUS-477</t>
  </si>
  <si>
    <t>ALLO-AUS-478</t>
  </si>
  <si>
    <t>ALLO-AUS-479</t>
  </si>
  <si>
    <t>ALLO-AUS-480</t>
  </si>
  <si>
    <t>ALLO-AUS-481</t>
  </si>
  <si>
    <t>ALLO-AUS-482</t>
  </si>
  <si>
    <t>ALLO-AUS-483</t>
  </si>
  <si>
    <t>ALLO-AUS-484</t>
  </si>
  <si>
    <t>ALLO-AUS-485</t>
  </si>
  <si>
    <t>ALLO-AUS-486</t>
  </si>
  <si>
    <t>ALLO-AUS-487</t>
  </si>
  <si>
    <t>ALLO-AUS-488</t>
  </si>
  <si>
    <t>ALLO-AUS-489</t>
  </si>
  <si>
    <t>ALLO-AUS-490</t>
  </si>
  <si>
    <t>ALLO-AUS-491</t>
  </si>
  <si>
    <t>ALLO-AUS-492</t>
  </si>
  <si>
    <t>ALLO-AUS-493</t>
  </si>
  <si>
    <t>ALLO-AUS-494</t>
  </si>
  <si>
    <t>ALLO-AUS-495</t>
  </si>
  <si>
    <t>ALLO-AUS-496</t>
  </si>
  <si>
    <t>ALLO-AUS-497</t>
  </si>
  <si>
    <t>ALLO-AUS-498</t>
  </si>
  <si>
    <t>ALLO-AUS-499</t>
  </si>
  <si>
    <t>ALLO-AUS-500</t>
  </si>
  <si>
    <t>ALLO-AUS-501</t>
  </si>
  <si>
    <t>ALLO-AUS-502</t>
  </si>
  <si>
    <t>ALLO-AUS-503</t>
  </si>
  <si>
    <t>ALLO-AUS-504</t>
  </si>
  <si>
    <t>ALLO-AUS-505</t>
  </si>
  <si>
    <t>ALLO-AUS-506</t>
  </si>
  <si>
    <t>ALLO-AUS-507</t>
  </si>
  <si>
    <t>ALLO-AUS-508</t>
  </si>
  <si>
    <t>ALLO-AUS-509</t>
  </si>
  <si>
    <t>ALLO-AUS-510</t>
  </si>
  <si>
    <t>ALLO-AUS-511</t>
  </si>
  <si>
    <t>D9P3B</t>
  </si>
  <si>
    <t>B12C2Y</t>
  </si>
  <si>
    <t>B2C2B</t>
  </si>
  <si>
    <t>B2P1Y</t>
  </si>
  <si>
    <t>B2P2Y</t>
  </si>
  <si>
    <t>B7P2B</t>
  </si>
  <si>
    <t>B7P3B</t>
  </si>
  <si>
    <t>D9P2Y</t>
  </si>
  <si>
    <t>C12T2Y</t>
  </si>
  <si>
    <t>ALLO-AUS-512</t>
  </si>
  <si>
    <t>ALLO-AUS-513</t>
  </si>
  <si>
    <t>ALLO-AUS-514</t>
  </si>
  <si>
    <t>ALLO-AUS-515</t>
  </si>
  <si>
    <t>ALLO-AUS-516</t>
  </si>
  <si>
    <t>ALLO-AUS-517</t>
  </si>
  <si>
    <t>ALLO-AUS-518</t>
  </si>
  <si>
    <t>ALLO-AUS-519</t>
  </si>
  <si>
    <t>ALLO-AUS-520</t>
  </si>
  <si>
    <t>ALLO-AUS-521</t>
  </si>
  <si>
    <t>ALLO-AUS-522</t>
  </si>
  <si>
    <t>ALLO-AUS-523</t>
  </si>
  <si>
    <t>ALLO-AUS-524</t>
  </si>
  <si>
    <t>ALLO-AUS-525</t>
  </si>
  <si>
    <t>ALLO-AUS-526</t>
  </si>
  <si>
    <t>ALLO-AUS-527</t>
  </si>
  <si>
    <t>ALLO-AUS-528</t>
  </si>
  <si>
    <t>ALLO-AUS-529</t>
  </si>
  <si>
    <t>ALLO-AUS-530</t>
  </si>
  <si>
    <t>ALLO-AUS-531</t>
  </si>
  <si>
    <t>b8p0b</t>
  </si>
  <si>
    <t>B8R2B</t>
  </si>
  <si>
    <t>BST1B</t>
  </si>
  <si>
    <t>B8T1B</t>
  </si>
  <si>
    <t>A2P1B</t>
  </si>
  <si>
    <t>A7C3B</t>
  </si>
  <si>
    <t>A7C2B</t>
  </si>
  <si>
    <t>A7P3b</t>
  </si>
  <si>
    <t>ALLO-AUS-532</t>
  </si>
  <si>
    <t>ALLO-AUS-533</t>
  </si>
  <si>
    <t>ALLO-AUS-534</t>
  </si>
  <si>
    <t>ALLO-AUS-535</t>
  </si>
  <si>
    <t>ALLO-AUS-536</t>
  </si>
  <si>
    <t>ALLO-AUS-537</t>
  </si>
  <si>
    <t>ALLO-AUS-538</t>
  </si>
  <si>
    <t>ALLO-AUS-539</t>
  </si>
  <si>
    <t>ALLO-AUS-540</t>
  </si>
  <si>
    <t>ALLO-AUS-541</t>
  </si>
  <si>
    <t>ALLO-AUS-542</t>
  </si>
  <si>
    <t>ALLO-AUS-543</t>
  </si>
  <si>
    <t>ALLO-AUS-544</t>
  </si>
  <si>
    <t>ALLO-AUS-545</t>
  </si>
  <si>
    <t>ALLO-AUS-546</t>
  </si>
  <si>
    <t>ALLO-AUS-547</t>
  </si>
  <si>
    <t>ALLO-AUS-548</t>
  </si>
  <si>
    <t>ALLO-AUS-549</t>
  </si>
  <si>
    <t>Euryglossa</t>
  </si>
  <si>
    <t>adelaidae</t>
  </si>
  <si>
    <t>simplex</t>
  </si>
  <si>
    <t>Hackeriapis</t>
  </si>
  <si>
    <t>chrysopyea</t>
  </si>
  <si>
    <t>C9C1b</t>
  </si>
  <si>
    <t>C11R1B</t>
  </si>
  <si>
    <t>D2P5B</t>
  </si>
  <si>
    <t>D7R3B</t>
  </si>
  <si>
    <t>A4C2Y</t>
  </si>
  <si>
    <t>B6p3B</t>
  </si>
  <si>
    <t>B6P2b</t>
  </si>
  <si>
    <t>D9R6B</t>
  </si>
  <si>
    <t>D2R3B</t>
  </si>
  <si>
    <t>A3P3B</t>
  </si>
  <si>
    <t>D6P3B</t>
  </si>
  <si>
    <t>oblonga</t>
  </si>
  <si>
    <t>B7P2b</t>
  </si>
  <si>
    <t>C7P3b</t>
  </si>
  <si>
    <t>D9R2B</t>
  </si>
  <si>
    <t>C7t2B</t>
  </si>
  <si>
    <t>hiltacum</t>
  </si>
  <si>
    <t>ALLO-AUS-550</t>
  </si>
  <si>
    <t>ALLO-AUS-551</t>
  </si>
  <si>
    <t>ALLO-AUS-552</t>
  </si>
  <si>
    <t>ALLO-AUS-553</t>
  </si>
  <si>
    <t>ALLO-AUS-554</t>
  </si>
  <si>
    <t>ALLO-AUS-555</t>
  </si>
  <si>
    <t>ALLO-AUS-556</t>
  </si>
  <si>
    <t>ALLO-AUS-557</t>
  </si>
  <si>
    <t>ALLO-AUS-558</t>
  </si>
  <si>
    <t>ALLO-AUS-559</t>
  </si>
  <si>
    <t>ALLO-AUS-560</t>
  </si>
  <si>
    <t>ALLO-AUS-561</t>
  </si>
  <si>
    <t>b6c1b</t>
  </si>
  <si>
    <t>b6p3b'</t>
  </si>
  <si>
    <t>d1c2b</t>
  </si>
  <si>
    <t>c12c2b</t>
  </si>
  <si>
    <t>dip2b</t>
  </si>
  <si>
    <t>d1r2b</t>
  </si>
  <si>
    <t>d2p2b</t>
  </si>
  <si>
    <t>orbatum</t>
  </si>
  <si>
    <t>ALLO-AUS-562</t>
  </si>
  <si>
    <t>ALLO-AUS-563</t>
  </si>
  <si>
    <t>ALLO-AUS-564</t>
  </si>
  <si>
    <t>ALLO-AUS-565</t>
  </si>
  <si>
    <t>ALLO-AUS-566</t>
  </si>
  <si>
    <t>ALLO-AUS-567</t>
  </si>
  <si>
    <t>ALLO-AUS-568</t>
  </si>
  <si>
    <t>ALLO-AUS-569</t>
  </si>
  <si>
    <t>ALLO-AUS-570</t>
  </si>
  <si>
    <t>ALLO-AUS-571</t>
  </si>
  <si>
    <t>ALLO-AUS-572</t>
  </si>
  <si>
    <t>ALLO-AUS-573</t>
  </si>
  <si>
    <t>ALLO-AUS-574</t>
  </si>
  <si>
    <t>ALLO-AUS-575</t>
  </si>
  <si>
    <t>ALLO-AUS-576</t>
  </si>
  <si>
    <t>ALLO-AUS-577</t>
  </si>
  <si>
    <t>ALLO-AUS-578</t>
  </si>
  <si>
    <t>ALLO-AUS-579</t>
  </si>
  <si>
    <t>ALLO-AUS-580</t>
  </si>
  <si>
    <t>ALLO-AUS-581</t>
  </si>
  <si>
    <t>ALLO-AUS-582</t>
  </si>
  <si>
    <t>ALLO-AUS-583</t>
  </si>
  <si>
    <t>ALLO-AUS-584</t>
  </si>
  <si>
    <t>ALLO-AUS-585</t>
  </si>
  <si>
    <t>ALLO-AUS-586</t>
  </si>
  <si>
    <t>ALLO-AUS-587</t>
  </si>
  <si>
    <t>ALLO-AUS-588</t>
  </si>
  <si>
    <t>ALLO-AUS-590</t>
  </si>
  <si>
    <t>ALLO-AUS-591</t>
  </si>
  <si>
    <t>ALLO-AUS-592</t>
  </si>
  <si>
    <t>ALLO-AUS-593</t>
  </si>
  <si>
    <t>ALLO-AUS-594</t>
  </si>
  <si>
    <t>ALLO-AUS-595</t>
  </si>
  <si>
    <t>ALLO-AUS-596</t>
  </si>
  <si>
    <t>ALLO-AUS-597</t>
  </si>
  <si>
    <t>ALLO-AUS-598</t>
  </si>
  <si>
    <t>ALLO-AUS-599</t>
  </si>
  <si>
    <t>ALLO-AUS-600</t>
  </si>
  <si>
    <t>ALLO-AUS-601</t>
  </si>
  <si>
    <t>ALLO-AUS-603</t>
  </si>
  <si>
    <t>ALLO-AUS-604</t>
  </si>
  <si>
    <t>ALLO-AUS-605</t>
  </si>
  <si>
    <t>ALLO-AUS-606</t>
  </si>
  <si>
    <t>ALLO-AUS-607</t>
  </si>
  <si>
    <t>ALLO-AUS-608</t>
  </si>
  <si>
    <t>ALLO-AUS-609</t>
  </si>
  <si>
    <t>ALLO-AUS-610</t>
  </si>
  <si>
    <t>ALLO-AUS-611</t>
  </si>
  <si>
    <t>ALLO-AUS-612</t>
  </si>
  <si>
    <t>ALLO-AUS-613</t>
  </si>
  <si>
    <t>ALLO-AUS-614</t>
  </si>
  <si>
    <t>ALLO-AUS-615</t>
  </si>
  <si>
    <t>ALLO-AUS-616</t>
  </si>
  <si>
    <t>D6P5B</t>
  </si>
  <si>
    <t>C10C3Y</t>
  </si>
  <si>
    <t>pulvitectum</t>
  </si>
  <si>
    <t>convexum</t>
  </si>
  <si>
    <t>C7C2B</t>
  </si>
  <si>
    <t>A2P2B</t>
  </si>
  <si>
    <t>C10P1B</t>
  </si>
  <si>
    <t>clelandi</t>
  </si>
  <si>
    <t>A4C3B</t>
  </si>
  <si>
    <t>A10R2b</t>
  </si>
  <si>
    <t>A10R3B</t>
  </si>
  <si>
    <t>A2C1B</t>
  </si>
  <si>
    <t>B12T3B</t>
  </si>
  <si>
    <t>A4P1Y</t>
  </si>
  <si>
    <t>A6P3B</t>
  </si>
  <si>
    <t>D9R1B</t>
  </si>
  <si>
    <t>globosum</t>
  </si>
  <si>
    <t>D9r6b</t>
  </si>
  <si>
    <t>DPp6y</t>
  </si>
  <si>
    <t>D6p3b</t>
  </si>
  <si>
    <t>C9t2y</t>
  </si>
  <si>
    <t>C9t1b</t>
  </si>
  <si>
    <t>C9R2b</t>
  </si>
  <si>
    <t>c9R2b</t>
  </si>
  <si>
    <t>C9P3Y</t>
  </si>
  <si>
    <t>C9P3B</t>
  </si>
  <si>
    <t>C9P1B</t>
  </si>
  <si>
    <t>C9p1b</t>
  </si>
  <si>
    <t>C12R1B</t>
  </si>
  <si>
    <t>C9T2Y</t>
  </si>
  <si>
    <t>C9T1Y</t>
  </si>
  <si>
    <t>D7C3B</t>
  </si>
  <si>
    <t>B2C2Y</t>
  </si>
  <si>
    <t>C8R1B</t>
  </si>
  <si>
    <t>C9T2y</t>
  </si>
  <si>
    <t>B8T1Y</t>
  </si>
  <si>
    <t>C8R2Y</t>
  </si>
  <si>
    <t>A2T3B</t>
  </si>
  <si>
    <t>B2R3B</t>
  </si>
  <si>
    <t>C12C2B</t>
  </si>
  <si>
    <t>B8P0Y</t>
  </si>
  <si>
    <t>D7C1B</t>
  </si>
  <si>
    <t>Micro-pin B2</t>
  </si>
  <si>
    <t>Micro-pin B3</t>
  </si>
  <si>
    <t>Pins-03_MH</t>
  </si>
  <si>
    <t>lipsp11</t>
  </si>
  <si>
    <t>lipsp12</t>
  </si>
  <si>
    <t>leisp1</t>
  </si>
  <si>
    <t>leisp3</t>
  </si>
  <si>
    <t>Euglossini</t>
  </si>
  <si>
    <t>VICTORIA</t>
  </si>
  <si>
    <t>WA</t>
  </si>
  <si>
    <t>Kathe</t>
  </si>
  <si>
    <t>Maree</t>
  </si>
  <si>
    <t>SA_NT</t>
  </si>
  <si>
    <t>Unplaced</t>
  </si>
  <si>
    <t>Syrphin</t>
  </si>
  <si>
    <t>Syrphi</t>
  </si>
  <si>
    <t>syrsp5</t>
  </si>
  <si>
    <t>Syrph</t>
  </si>
  <si>
    <t>Bacchini </t>
  </si>
  <si>
    <t>COFFS</t>
  </si>
  <si>
    <t>KATHE</t>
  </si>
  <si>
    <t>MAREE</t>
  </si>
  <si>
    <t>STANT</t>
  </si>
  <si>
    <t>DUBLIN</t>
  </si>
  <si>
    <t>SPAIN</t>
  </si>
  <si>
    <t>BUNDA</t>
  </si>
  <si>
    <t>BRISTOL</t>
  </si>
  <si>
    <t>BEE</t>
  </si>
  <si>
    <t>Rhingini</t>
  </si>
  <si>
    <t>Brachyopini</t>
  </si>
  <si>
    <t>morio</t>
  </si>
  <si>
    <t>tumulorum</t>
  </si>
  <si>
    <t>Anthidium</t>
  </si>
  <si>
    <t>Coelioxys</t>
  </si>
  <si>
    <t>Melecta</t>
  </si>
  <si>
    <t>glabriusculum</t>
  </si>
  <si>
    <t>pauxillum</t>
  </si>
  <si>
    <t>minutula</t>
  </si>
  <si>
    <t>qudrinotatum</t>
  </si>
  <si>
    <t>subauratus</t>
  </si>
  <si>
    <t>malachurum</t>
  </si>
  <si>
    <t>politum</t>
  </si>
  <si>
    <t>minutissimum</t>
  </si>
  <si>
    <t>ruderarius</t>
  </si>
  <si>
    <t>rupestris</t>
  </si>
  <si>
    <t>puncticolle</t>
  </si>
  <si>
    <t>nigroaenea</t>
  </si>
  <si>
    <t>cineraria</t>
  </si>
  <si>
    <t>gravida</t>
  </si>
  <si>
    <t>fulva</t>
  </si>
  <si>
    <t>nitida</t>
  </si>
  <si>
    <t>haemorrhoa</t>
  </si>
  <si>
    <t>wilkella</t>
  </si>
  <si>
    <t>helvola</t>
  </si>
  <si>
    <t>lagopus</t>
  </si>
  <si>
    <t>fulvata</t>
  </si>
  <si>
    <t>chrysosceles</t>
  </si>
  <si>
    <t>truncorum</t>
  </si>
  <si>
    <t>dilatatus</t>
  </si>
  <si>
    <t>ericetorum</t>
  </si>
  <si>
    <t>gredleri</t>
  </si>
  <si>
    <t>scapulare</t>
  </si>
  <si>
    <t>xanthopus</t>
  </si>
  <si>
    <t>gallarum</t>
  </si>
  <si>
    <t>plumipes</t>
  </si>
  <si>
    <t>pictipes</t>
  </si>
  <si>
    <t>angustatus</t>
  </si>
  <si>
    <t>spinulosa</t>
  </si>
  <si>
    <t>nigritus</t>
  </si>
  <si>
    <t>inermis</t>
  </si>
  <si>
    <t>ephippius</t>
  </si>
  <si>
    <t>punctata</t>
  </si>
  <si>
    <t>leaiana</t>
  </si>
  <si>
    <t>fabriciana</t>
  </si>
  <si>
    <t>niveata</t>
  </si>
  <si>
    <t>florisomnis</t>
  </si>
  <si>
    <t>nitidulum</t>
  </si>
  <si>
    <t>a</t>
  </si>
  <si>
    <t>Apoidea</t>
  </si>
  <si>
    <t>Europe</t>
  </si>
  <si>
    <t>IB</t>
  </si>
  <si>
    <t>Hetereucera</t>
  </si>
  <si>
    <t>Eucera_elongatula</t>
  </si>
  <si>
    <t>Rhysoxylocopa</t>
  </si>
  <si>
    <t>Xylocopa_cantabrita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</si>
</sst>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Calibri (Body)_x0000_"/>
    </font>
    <font>
      <b/>
      <sz val="12"/>
      <name val="Calibri (Body)_x0000_"/>
    </font>
    <font>
      <sz val="12"/>
      <name val="Calibri (Body)_x0000_"/>
    </font>
    <font>
      <sz val="12"/>
      <color theme="1"/>
      <name val="Calibri (Body)_x0000_"/>
    </font>
    <font>
      <sz val="12"/>
      <color rgb="FF000000"/>
      <name val="Calibri (Body)_x0000_"/>
    </font>
    <font>
      <b/>
      <sz val="16"/>
      <color theme="1"/>
      <name val="Calibri (Body)_x0000_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33333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78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ont="1"/>
    <xf numFmtId="0" fontId="0" fillId="2" borderId="0" xfId="0" applyFont="1" applyFill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Fill="1"/>
    <xf numFmtId="0" fontId="0" fillId="4" borderId="0" xfId="0" applyFill="1"/>
    <xf numFmtId="0" fontId="0" fillId="0" borderId="0" xfId="0" applyBorder="1"/>
    <xf numFmtId="0" fontId="10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14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/>
    <xf numFmtId="14" fontId="11" fillId="0" borderId="0" xfId="0" applyNumberFormat="1" applyFont="1" applyAlignment="1">
      <alignment horizontal="center"/>
    </xf>
    <xf numFmtId="0" fontId="0" fillId="0" borderId="0" xfId="0" applyFill="1" applyBorder="1"/>
    <xf numFmtId="2" fontId="0" fillId="0" borderId="0" xfId="0" applyNumberFormat="1" applyBorder="1"/>
    <xf numFmtId="0" fontId="0" fillId="2" borderId="0" xfId="0" applyFill="1" applyBorder="1"/>
    <xf numFmtId="14" fontId="0" fillId="0" borderId="0" xfId="0" applyNumberFormat="1" applyBorder="1"/>
    <xf numFmtId="0" fontId="0" fillId="0" borderId="0" xfId="0" applyNumberFormat="1" applyBorder="1"/>
    <xf numFmtId="0" fontId="0" fillId="3" borderId="0" xfId="0" applyFill="1" applyBorder="1"/>
    <xf numFmtId="0" fontId="8" fillId="3" borderId="0" xfId="0" applyFont="1" applyFill="1" applyBorder="1"/>
    <xf numFmtId="14" fontId="0" fillId="3" borderId="0" xfId="0" applyNumberFormat="1" applyFill="1" applyBorder="1"/>
    <xf numFmtId="0" fontId="0" fillId="0" borderId="0" xfId="0" applyNumberFormat="1" applyFill="1" applyBorder="1"/>
    <xf numFmtId="0" fontId="0" fillId="3" borderId="0" xfId="0" applyNumberFormat="1" applyFill="1" applyBorder="1"/>
    <xf numFmtId="0" fontId="8" fillId="3" borderId="0" xfId="0" applyNumberFormat="1" applyFont="1" applyFill="1" applyBorder="1"/>
    <xf numFmtId="0" fontId="0" fillId="0" borderId="0" xfId="0" applyFont="1" applyFill="1" applyBorder="1"/>
    <xf numFmtId="0" fontId="0" fillId="0" borderId="1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1" xfId="0" applyNumberFormat="1" applyFill="1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NumberFormat="1" applyFill="1" applyBorder="1"/>
    <xf numFmtId="0" fontId="0" fillId="0" borderId="3" xfId="0" applyFill="1" applyBorder="1"/>
    <xf numFmtId="0" fontId="8" fillId="0" borderId="0" xfId="0" applyFont="1" applyFill="1"/>
    <xf numFmtId="0" fontId="0" fillId="0" borderId="4" xfId="0" applyFill="1" applyBorder="1"/>
    <xf numFmtId="0" fontId="0" fillId="3" borderId="0" xfId="0" applyFill="1"/>
    <xf numFmtId="14" fontId="0" fillId="3" borderId="0" xfId="0" applyNumberFormat="1" applyFill="1"/>
    <xf numFmtId="0" fontId="0" fillId="3" borderId="1" xfId="0" applyNumberFormat="1" applyFill="1" applyBorder="1"/>
    <xf numFmtId="0" fontId="0" fillId="0" borderId="1" xfId="0" quotePrefix="1" applyNumberFormat="1" applyFill="1" applyBorder="1"/>
    <xf numFmtId="0" fontId="9" fillId="2" borderId="0" xfId="0" applyNumberFormat="1" applyFont="1" applyFill="1" applyBorder="1"/>
    <xf numFmtId="2" fontId="0" fillId="3" borderId="0" xfId="0" applyNumberFormat="1" applyFill="1" applyBorder="1"/>
    <xf numFmtId="14" fontId="0" fillId="0" borderId="0" xfId="0" applyNumberFormat="1" applyFill="1" applyBorder="1"/>
    <xf numFmtId="2" fontId="0" fillId="0" borderId="0" xfId="0" applyNumberFormat="1" applyFill="1" applyBorder="1"/>
    <xf numFmtId="0" fontId="16" fillId="3" borderId="0" xfId="0" applyFont="1" applyFill="1" applyBorder="1"/>
    <xf numFmtId="0" fontId="16" fillId="0" borderId="0" xfId="0" applyFont="1" applyFill="1" applyBorder="1"/>
    <xf numFmtId="0" fontId="17" fillId="0" borderId="0" xfId="0" applyFont="1"/>
    <xf numFmtId="0" fontId="17" fillId="3" borderId="0" xfId="0" applyFont="1" applyFill="1"/>
    <xf numFmtId="0" fontId="9" fillId="3" borderId="0" xfId="0" applyNumberFormat="1" applyFont="1" applyFill="1" applyBorder="1"/>
    <xf numFmtId="0" fontId="17" fillId="0" borderId="0" xfId="0" applyFont="1" applyBorder="1"/>
    <xf numFmtId="0" fontId="9" fillId="0" borderId="0" xfId="0" applyFont="1" applyFill="1" applyBorder="1"/>
    <xf numFmtId="2" fontId="0" fillId="0" borderId="4" xfId="0" applyNumberFormat="1" applyFill="1" applyBorder="1"/>
    <xf numFmtId="0" fontId="0" fillId="0" borderId="4" xfId="0" applyFont="1" applyFill="1" applyBorder="1"/>
    <xf numFmtId="0" fontId="0" fillId="0" borderId="0" xfId="0" applyFont="1" applyFill="1" applyBorder="1" applyAlignment="1">
      <alignment vertical="center" wrapText="1"/>
    </xf>
    <xf numFmtId="0" fontId="0" fillId="0" borderId="5" xfId="0" applyFont="1" applyFill="1" applyBorder="1"/>
    <xf numFmtId="0" fontId="0" fillId="3" borderId="0" xfId="0" applyFont="1" applyFill="1" applyBorder="1"/>
    <xf numFmtId="2" fontId="8" fillId="3" borderId="0" xfId="0" applyNumberFormat="1" applyFont="1" applyFill="1" applyBorder="1"/>
    <xf numFmtId="164" fontId="8" fillId="0" borderId="4" xfId="0" applyNumberFormat="1" applyFont="1" applyFill="1" applyBorder="1"/>
    <xf numFmtId="164" fontId="8" fillId="0" borderId="0" xfId="0" applyNumberFormat="1" applyFont="1" applyFill="1" applyBorder="1"/>
    <xf numFmtId="0" fontId="16" fillId="0" borderId="0" xfId="0" applyFont="1"/>
    <xf numFmtId="0" fontId="16" fillId="2" borderId="0" xfId="0" applyFont="1" applyFill="1"/>
    <xf numFmtId="0" fontId="16" fillId="0" borderId="0" xfId="0" applyFont="1" applyFill="1"/>
    <xf numFmtId="0" fontId="6" fillId="0" borderId="0" xfId="0" applyFont="1" applyFill="1" applyAlignment="1">
      <alignment vertical="center" wrapText="1"/>
    </xf>
    <xf numFmtId="0" fontId="7" fillId="0" borderId="0" xfId="0" applyFont="1" applyFill="1"/>
    <xf numFmtId="14" fontId="0" fillId="0" borderId="0" xfId="0" applyNumberFormat="1" applyFill="1"/>
    <xf numFmtId="0" fontId="0" fillId="3" borderId="2" xfId="0" applyNumberFormat="1" applyFill="1" applyBorder="1"/>
    <xf numFmtId="0" fontId="0" fillId="0" borderId="3" xfId="0" applyBorder="1"/>
    <xf numFmtId="0" fontId="0" fillId="3" borderId="3" xfId="0" applyFill="1" applyBorder="1"/>
    <xf numFmtId="14" fontId="18" fillId="0" borderId="0" xfId="0" applyNumberFormat="1" applyFont="1"/>
    <xf numFmtId="0" fontId="18" fillId="0" borderId="0" xfId="0" applyFont="1"/>
    <xf numFmtId="0" fontId="0" fillId="0" borderId="0" xfId="0" applyNumberFormat="1" applyAlignment="1">
      <alignment horizontal="right"/>
    </xf>
    <xf numFmtId="0" fontId="0" fillId="0" borderId="0" xfId="0" applyNumberFormat="1"/>
    <xf numFmtId="0" fontId="16" fillId="5" borderId="0" xfId="0" applyFont="1" applyFill="1"/>
    <xf numFmtId="0" fontId="0" fillId="5" borderId="0" xfId="0" applyFill="1"/>
    <xf numFmtId="14" fontId="0" fillId="5" borderId="0" xfId="0" applyNumberFormat="1" applyFill="1"/>
    <xf numFmtId="0" fontId="8" fillId="5" borderId="0" xfId="0" applyFont="1" applyFill="1"/>
    <xf numFmtId="0" fontId="19" fillId="0" borderId="0" xfId="0" applyFont="1" applyFill="1"/>
    <xf numFmtId="0" fontId="20" fillId="0" borderId="0" xfId="0" applyFont="1"/>
    <xf numFmtId="14" fontId="20" fillId="0" borderId="0" xfId="0" applyNumberFormat="1" applyFont="1"/>
    <xf numFmtId="0" fontId="21" fillId="0" borderId="0" xfId="0" applyFont="1" applyFill="1"/>
    <xf numFmtId="0" fontId="21" fillId="0" borderId="0" xfId="0" applyFont="1"/>
    <xf numFmtId="0" fontId="20" fillId="0" borderId="0" xfId="0" applyFont="1" applyFill="1"/>
    <xf numFmtId="14" fontId="20" fillId="0" borderId="0" xfId="0" applyNumberFormat="1" applyFont="1" applyFill="1"/>
    <xf numFmtId="0" fontId="20" fillId="2" borderId="0" xfId="0" applyFont="1" applyFill="1"/>
    <xf numFmtId="14" fontId="20" fillId="2" borderId="0" xfId="0" applyNumberFormat="1" applyFont="1" applyFill="1"/>
    <xf numFmtId="0" fontId="20" fillId="2" borderId="0" xfId="0" applyNumberFormat="1" applyFont="1" applyFill="1" applyBorder="1"/>
    <xf numFmtId="0" fontId="20" fillId="2" borderId="0" xfId="0" applyFont="1" applyFill="1" applyBorder="1"/>
    <xf numFmtId="0" fontId="16" fillId="4" borderId="0" xfId="0" applyFont="1" applyFill="1"/>
    <xf numFmtId="0" fontId="20" fillId="4" borderId="0" xfId="0" applyFont="1" applyFill="1"/>
    <xf numFmtId="0" fontId="21" fillId="4" borderId="0" xfId="0" applyFont="1" applyFill="1"/>
    <xf numFmtId="14" fontId="20" fillId="4" borderId="0" xfId="0" applyNumberFormat="1" applyFont="1" applyFill="1"/>
    <xf numFmtId="0" fontId="23" fillId="0" borderId="0" xfId="0" applyFont="1"/>
    <xf numFmtId="0" fontId="7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22" fillId="0" borderId="0" xfId="0" applyFont="1" applyFill="1" applyBorder="1" applyAlignment="1">
      <alignment horizontal="left"/>
    </xf>
    <xf numFmtId="0" fontId="18" fillId="0" borderId="0" xfId="0" applyFont="1" applyFill="1" applyAlignment="1">
      <alignment horizontal="left"/>
    </xf>
    <xf numFmtId="14" fontId="22" fillId="0" borderId="0" xfId="0" applyNumberFormat="1" applyFont="1" applyFill="1" applyAlignment="1">
      <alignment horizontal="left"/>
    </xf>
    <xf numFmtId="0" fontId="24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2" fontId="0" fillId="0" borderId="0" xfId="0" applyNumberFormat="1"/>
    <xf numFmtId="0" fontId="16" fillId="0" borderId="4" xfId="0" applyFont="1" applyFill="1" applyBorder="1"/>
    <xf numFmtId="0" fontId="25" fillId="0" borderId="4" xfId="0" applyFont="1" applyFill="1" applyBorder="1" applyAlignment="1">
      <alignment horizontal="left"/>
    </xf>
    <xf numFmtId="2" fontId="25" fillId="0" borderId="4" xfId="0" applyNumberFormat="1" applyFont="1" applyFill="1" applyBorder="1" applyAlignment="1">
      <alignment horizontal="left"/>
    </xf>
    <xf numFmtId="14" fontId="25" fillId="0" borderId="4" xfId="0" applyNumberFormat="1" applyFont="1" applyFill="1" applyBorder="1" applyAlignment="1">
      <alignment horizontal="left"/>
    </xf>
    <xf numFmtId="0" fontId="26" fillId="0" borderId="4" xfId="0" applyFont="1" applyFill="1" applyBorder="1" applyAlignment="1">
      <alignment horizontal="left"/>
    </xf>
    <xf numFmtId="0" fontId="27" fillId="0" borderId="0" xfId="0" applyFont="1" applyFill="1" applyAlignment="1">
      <alignment horizontal="left" vertical="center"/>
    </xf>
    <xf numFmtId="0" fontId="28" fillId="0" borderId="0" xfId="0" applyFont="1" applyAlignment="1">
      <alignment horizontal="left"/>
    </xf>
    <xf numFmtId="164" fontId="27" fillId="0" borderId="0" xfId="0" applyNumberFormat="1" applyFont="1" applyFill="1" applyAlignment="1">
      <alignment horizontal="left" vertical="center"/>
    </xf>
    <xf numFmtId="2" fontId="27" fillId="0" borderId="0" xfId="0" applyNumberFormat="1" applyFont="1" applyFill="1" applyAlignment="1">
      <alignment horizontal="left" vertical="center"/>
    </xf>
    <xf numFmtId="14" fontId="27" fillId="0" borderId="0" xfId="0" applyNumberFormat="1" applyFont="1" applyFill="1" applyAlignment="1">
      <alignment horizontal="left" vertical="center"/>
    </xf>
    <xf numFmtId="0" fontId="28" fillId="0" borderId="0" xfId="0" applyNumberFormat="1" applyFont="1" applyBorder="1" applyAlignment="1">
      <alignment horizontal="left"/>
    </xf>
    <xf numFmtId="0" fontId="27" fillId="0" borderId="0" xfId="0" applyFont="1" applyFill="1" applyAlignment="1">
      <alignment horizontal="left" vertical="center" wrapText="1"/>
    </xf>
    <xf numFmtId="14" fontId="28" fillId="0" borderId="0" xfId="0" applyNumberFormat="1" applyFont="1" applyAlignment="1">
      <alignment horizontal="left"/>
    </xf>
    <xf numFmtId="0" fontId="28" fillId="0" borderId="0" xfId="0" applyFont="1"/>
    <xf numFmtId="0" fontId="28" fillId="0" borderId="0" xfId="0" applyNumberFormat="1" applyFont="1" applyAlignment="1">
      <alignment horizontal="right"/>
    </xf>
    <xf numFmtId="0" fontId="28" fillId="0" borderId="0" xfId="0" applyNumberFormat="1" applyFont="1"/>
    <xf numFmtId="14" fontId="29" fillId="0" borderId="0" xfId="0" applyNumberFormat="1" applyFont="1"/>
    <xf numFmtId="0" fontId="29" fillId="0" borderId="0" xfId="0" applyFont="1"/>
    <xf numFmtId="14" fontId="28" fillId="0" borderId="0" xfId="0" applyNumberFormat="1" applyFont="1"/>
    <xf numFmtId="0" fontId="23" fillId="0" borderId="0" xfId="0" applyFont="1" applyFill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2" borderId="7" xfId="0" applyFill="1" applyBorder="1"/>
    <xf numFmtId="0" fontId="30" fillId="0" borderId="0" xfId="0" applyFont="1" applyFill="1" applyBorder="1"/>
    <xf numFmtId="0" fontId="30" fillId="0" borderId="7" xfId="0" applyFont="1" applyFill="1" applyBorder="1"/>
    <xf numFmtId="0" fontId="0" fillId="0" borderId="8" xfId="0" applyBorder="1"/>
    <xf numFmtId="0" fontId="22" fillId="0" borderId="0" xfId="0" applyFont="1" applyFill="1" applyBorder="1"/>
    <xf numFmtId="0" fontId="2" fillId="0" borderId="0" xfId="0" applyFont="1" applyFill="1" applyBorder="1"/>
    <xf numFmtId="14" fontId="2" fillId="0" borderId="0" xfId="0" applyNumberFormat="1" applyFont="1" applyFill="1" applyBorder="1"/>
    <xf numFmtId="0" fontId="7" fillId="0" borderId="0" xfId="0" applyFont="1" applyFill="1" applyBorder="1"/>
    <xf numFmtId="0" fontId="25" fillId="0" borderId="0" xfId="0" applyFont="1" applyBorder="1"/>
    <xf numFmtId="0" fontId="2" fillId="0" borderId="0" xfId="0" applyFont="1" applyBorder="1"/>
    <xf numFmtId="14" fontId="2" fillId="0" borderId="0" xfId="0" applyNumberFormat="1" applyFont="1" applyBorder="1"/>
    <xf numFmtId="0" fontId="25" fillId="2" borderId="0" xfId="0" applyFont="1" applyFill="1" applyBorder="1"/>
    <xf numFmtId="0" fontId="2" fillId="2" borderId="0" xfId="0" applyFont="1" applyFill="1" applyBorder="1"/>
    <xf numFmtId="0" fontId="25" fillId="0" borderId="0" xfId="0" applyFont="1" applyFill="1" applyBorder="1"/>
    <xf numFmtId="0" fontId="2" fillId="0" borderId="0" xfId="0" applyFont="1" applyFill="1"/>
    <xf numFmtId="0" fontId="22" fillId="0" borderId="0" xfId="0" applyFont="1" applyFill="1"/>
    <xf numFmtId="14" fontId="2" fillId="0" borderId="0" xfId="0" applyNumberFormat="1" applyFont="1" applyFill="1"/>
    <xf numFmtId="0" fontId="2" fillId="0" borderId="0" xfId="0" quotePrefix="1" applyFont="1" applyFill="1"/>
    <xf numFmtId="14" fontId="2" fillId="0" borderId="0" xfId="0" quotePrefix="1" applyNumberFormat="1" applyFont="1" applyFill="1"/>
    <xf numFmtId="0" fontId="31" fillId="0" borderId="0" xfId="0" applyFont="1" applyFill="1"/>
    <xf numFmtId="0" fontId="18" fillId="0" borderId="0" xfId="0" applyFont="1" applyFill="1"/>
    <xf numFmtId="14" fontId="18" fillId="0" borderId="0" xfId="0" applyNumberFormat="1" applyFont="1" applyFill="1"/>
    <xf numFmtId="0" fontId="2" fillId="0" borderId="0" xfId="0" applyNumberFormat="1" applyFont="1" applyFill="1" applyBorder="1"/>
    <xf numFmtId="0" fontId="18" fillId="0" borderId="0" xfId="0" applyFont="1" applyFill="1" applyBorder="1"/>
    <xf numFmtId="0" fontId="2" fillId="0" borderId="0" xfId="0" quotePrefix="1" applyNumberFormat="1" applyFont="1" applyFill="1" applyBorder="1"/>
    <xf numFmtId="0" fontId="7" fillId="0" borderId="0" xfId="0" applyFont="1" applyFill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14" fontId="1" fillId="0" borderId="0" xfId="0" applyNumberFormat="1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0" fontId="1" fillId="0" borderId="0" xfId="0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14" fontId="1" fillId="0" borderId="0" xfId="0" applyNumberFormat="1" applyFont="1"/>
    <xf numFmtId="0" fontId="32" fillId="0" borderId="0" xfId="0" applyFont="1" applyFill="1" applyBorder="1"/>
    <xf numFmtId="0" fontId="33" fillId="0" borderId="0" xfId="0" applyFont="1"/>
    <xf numFmtId="0" fontId="33" fillId="2" borderId="0" xfId="0" applyFont="1" applyFill="1"/>
    <xf numFmtId="0" fontId="32" fillId="0" borderId="4" xfId="0" applyFont="1" applyFill="1" applyBorder="1"/>
    <xf numFmtId="0" fontId="0" fillId="6" borderId="0" xfId="0" applyFill="1" applyBorder="1"/>
    <xf numFmtId="0" fontId="32" fillId="0" borderId="0" xfId="0" applyFont="1"/>
    <xf numFmtId="0" fontId="33" fillId="0" borderId="0" xfId="0" applyFont="1" applyFill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'CSIRO-australia'!$N$2:$N$419</c:f>
              <c:numCache>
                <c:formatCode>General</c:formatCode>
                <c:ptCount val="418"/>
                <c:pt idx="0">
                  <c:v>3.7000000000000002E-3</c:v>
                </c:pt>
                <c:pt idx="1">
                  <c:v>1E-3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1E-3</c:v>
                </c:pt>
                <c:pt idx="5">
                  <c:v>5.9999999999999995E-4</c:v>
                </c:pt>
                <c:pt idx="6">
                  <c:v>1E-3</c:v>
                </c:pt>
                <c:pt idx="7">
                  <c:v>5.9999999999999995E-4</c:v>
                </c:pt>
                <c:pt idx="8">
                  <c:v>2.2000000000000001E-3</c:v>
                </c:pt>
                <c:pt idx="9">
                  <c:v>1.2999999999999999E-3</c:v>
                </c:pt>
                <c:pt idx="10">
                  <c:v>1E-3</c:v>
                </c:pt>
                <c:pt idx="11">
                  <c:v>6.9999999999999999E-4</c:v>
                </c:pt>
                <c:pt idx="12">
                  <c:v>1E-3</c:v>
                </c:pt>
                <c:pt idx="13">
                  <c:v>5.9999999999999995E-4</c:v>
                </c:pt>
                <c:pt idx="14">
                  <c:v>2.0000000000000001E-4</c:v>
                </c:pt>
                <c:pt idx="15">
                  <c:v>8.0000000000000004E-4</c:v>
                </c:pt>
                <c:pt idx="16">
                  <c:v>2.0327999999999999E-2</c:v>
                </c:pt>
                <c:pt idx="17">
                  <c:v>1.8528000000000003E-2</c:v>
                </c:pt>
                <c:pt idx="18">
                  <c:v>1.2928000000000002E-2</c:v>
                </c:pt>
                <c:pt idx="19">
                  <c:v>8.9999999999999998E-4</c:v>
                </c:pt>
                <c:pt idx="20">
                  <c:v>1.9728000000000002E-2</c:v>
                </c:pt>
                <c:pt idx="21">
                  <c:v>1.6028000000000001E-2</c:v>
                </c:pt>
                <c:pt idx="22">
                  <c:v>2.2628000000000002E-2</c:v>
                </c:pt>
                <c:pt idx="23">
                  <c:v>4.1000000000000003E-3</c:v>
                </c:pt>
                <c:pt idx="24">
                  <c:v>5.1999999999999998E-3</c:v>
                </c:pt>
                <c:pt idx="25">
                  <c:v>4.7999999999999996E-3</c:v>
                </c:pt>
                <c:pt idx="26">
                  <c:v>2.2428000000000003E-2</c:v>
                </c:pt>
                <c:pt idx="27">
                  <c:v>3.6727999999999997E-2</c:v>
                </c:pt>
                <c:pt idx="28">
                  <c:v>1.1000000000000001E-3</c:v>
                </c:pt>
                <c:pt idx="29">
                  <c:v>8.0000000000000004E-4</c:v>
                </c:pt>
                <c:pt idx="30">
                  <c:v>5.0000000000000001E-3</c:v>
                </c:pt>
                <c:pt idx="31">
                  <c:v>5.9999999999999995E-4</c:v>
                </c:pt>
                <c:pt idx="32">
                  <c:v>1E-3</c:v>
                </c:pt>
                <c:pt idx="33">
                  <c:v>1E-3</c:v>
                </c:pt>
                <c:pt idx="34">
                  <c:v>1.1000000000000001E-3</c:v>
                </c:pt>
                <c:pt idx="35">
                  <c:v>3.3999999999999998E-3</c:v>
                </c:pt>
                <c:pt idx="36">
                  <c:v>2.0999999999999999E-3</c:v>
                </c:pt>
                <c:pt idx="37">
                  <c:v>1.1999999999999999E-3</c:v>
                </c:pt>
                <c:pt idx="38">
                  <c:v>3.3E-3</c:v>
                </c:pt>
                <c:pt idx="39">
                  <c:v>2.1828E-2</c:v>
                </c:pt>
                <c:pt idx="40">
                  <c:v>1E-3</c:v>
                </c:pt>
                <c:pt idx="41">
                  <c:v>1.1000000000000001E-3</c:v>
                </c:pt>
                <c:pt idx="42">
                  <c:v>8.0000000000000004E-4</c:v>
                </c:pt>
                <c:pt idx="43">
                  <c:v>1.6999999999999999E-3</c:v>
                </c:pt>
                <c:pt idx="44">
                  <c:v>4.0000000000000002E-4</c:v>
                </c:pt>
                <c:pt idx="45">
                  <c:v>1E-3</c:v>
                </c:pt>
                <c:pt idx="46">
                  <c:v>8.0000000000000004E-4</c:v>
                </c:pt>
                <c:pt idx="47">
                  <c:v>2.9999999999999997E-4</c:v>
                </c:pt>
                <c:pt idx="48">
                  <c:v>5.9999999999999995E-4</c:v>
                </c:pt>
                <c:pt idx="49">
                  <c:v>1.1000000000000001E-3</c:v>
                </c:pt>
                <c:pt idx="50">
                  <c:v>8.9999999999999998E-4</c:v>
                </c:pt>
                <c:pt idx="51">
                  <c:v>6.9999999999999999E-4</c:v>
                </c:pt>
                <c:pt idx="52">
                  <c:v>2.9999999999999997E-4</c:v>
                </c:pt>
                <c:pt idx="53">
                  <c:v>6.9999999999999999E-4</c:v>
                </c:pt>
                <c:pt idx="54">
                  <c:v>3.1927999999999998E-2</c:v>
                </c:pt>
                <c:pt idx="55">
                  <c:v>1.6428000000000005E-2</c:v>
                </c:pt>
                <c:pt idx="56">
                  <c:v>1.0028000000000002E-2</c:v>
                </c:pt>
                <c:pt idx="57">
                  <c:v>9.8280000000000034E-3</c:v>
                </c:pt>
                <c:pt idx="58">
                  <c:v>2.8728000000000004E-2</c:v>
                </c:pt>
                <c:pt idx="59">
                  <c:v>1.2928000000000002E-2</c:v>
                </c:pt>
                <c:pt idx="60">
                  <c:v>2.3E-3</c:v>
                </c:pt>
                <c:pt idx="61">
                  <c:v>1.9228000000000002E-2</c:v>
                </c:pt>
                <c:pt idx="62">
                  <c:v>7.7279999999999988E-3</c:v>
                </c:pt>
                <c:pt idx="63">
                  <c:v>7.2280000000000053E-3</c:v>
                </c:pt>
                <c:pt idx="64">
                  <c:v>8.2279999999999992E-3</c:v>
                </c:pt>
                <c:pt idx="65">
                  <c:v>8.0000000000000004E-4</c:v>
                </c:pt>
                <c:pt idx="66">
                  <c:v>6.9999999999999999E-4</c:v>
                </c:pt>
                <c:pt idx="67">
                  <c:v>8.0000000000000004E-4</c:v>
                </c:pt>
                <c:pt idx="68">
                  <c:v>1.4E-3</c:v>
                </c:pt>
                <c:pt idx="69">
                  <c:v>3.3999999999999998E-3</c:v>
                </c:pt>
                <c:pt idx="70">
                  <c:v>8.9999999999999998E-4</c:v>
                </c:pt>
                <c:pt idx="71">
                  <c:v>1.0028000000000002E-2</c:v>
                </c:pt>
                <c:pt idx="72">
                  <c:v>1.1000000000000001E-3</c:v>
                </c:pt>
                <c:pt idx="73">
                  <c:v>1.1000000000000001E-3</c:v>
                </c:pt>
                <c:pt idx="74">
                  <c:v>5.0000000000000001E-4</c:v>
                </c:pt>
                <c:pt idx="75">
                  <c:v>3.5000000000000001E-3</c:v>
                </c:pt>
                <c:pt idx="76">
                  <c:v>2.8999999999999998E-3</c:v>
                </c:pt>
                <c:pt idx="77">
                  <c:v>1E-3</c:v>
                </c:pt>
                <c:pt idx="78">
                  <c:v>3.0999999999999999E-3</c:v>
                </c:pt>
                <c:pt idx="79">
                  <c:v>3.8999999999999998E-3</c:v>
                </c:pt>
                <c:pt idx="80">
                  <c:v>2.8999999999999998E-3</c:v>
                </c:pt>
                <c:pt idx="81">
                  <c:v>4.4280000000000014E-3</c:v>
                </c:pt>
                <c:pt idx="82">
                  <c:v>1.1999999999999999E-3</c:v>
                </c:pt>
                <c:pt idx="83">
                  <c:v>2.2000000000000001E-3</c:v>
                </c:pt>
                <c:pt idx="84">
                  <c:v>3.0999999999999999E-3</c:v>
                </c:pt>
                <c:pt idx="85">
                  <c:v>5.0000000000000001E-4</c:v>
                </c:pt>
                <c:pt idx="86">
                  <c:v>1E-3</c:v>
                </c:pt>
                <c:pt idx="87">
                  <c:v>1.4E-3</c:v>
                </c:pt>
                <c:pt idx="88">
                  <c:v>2E-3</c:v>
                </c:pt>
                <c:pt idx="89">
                  <c:v>8.0000000000000004E-4</c:v>
                </c:pt>
                <c:pt idx="90">
                  <c:v>1.6000000000000001E-3</c:v>
                </c:pt>
                <c:pt idx="91">
                  <c:v>8.9999999999999998E-4</c:v>
                </c:pt>
                <c:pt idx="92">
                  <c:v>6.6280000000000019E-3</c:v>
                </c:pt>
                <c:pt idx="93">
                  <c:v>3.3999999999999998E-3</c:v>
                </c:pt>
                <c:pt idx="94">
                  <c:v>3.0999999999999999E-3</c:v>
                </c:pt>
                <c:pt idx="95">
                  <c:v>6.9999999999999999E-4</c:v>
                </c:pt>
                <c:pt idx="96">
                  <c:v>1.4E-3</c:v>
                </c:pt>
                <c:pt idx="97">
                  <c:v>5.9999999999999995E-4</c:v>
                </c:pt>
                <c:pt idx="98">
                  <c:v>2.9999999999999997E-4</c:v>
                </c:pt>
                <c:pt idx="99">
                  <c:v>1.6000000000000001E-3</c:v>
                </c:pt>
                <c:pt idx="100">
                  <c:v>3.0999999999999999E-3</c:v>
                </c:pt>
                <c:pt idx="101">
                  <c:v>2.9999999999999997E-4</c:v>
                </c:pt>
                <c:pt idx="102">
                  <c:v>1.1999999999999999E-3</c:v>
                </c:pt>
                <c:pt idx="103">
                  <c:v>3.3E-3</c:v>
                </c:pt>
                <c:pt idx="104">
                  <c:v>1.6000000000000001E-3</c:v>
                </c:pt>
                <c:pt idx="105">
                  <c:v>3.3E-3</c:v>
                </c:pt>
                <c:pt idx="106">
                  <c:v>5.9999999999999995E-4</c:v>
                </c:pt>
                <c:pt idx="107">
                  <c:v>8.0000000000000004E-4</c:v>
                </c:pt>
                <c:pt idx="108">
                  <c:v>2.9999999999999997E-4</c:v>
                </c:pt>
                <c:pt idx="109">
                  <c:v>2.7000000000000001E-3</c:v>
                </c:pt>
                <c:pt idx="110">
                  <c:v>1.1999999999999999E-3</c:v>
                </c:pt>
                <c:pt idx="111">
                  <c:v>1.1000000000000001E-3</c:v>
                </c:pt>
                <c:pt idx="112">
                  <c:v>5.0000000000000001E-4</c:v>
                </c:pt>
                <c:pt idx="113">
                  <c:v>8.0000000000000004E-4</c:v>
                </c:pt>
                <c:pt idx="114">
                  <c:v>4.0280000000000038E-3</c:v>
                </c:pt>
                <c:pt idx="115">
                  <c:v>2E-3</c:v>
                </c:pt>
                <c:pt idx="116">
                  <c:v>1.2999999999999999E-3</c:v>
                </c:pt>
                <c:pt idx="117">
                  <c:v>1E-3</c:v>
                </c:pt>
                <c:pt idx="118">
                  <c:v>8.0000000000000004E-4</c:v>
                </c:pt>
                <c:pt idx="119">
                  <c:v>2.9999999999999997E-4</c:v>
                </c:pt>
                <c:pt idx="120">
                  <c:v>8.0000000000000004E-4</c:v>
                </c:pt>
                <c:pt idx="121">
                  <c:v>5.9999999999999995E-4</c:v>
                </c:pt>
                <c:pt idx="122">
                  <c:v>8.0000000000000004E-4</c:v>
                </c:pt>
                <c:pt idx="123">
                  <c:v>1E-3</c:v>
                </c:pt>
                <c:pt idx="124">
                  <c:v>1.6999999999999999E-3</c:v>
                </c:pt>
                <c:pt idx="125">
                  <c:v>1.7028000000000001E-2</c:v>
                </c:pt>
                <c:pt idx="126">
                  <c:v>6.9999999999999999E-4</c:v>
                </c:pt>
                <c:pt idx="127">
                  <c:v>2.5999999999999999E-3</c:v>
                </c:pt>
                <c:pt idx="128">
                  <c:v>1.1000000000000001E-3</c:v>
                </c:pt>
                <c:pt idx="129">
                  <c:v>4.0000000000000002E-4</c:v>
                </c:pt>
                <c:pt idx="130">
                  <c:v>5.9999999999999995E-4</c:v>
                </c:pt>
                <c:pt idx="131">
                  <c:v>6.9999999999999999E-4</c:v>
                </c:pt>
                <c:pt idx="132">
                  <c:v>2.3999999999999998E-3</c:v>
                </c:pt>
                <c:pt idx="133">
                  <c:v>8.0000000000000004E-4</c:v>
                </c:pt>
                <c:pt idx="134">
                  <c:v>2.8E-3</c:v>
                </c:pt>
                <c:pt idx="135">
                  <c:v>1.1999999999999999E-3</c:v>
                </c:pt>
                <c:pt idx="136">
                  <c:v>2.3828000000000002E-2</c:v>
                </c:pt>
                <c:pt idx="137">
                  <c:v>1.1000000000000001E-3</c:v>
                </c:pt>
                <c:pt idx="138">
                  <c:v>4.1000000000000003E-3</c:v>
                </c:pt>
                <c:pt idx="139">
                  <c:v>5.0000000000000001E-4</c:v>
                </c:pt>
                <c:pt idx="140">
                  <c:v>4.0000000000000002E-4</c:v>
                </c:pt>
                <c:pt idx="141">
                  <c:v>1.1999999999999999E-3</c:v>
                </c:pt>
                <c:pt idx="142">
                  <c:v>6.9999999999999999E-4</c:v>
                </c:pt>
                <c:pt idx="143">
                  <c:v>8.9999999999999998E-4</c:v>
                </c:pt>
                <c:pt idx="144">
                  <c:v>5.0000000000000001E-4</c:v>
                </c:pt>
                <c:pt idx="145">
                  <c:v>5.9999999999999995E-4</c:v>
                </c:pt>
                <c:pt idx="146">
                  <c:v>8.0000000000000004E-4</c:v>
                </c:pt>
                <c:pt idx="147">
                  <c:v>2.9999999999999997E-4</c:v>
                </c:pt>
                <c:pt idx="148">
                  <c:v>1.2999999999999999E-3</c:v>
                </c:pt>
                <c:pt idx="149">
                  <c:v>8.0000000000000004E-4</c:v>
                </c:pt>
                <c:pt idx="150">
                  <c:v>2.3E-3</c:v>
                </c:pt>
                <c:pt idx="151">
                  <c:v>8.0000000000000004E-4</c:v>
                </c:pt>
                <c:pt idx="152">
                  <c:v>4.0000000000000002E-4</c:v>
                </c:pt>
                <c:pt idx="153">
                  <c:v>5.0000000000000001E-4</c:v>
                </c:pt>
                <c:pt idx="154">
                  <c:v>5.9999999999999995E-4</c:v>
                </c:pt>
                <c:pt idx="155">
                  <c:v>5.9999999999999995E-4</c:v>
                </c:pt>
                <c:pt idx="156">
                  <c:v>6.9999999999999999E-4</c:v>
                </c:pt>
                <c:pt idx="157">
                  <c:v>1E-3</c:v>
                </c:pt>
                <c:pt idx="158">
                  <c:v>6.9999999999999999E-4</c:v>
                </c:pt>
                <c:pt idx="159">
                  <c:v>1E-3</c:v>
                </c:pt>
                <c:pt idx="160">
                  <c:v>1.2999999999999999E-3</c:v>
                </c:pt>
                <c:pt idx="161">
                  <c:v>1E-3</c:v>
                </c:pt>
                <c:pt idx="162">
                  <c:v>2.9999999999999997E-4</c:v>
                </c:pt>
                <c:pt idx="163">
                  <c:v>5.9999999999999995E-4</c:v>
                </c:pt>
                <c:pt idx="164">
                  <c:v>1E-3</c:v>
                </c:pt>
                <c:pt idx="165">
                  <c:v>5.9999999999999995E-4</c:v>
                </c:pt>
                <c:pt idx="166">
                  <c:v>5.0000000000000001E-4</c:v>
                </c:pt>
                <c:pt idx="167">
                  <c:v>8.9999999999999998E-4</c:v>
                </c:pt>
                <c:pt idx="168">
                  <c:v>6.9999999999999999E-4</c:v>
                </c:pt>
                <c:pt idx="169">
                  <c:v>8.9999999999999998E-4</c:v>
                </c:pt>
                <c:pt idx="170">
                  <c:v>8.0000000000000004E-4</c:v>
                </c:pt>
                <c:pt idx="171">
                  <c:v>3.0000000000000001E-3</c:v>
                </c:pt>
                <c:pt idx="172">
                  <c:v>6.9999999999999999E-4</c:v>
                </c:pt>
                <c:pt idx="173">
                  <c:v>8.9999999999999998E-4</c:v>
                </c:pt>
                <c:pt idx="174">
                  <c:v>6.9999999999999999E-4</c:v>
                </c:pt>
                <c:pt idx="175">
                  <c:v>8.0000000000000004E-4</c:v>
                </c:pt>
                <c:pt idx="176">
                  <c:v>6.9999999999999999E-4</c:v>
                </c:pt>
                <c:pt idx="177">
                  <c:v>4.0000000000000002E-4</c:v>
                </c:pt>
                <c:pt idx="178">
                  <c:v>5.0000000000000001E-4</c:v>
                </c:pt>
                <c:pt idx="179">
                  <c:v>8.9999999999999998E-4</c:v>
                </c:pt>
                <c:pt idx="180">
                  <c:v>5.9999999999999995E-4</c:v>
                </c:pt>
                <c:pt idx="181">
                  <c:v>6.9999999999999999E-4</c:v>
                </c:pt>
                <c:pt idx="182">
                  <c:v>5.8999999999999999E-3</c:v>
                </c:pt>
                <c:pt idx="183">
                  <c:v>1.1999999999999999E-3</c:v>
                </c:pt>
                <c:pt idx="184">
                  <c:v>6.9999999999999999E-4</c:v>
                </c:pt>
                <c:pt idx="185">
                  <c:v>8.9999999999999998E-4</c:v>
                </c:pt>
                <c:pt idx="186">
                  <c:v>6.9999999999999999E-4</c:v>
                </c:pt>
                <c:pt idx="187">
                  <c:v>8.0000000000000004E-4</c:v>
                </c:pt>
                <c:pt idx="188">
                  <c:v>8.9999999999999998E-4</c:v>
                </c:pt>
                <c:pt idx="189">
                  <c:v>6.9999999999999999E-4</c:v>
                </c:pt>
                <c:pt idx="190">
                  <c:v>6.9999999999999999E-4</c:v>
                </c:pt>
                <c:pt idx="191">
                  <c:v>1.1000000000000001E-3</c:v>
                </c:pt>
                <c:pt idx="192">
                  <c:v>3.0280000000000029E-3</c:v>
                </c:pt>
                <c:pt idx="193">
                  <c:v>5.9999999999999995E-4</c:v>
                </c:pt>
                <c:pt idx="194">
                  <c:v>8.9999999999999998E-4</c:v>
                </c:pt>
                <c:pt idx="195">
                  <c:v>8.0000000000000004E-4</c:v>
                </c:pt>
                <c:pt idx="196">
                  <c:v>4.0000000000000002E-4</c:v>
                </c:pt>
                <c:pt idx="197">
                  <c:v>8.0000000000000004E-4</c:v>
                </c:pt>
                <c:pt idx="198">
                  <c:v>2.9999999999999997E-4</c:v>
                </c:pt>
                <c:pt idx="199">
                  <c:v>8.0000000000000004E-4</c:v>
                </c:pt>
                <c:pt idx="200">
                  <c:v>8.0000000000000004E-4</c:v>
                </c:pt>
                <c:pt idx="201">
                  <c:v>8.9999999999999998E-4</c:v>
                </c:pt>
                <c:pt idx="202">
                  <c:v>8.9999999999999998E-4</c:v>
                </c:pt>
                <c:pt idx="203">
                  <c:v>5.9999999999999995E-4</c:v>
                </c:pt>
                <c:pt idx="204">
                  <c:v>5.9999999999999995E-4</c:v>
                </c:pt>
                <c:pt idx="205">
                  <c:v>4.0000000000000002E-4</c:v>
                </c:pt>
                <c:pt idx="206">
                  <c:v>8.0000000000000004E-4</c:v>
                </c:pt>
                <c:pt idx="207">
                  <c:v>2.9999999999999997E-4</c:v>
                </c:pt>
                <c:pt idx="208">
                  <c:v>5.0000000000000001E-4</c:v>
                </c:pt>
                <c:pt idx="209">
                  <c:v>8.0000000000000004E-4</c:v>
                </c:pt>
                <c:pt idx="210">
                  <c:v>1E-3</c:v>
                </c:pt>
                <c:pt idx="211">
                  <c:v>4.0000000000000002E-4</c:v>
                </c:pt>
                <c:pt idx="212">
                  <c:v>8.0000000000000004E-4</c:v>
                </c:pt>
                <c:pt idx="213">
                  <c:v>8.0000000000000004E-4</c:v>
                </c:pt>
                <c:pt idx="214">
                  <c:v>3.3E-3</c:v>
                </c:pt>
                <c:pt idx="215">
                  <c:v>6.9999999999999999E-4</c:v>
                </c:pt>
                <c:pt idx="216">
                  <c:v>8.9999999999999998E-4</c:v>
                </c:pt>
                <c:pt idx="217">
                  <c:v>1E-3</c:v>
                </c:pt>
                <c:pt idx="218">
                  <c:v>5.9999999999999995E-4</c:v>
                </c:pt>
                <c:pt idx="219">
                  <c:v>8.9999999999999998E-4</c:v>
                </c:pt>
                <c:pt idx="220">
                  <c:v>5.9999999999999995E-4</c:v>
                </c:pt>
                <c:pt idx="221">
                  <c:v>5.9999999999999995E-4</c:v>
                </c:pt>
                <c:pt idx="222">
                  <c:v>5.0000000000000001E-4</c:v>
                </c:pt>
                <c:pt idx="223">
                  <c:v>4.0000000000000002E-4</c:v>
                </c:pt>
                <c:pt idx="224">
                  <c:v>4.0000000000000002E-4</c:v>
                </c:pt>
                <c:pt idx="225">
                  <c:v>3.0999999999999999E-3</c:v>
                </c:pt>
                <c:pt idx="226">
                  <c:v>5.9999999999999995E-4</c:v>
                </c:pt>
                <c:pt idx="227">
                  <c:v>4.0000000000000002E-4</c:v>
                </c:pt>
                <c:pt idx="228">
                  <c:v>8.9999999999999998E-4</c:v>
                </c:pt>
                <c:pt idx="229">
                  <c:v>8.0000000000000004E-4</c:v>
                </c:pt>
                <c:pt idx="230">
                  <c:v>8.0000000000000004E-4</c:v>
                </c:pt>
                <c:pt idx="231">
                  <c:v>2.9999999999999997E-4</c:v>
                </c:pt>
                <c:pt idx="232">
                  <c:v>5.9999999999999995E-4</c:v>
                </c:pt>
                <c:pt idx="233">
                  <c:v>6.9999999999999999E-4</c:v>
                </c:pt>
                <c:pt idx="234">
                  <c:v>8.9999999999999998E-4</c:v>
                </c:pt>
                <c:pt idx="235">
                  <c:v>8.6280000000000037E-3</c:v>
                </c:pt>
                <c:pt idx="236">
                  <c:v>1.1000000000000001E-3</c:v>
                </c:pt>
                <c:pt idx="237">
                  <c:v>5.9999999999999995E-4</c:v>
                </c:pt>
                <c:pt idx="238">
                  <c:v>4.0000000000000002E-4</c:v>
                </c:pt>
                <c:pt idx="239">
                  <c:v>8.0000000000000004E-4</c:v>
                </c:pt>
                <c:pt idx="240">
                  <c:v>5.9999999999999995E-4</c:v>
                </c:pt>
                <c:pt idx="241">
                  <c:v>6.9999999999999999E-4</c:v>
                </c:pt>
                <c:pt idx="242">
                  <c:v>4.0000000000000002E-4</c:v>
                </c:pt>
                <c:pt idx="243">
                  <c:v>1E-3</c:v>
                </c:pt>
                <c:pt idx="244">
                  <c:v>4.4000000000000003E-3</c:v>
                </c:pt>
                <c:pt idx="245">
                  <c:v>6.9999999999999999E-4</c:v>
                </c:pt>
                <c:pt idx="246">
                  <c:v>5.9999999999999995E-4</c:v>
                </c:pt>
                <c:pt idx="247">
                  <c:v>4.0000000000000002E-4</c:v>
                </c:pt>
                <c:pt idx="248">
                  <c:v>4.0000000000000002E-4</c:v>
                </c:pt>
                <c:pt idx="249">
                  <c:v>4.0000000000000002E-4</c:v>
                </c:pt>
                <c:pt idx="250">
                  <c:v>8.9999999999999998E-4</c:v>
                </c:pt>
                <c:pt idx="251">
                  <c:v>5.0000000000000001E-4</c:v>
                </c:pt>
                <c:pt idx="252">
                  <c:v>8.9999999999999998E-4</c:v>
                </c:pt>
                <c:pt idx="253">
                  <c:v>1.7927999999999999E-2</c:v>
                </c:pt>
                <c:pt idx="254">
                  <c:v>5.0000000000000001E-4</c:v>
                </c:pt>
                <c:pt idx="255">
                  <c:v>8.0000000000000004E-4</c:v>
                </c:pt>
                <c:pt idx="256">
                  <c:v>5.0000000000000001E-4</c:v>
                </c:pt>
                <c:pt idx="257">
                  <c:v>4.0000000000000002E-4</c:v>
                </c:pt>
                <c:pt idx="258">
                  <c:v>6.9999999999999999E-4</c:v>
                </c:pt>
                <c:pt idx="259">
                  <c:v>8.9999999999999998E-4</c:v>
                </c:pt>
                <c:pt idx="260">
                  <c:v>1E-3</c:v>
                </c:pt>
                <c:pt idx="261">
                  <c:v>5.0000000000000001E-4</c:v>
                </c:pt>
                <c:pt idx="262">
                  <c:v>8.0000000000000004E-4</c:v>
                </c:pt>
                <c:pt idx="263">
                  <c:v>3.3728000000000008E-2</c:v>
                </c:pt>
                <c:pt idx="264">
                  <c:v>6.9999999999999999E-4</c:v>
                </c:pt>
                <c:pt idx="265">
                  <c:v>2.9999999999999997E-4</c:v>
                </c:pt>
                <c:pt idx="266">
                  <c:v>5.9999999999999995E-4</c:v>
                </c:pt>
                <c:pt idx="267">
                  <c:v>5.0000000000000001E-4</c:v>
                </c:pt>
                <c:pt idx="268">
                  <c:v>5.0000000000000001E-4</c:v>
                </c:pt>
                <c:pt idx="269">
                  <c:v>4.0000000000000002E-4</c:v>
                </c:pt>
                <c:pt idx="270">
                  <c:v>8.9999999999999998E-4</c:v>
                </c:pt>
                <c:pt idx="271">
                  <c:v>8.0000000000000004E-4</c:v>
                </c:pt>
                <c:pt idx="272">
                  <c:v>6.9999999999999999E-4</c:v>
                </c:pt>
                <c:pt idx="273">
                  <c:v>4.0000000000000002E-4</c:v>
                </c:pt>
                <c:pt idx="274">
                  <c:v>3.3999999999999998E-3</c:v>
                </c:pt>
                <c:pt idx="275">
                  <c:v>5.9999999999999995E-4</c:v>
                </c:pt>
                <c:pt idx="276">
                  <c:v>6.9999999999999999E-4</c:v>
                </c:pt>
                <c:pt idx="277">
                  <c:v>8.9999999999999998E-4</c:v>
                </c:pt>
                <c:pt idx="278">
                  <c:v>8.9999999999999998E-4</c:v>
                </c:pt>
                <c:pt idx="279">
                  <c:v>5.9999999999999995E-4</c:v>
                </c:pt>
                <c:pt idx="280">
                  <c:v>8.9999999999999998E-4</c:v>
                </c:pt>
                <c:pt idx="281">
                  <c:v>5.0000000000000001E-4</c:v>
                </c:pt>
                <c:pt idx="282">
                  <c:v>6.9999999999999999E-4</c:v>
                </c:pt>
                <c:pt idx="283">
                  <c:v>8.0000000000000004E-4</c:v>
                </c:pt>
                <c:pt idx="284">
                  <c:v>5.0000000000000001E-4</c:v>
                </c:pt>
                <c:pt idx="285">
                  <c:v>4.0000000000000002E-4</c:v>
                </c:pt>
                <c:pt idx="286">
                  <c:v>8.0000000000000004E-4</c:v>
                </c:pt>
                <c:pt idx="287">
                  <c:v>4.7000000000000002E-3</c:v>
                </c:pt>
                <c:pt idx="288">
                  <c:v>8.9999999999999998E-4</c:v>
                </c:pt>
                <c:pt idx="289">
                  <c:v>5.9999999999999995E-4</c:v>
                </c:pt>
                <c:pt idx="290">
                  <c:v>1.1999999999999999E-3</c:v>
                </c:pt>
                <c:pt idx="291">
                  <c:v>8.0000000000000004E-4</c:v>
                </c:pt>
                <c:pt idx="292">
                  <c:v>8.9999999999999998E-4</c:v>
                </c:pt>
                <c:pt idx="293">
                  <c:v>8.0000000000000004E-4</c:v>
                </c:pt>
                <c:pt idx="294">
                  <c:v>7.1280000000000024E-3</c:v>
                </c:pt>
                <c:pt idx="295">
                  <c:v>2.0728000000000003E-2</c:v>
                </c:pt>
                <c:pt idx="296">
                  <c:v>8.0000000000000004E-4</c:v>
                </c:pt>
                <c:pt idx="297">
                  <c:v>8.0000000000000004E-4</c:v>
                </c:pt>
                <c:pt idx="298">
                  <c:v>6.9999999999999999E-4</c:v>
                </c:pt>
                <c:pt idx="299">
                  <c:v>1E-3</c:v>
                </c:pt>
                <c:pt idx="300">
                  <c:v>6.9999999999999999E-4</c:v>
                </c:pt>
                <c:pt idx="301">
                  <c:v>5.0000000000000001E-4</c:v>
                </c:pt>
                <c:pt idx="302">
                  <c:v>2.9999999999999997E-4</c:v>
                </c:pt>
                <c:pt idx="303">
                  <c:v>2.0000000000000001E-4</c:v>
                </c:pt>
                <c:pt idx="304">
                  <c:v>4.5427999999999996E-2</c:v>
                </c:pt>
                <c:pt idx="305">
                  <c:v>1.1999999999999999E-3</c:v>
                </c:pt>
                <c:pt idx="306">
                  <c:v>8.0000000000000004E-4</c:v>
                </c:pt>
                <c:pt idx="307">
                  <c:v>8.9999999999999998E-4</c:v>
                </c:pt>
                <c:pt idx="308">
                  <c:v>5.0000000000000001E-4</c:v>
                </c:pt>
                <c:pt idx="309">
                  <c:v>5.0000000000000001E-4</c:v>
                </c:pt>
                <c:pt idx="310">
                  <c:v>8.9999999999999998E-4</c:v>
                </c:pt>
                <c:pt idx="311">
                  <c:v>5.9999999999999995E-4</c:v>
                </c:pt>
                <c:pt idx="312">
                  <c:v>1.1999999999999999E-3</c:v>
                </c:pt>
                <c:pt idx="313">
                  <c:v>5.0000000000000001E-4</c:v>
                </c:pt>
                <c:pt idx="314">
                  <c:v>1.0128000000000005E-2</c:v>
                </c:pt>
                <c:pt idx="315">
                  <c:v>6.9999999999999999E-4</c:v>
                </c:pt>
                <c:pt idx="316">
                  <c:v>1.1999999999999999E-3</c:v>
                </c:pt>
                <c:pt idx="317">
                  <c:v>5.0000000000000001E-4</c:v>
                </c:pt>
                <c:pt idx="318">
                  <c:v>1E-3</c:v>
                </c:pt>
                <c:pt idx="319">
                  <c:v>5.0000000000000001E-4</c:v>
                </c:pt>
                <c:pt idx="320">
                  <c:v>6.9999999999999999E-4</c:v>
                </c:pt>
                <c:pt idx="321">
                  <c:v>1.1000000000000001E-3</c:v>
                </c:pt>
                <c:pt idx="322">
                  <c:v>8.0000000000000004E-4</c:v>
                </c:pt>
                <c:pt idx="323">
                  <c:v>6.9999999999999999E-4</c:v>
                </c:pt>
                <c:pt idx="324">
                  <c:v>2.8999999999999998E-3</c:v>
                </c:pt>
                <c:pt idx="325">
                  <c:v>5.0000000000000001E-4</c:v>
                </c:pt>
                <c:pt idx="326">
                  <c:v>5.9999999999999995E-4</c:v>
                </c:pt>
                <c:pt idx="327">
                  <c:v>2.9999999999999997E-4</c:v>
                </c:pt>
                <c:pt idx="328">
                  <c:v>8.9999999999999998E-4</c:v>
                </c:pt>
                <c:pt idx="329">
                  <c:v>5.0000000000000001E-4</c:v>
                </c:pt>
                <c:pt idx="330">
                  <c:v>1E-3</c:v>
                </c:pt>
                <c:pt idx="331">
                  <c:v>5.9999999999999995E-4</c:v>
                </c:pt>
                <c:pt idx="332">
                  <c:v>1E-3</c:v>
                </c:pt>
                <c:pt idx="333">
                  <c:v>6.9999999999999999E-4</c:v>
                </c:pt>
                <c:pt idx="334">
                  <c:v>8.0000000000000004E-4</c:v>
                </c:pt>
                <c:pt idx="335">
                  <c:v>2.8E-3</c:v>
                </c:pt>
                <c:pt idx="336">
                  <c:v>2.9999999999999997E-4</c:v>
                </c:pt>
                <c:pt idx="337">
                  <c:v>5.0000000000000001E-4</c:v>
                </c:pt>
                <c:pt idx="338">
                  <c:v>8.9999999999999998E-4</c:v>
                </c:pt>
                <c:pt idx="339">
                  <c:v>6.9999999999999999E-4</c:v>
                </c:pt>
                <c:pt idx="340">
                  <c:v>6.9999999999999999E-4</c:v>
                </c:pt>
                <c:pt idx="341">
                  <c:v>8.7279999999999996E-3</c:v>
                </c:pt>
                <c:pt idx="342">
                  <c:v>2.8328000000000006E-2</c:v>
                </c:pt>
                <c:pt idx="343">
                  <c:v>3.0328000000000008E-2</c:v>
                </c:pt>
                <c:pt idx="344">
                  <c:v>1.4928000000000004E-2</c:v>
                </c:pt>
                <c:pt idx="345">
                  <c:v>4.1000000000000003E-3</c:v>
                </c:pt>
                <c:pt idx="346">
                  <c:v>1.5028E-2</c:v>
                </c:pt>
                <c:pt idx="347">
                  <c:v>1.9928000000000001E-2</c:v>
                </c:pt>
                <c:pt idx="348">
                  <c:v>3.1028E-2</c:v>
                </c:pt>
                <c:pt idx="349">
                  <c:v>1.3128000000000001E-2</c:v>
                </c:pt>
                <c:pt idx="350">
                  <c:v>2.3028E-2</c:v>
                </c:pt>
                <c:pt idx="351">
                  <c:v>4.7999999999999996E-3</c:v>
                </c:pt>
                <c:pt idx="352">
                  <c:v>3.5000000000000001E-3</c:v>
                </c:pt>
                <c:pt idx="353">
                  <c:v>3.0000000000000001E-3</c:v>
                </c:pt>
                <c:pt idx="354">
                  <c:v>2.9527999999999999E-2</c:v>
                </c:pt>
                <c:pt idx="355">
                  <c:v>3.2000000000000002E-3</c:v>
                </c:pt>
                <c:pt idx="356">
                  <c:v>1.8E-3</c:v>
                </c:pt>
                <c:pt idx="357">
                  <c:v>3.0000000000000001E-3</c:v>
                </c:pt>
                <c:pt idx="358">
                  <c:v>3.7000000000000002E-3</c:v>
                </c:pt>
                <c:pt idx="359">
                  <c:v>4.1000000000000003E-3</c:v>
                </c:pt>
                <c:pt idx="360">
                  <c:v>2.9999999999999997E-4</c:v>
                </c:pt>
                <c:pt idx="361">
                  <c:v>4.5999999999999999E-3</c:v>
                </c:pt>
                <c:pt idx="362">
                  <c:v>5.9999999999999995E-4</c:v>
                </c:pt>
                <c:pt idx="363">
                  <c:v>6.9999999999999999E-4</c:v>
                </c:pt>
                <c:pt idx="364">
                  <c:v>4.1279999999999997E-3</c:v>
                </c:pt>
                <c:pt idx="365">
                  <c:v>1.1000000000000001E-3</c:v>
                </c:pt>
                <c:pt idx="366">
                  <c:v>1.5E-3</c:v>
                </c:pt>
                <c:pt idx="367">
                  <c:v>1.6999999999999999E-3</c:v>
                </c:pt>
                <c:pt idx="368">
                  <c:v>1E-3</c:v>
                </c:pt>
                <c:pt idx="369">
                  <c:v>6.9999999999999999E-4</c:v>
                </c:pt>
                <c:pt idx="370">
                  <c:v>8.0000000000000004E-4</c:v>
                </c:pt>
                <c:pt idx="371">
                  <c:v>6.9999999999999999E-4</c:v>
                </c:pt>
                <c:pt idx="372">
                  <c:v>6.9999999999999999E-4</c:v>
                </c:pt>
                <c:pt idx="373">
                  <c:v>3.3E-3</c:v>
                </c:pt>
                <c:pt idx="374">
                  <c:v>8.0000000000000004E-4</c:v>
                </c:pt>
                <c:pt idx="375">
                  <c:v>2.8280000000000041E-3</c:v>
                </c:pt>
                <c:pt idx="376">
                  <c:v>1.2999999999999999E-3</c:v>
                </c:pt>
                <c:pt idx="377">
                  <c:v>6.9999999999999999E-4</c:v>
                </c:pt>
                <c:pt idx="378">
                  <c:v>1.6000000000000001E-3</c:v>
                </c:pt>
                <c:pt idx="379">
                  <c:v>1.2999999999999999E-3</c:v>
                </c:pt>
                <c:pt idx="380">
                  <c:v>8.9999999999999998E-4</c:v>
                </c:pt>
                <c:pt idx="381">
                  <c:v>1.9E-3</c:v>
                </c:pt>
                <c:pt idx="382">
                  <c:v>2.5999999999999999E-3</c:v>
                </c:pt>
                <c:pt idx="383">
                  <c:v>6.9999999999999999E-4</c:v>
                </c:pt>
                <c:pt idx="384">
                  <c:v>6.9999999999999999E-4</c:v>
                </c:pt>
                <c:pt idx="385">
                  <c:v>3.3999999999999998E-3</c:v>
                </c:pt>
                <c:pt idx="386">
                  <c:v>4.7000000000000002E-3</c:v>
                </c:pt>
                <c:pt idx="387">
                  <c:v>5.0000000000000001E-4</c:v>
                </c:pt>
                <c:pt idx="388">
                  <c:v>6.9999999999999999E-4</c:v>
                </c:pt>
                <c:pt idx="389">
                  <c:v>4.8999999999999998E-3</c:v>
                </c:pt>
                <c:pt idx="390">
                  <c:v>4.1999999999999997E-3</c:v>
                </c:pt>
                <c:pt idx="391">
                  <c:v>6.9999999999999999E-4</c:v>
                </c:pt>
                <c:pt idx="392">
                  <c:v>3.0000000000000001E-3</c:v>
                </c:pt>
                <c:pt idx="393">
                  <c:v>7.3000000000000001E-3</c:v>
                </c:pt>
                <c:pt idx="394">
                  <c:v>5.9999999999999995E-4</c:v>
                </c:pt>
                <c:pt idx="395">
                  <c:v>8.9999999999999998E-4</c:v>
                </c:pt>
                <c:pt idx="396">
                  <c:v>2.3E-3</c:v>
                </c:pt>
                <c:pt idx="397">
                  <c:v>5.3E-3</c:v>
                </c:pt>
                <c:pt idx="398">
                  <c:v>4.1999999999999997E-3</c:v>
                </c:pt>
                <c:pt idx="399">
                  <c:v>8.2000000000000007E-3</c:v>
                </c:pt>
                <c:pt idx="400">
                  <c:v>5.9999999999999995E-4</c:v>
                </c:pt>
                <c:pt idx="401">
                  <c:v>6.1000000000000004E-3</c:v>
                </c:pt>
                <c:pt idx="402">
                  <c:v>6.0000000000000001E-3</c:v>
                </c:pt>
                <c:pt idx="403">
                  <c:v>5.1999999999999998E-3</c:v>
                </c:pt>
                <c:pt idx="404">
                  <c:v>5.9999999999999995E-4</c:v>
                </c:pt>
                <c:pt idx="405">
                  <c:v>8.9999999999999998E-4</c:v>
                </c:pt>
                <c:pt idx="406">
                  <c:v>5.4000000000000003E-3</c:v>
                </c:pt>
                <c:pt idx="407">
                  <c:v>1.1728000000000002E-2</c:v>
                </c:pt>
                <c:pt idx="408">
                  <c:v>5.0000000000000001E-4</c:v>
                </c:pt>
                <c:pt idx="409">
                  <c:v>3.5999999999999999E-3</c:v>
                </c:pt>
                <c:pt idx="410">
                  <c:v>4.0000000000000002E-4</c:v>
                </c:pt>
                <c:pt idx="411">
                  <c:v>8.0000000000000004E-4</c:v>
                </c:pt>
                <c:pt idx="412">
                  <c:v>5.9999999999999995E-4</c:v>
                </c:pt>
                <c:pt idx="413">
                  <c:v>4.0000000000000002E-4</c:v>
                </c:pt>
                <c:pt idx="414">
                  <c:v>5.0000000000000001E-4</c:v>
                </c:pt>
                <c:pt idx="415">
                  <c:v>5.9999999999999995E-4</c:v>
                </c:pt>
                <c:pt idx="416">
                  <c:v>2.0000000000000001E-4</c:v>
                </c:pt>
                <c:pt idx="417">
                  <c:v>5.0000000000000001E-4</c:v>
                </c:pt>
              </c:numCache>
            </c:numRef>
          </c:xVal>
          <c:yVal>
            <c:numRef>
              <c:f>'CSIRO-australia'!$O$2:$O$419</c:f>
              <c:numCache>
                <c:formatCode>General</c:formatCode>
                <c:ptCount val="418"/>
                <c:pt idx="0">
                  <c:v>2.5830000000000002</c:v>
                </c:pt>
                <c:pt idx="1">
                  <c:v>1.631</c:v>
                </c:pt>
                <c:pt idx="2">
                  <c:v>1.595</c:v>
                </c:pt>
                <c:pt idx="3">
                  <c:v>1.6160000000000001</c:v>
                </c:pt>
                <c:pt idx="4">
                  <c:v>1.4670000000000001</c:v>
                </c:pt>
                <c:pt idx="5">
                  <c:v>1.19</c:v>
                </c:pt>
                <c:pt idx="6">
                  <c:v>1.5329999999999999</c:v>
                </c:pt>
                <c:pt idx="7">
                  <c:v>1.1659999999999999</c:v>
                </c:pt>
                <c:pt idx="8">
                  <c:v>1.5669999999999999</c:v>
                </c:pt>
                <c:pt idx="9">
                  <c:v>1.677</c:v>
                </c:pt>
                <c:pt idx="10">
                  <c:v>1.4430000000000001</c:v>
                </c:pt>
                <c:pt idx="11">
                  <c:v>1.371</c:v>
                </c:pt>
                <c:pt idx="12">
                  <c:v>1.4790000000000001</c:v>
                </c:pt>
                <c:pt idx="13">
                  <c:v>1.375</c:v>
                </c:pt>
                <c:pt idx="14">
                  <c:v>0.80400000000000005</c:v>
                </c:pt>
                <c:pt idx="15">
                  <c:v>1.474</c:v>
                </c:pt>
                <c:pt idx="16">
                  <c:v>4.532</c:v>
                </c:pt>
                <c:pt idx="17">
                  <c:v>3.968</c:v>
                </c:pt>
                <c:pt idx="18">
                  <c:v>3.4630000000000001</c:v>
                </c:pt>
                <c:pt idx="19">
                  <c:v>1.3919999999999999</c:v>
                </c:pt>
                <c:pt idx="20">
                  <c:v>4.399</c:v>
                </c:pt>
                <c:pt idx="21">
                  <c:v>3.76</c:v>
                </c:pt>
                <c:pt idx="22">
                  <c:v>4.8330000000000002</c:v>
                </c:pt>
                <c:pt idx="23">
                  <c:v>2.294</c:v>
                </c:pt>
                <c:pt idx="24">
                  <c:v>2.548</c:v>
                </c:pt>
                <c:pt idx="25">
                  <c:v>2.8820000000000001</c:v>
                </c:pt>
                <c:pt idx="26">
                  <c:v>4.657</c:v>
                </c:pt>
                <c:pt idx="27">
                  <c:v>5.5</c:v>
                </c:pt>
                <c:pt idx="28">
                  <c:v>1.599</c:v>
                </c:pt>
                <c:pt idx="29">
                  <c:v>1.3540000000000001</c:v>
                </c:pt>
                <c:pt idx="30">
                  <c:v>2.492</c:v>
                </c:pt>
                <c:pt idx="31">
                  <c:v>1.4970000000000001</c:v>
                </c:pt>
                <c:pt idx="32">
                  <c:v>1.754</c:v>
                </c:pt>
                <c:pt idx="33">
                  <c:v>1.6539999999999999</c:v>
                </c:pt>
                <c:pt idx="34">
                  <c:v>1.6439999999999999</c:v>
                </c:pt>
                <c:pt idx="35">
                  <c:v>2.4369999999999998</c:v>
                </c:pt>
                <c:pt idx="36">
                  <c:v>1.7589999999999999</c:v>
                </c:pt>
                <c:pt idx="37">
                  <c:v>1.504</c:v>
                </c:pt>
                <c:pt idx="38">
                  <c:v>1.6879999999999999</c:v>
                </c:pt>
                <c:pt idx="39">
                  <c:v>3.919</c:v>
                </c:pt>
                <c:pt idx="40">
                  <c:v>1.5669999999999999</c:v>
                </c:pt>
                <c:pt idx="41">
                  <c:v>1.571</c:v>
                </c:pt>
                <c:pt idx="42">
                  <c:v>1.631</c:v>
                </c:pt>
                <c:pt idx="43">
                  <c:v>1.524</c:v>
                </c:pt>
                <c:pt idx="44">
                  <c:v>1.546</c:v>
                </c:pt>
                <c:pt idx="45">
                  <c:v>1.552</c:v>
                </c:pt>
                <c:pt idx="46">
                  <c:v>1.6180000000000001</c:v>
                </c:pt>
                <c:pt idx="47">
                  <c:v>1.58</c:v>
                </c:pt>
                <c:pt idx="48">
                  <c:v>1.4570000000000001</c:v>
                </c:pt>
                <c:pt idx="49">
                  <c:v>1.5469999999999999</c:v>
                </c:pt>
                <c:pt idx="50">
                  <c:v>1.5109999999999999</c:v>
                </c:pt>
                <c:pt idx="51">
                  <c:v>1.5509999999999999</c:v>
                </c:pt>
                <c:pt idx="52">
                  <c:v>1.413</c:v>
                </c:pt>
                <c:pt idx="53">
                  <c:v>1.2549999999999999</c:v>
                </c:pt>
                <c:pt idx="54">
                  <c:v>4.9800000000000004</c:v>
                </c:pt>
                <c:pt idx="55">
                  <c:v>4.2300000000000004</c:v>
                </c:pt>
                <c:pt idx="56">
                  <c:v>3.6190000000000002</c:v>
                </c:pt>
                <c:pt idx="57">
                  <c:v>3.387</c:v>
                </c:pt>
                <c:pt idx="58">
                  <c:v>5.0730000000000004</c:v>
                </c:pt>
                <c:pt idx="59">
                  <c:v>3.4430000000000001</c:v>
                </c:pt>
                <c:pt idx="60">
                  <c:v>2</c:v>
                </c:pt>
                <c:pt idx="61">
                  <c:v>4.2889999999999997</c:v>
                </c:pt>
                <c:pt idx="62">
                  <c:v>2.8220000000000001</c:v>
                </c:pt>
                <c:pt idx="63">
                  <c:v>2.7690000000000001</c:v>
                </c:pt>
                <c:pt idx="64">
                  <c:v>2.9340000000000002</c:v>
                </c:pt>
                <c:pt idx="65">
                  <c:v>1.569</c:v>
                </c:pt>
                <c:pt idx="66">
                  <c:v>1.665</c:v>
                </c:pt>
                <c:pt idx="67">
                  <c:v>1.514</c:v>
                </c:pt>
                <c:pt idx="68">
                  <c:v>1.857</c:v>
                </c:pt>
                <c:pt idx="69">
                  <c:v>1.4390000000000001</c:v>
                </c:pt>
                <c:pt idx="70">
                  <c:v>1.5629999999999999</c:v>
                </c:pt>
                <c:pt idx="71">
                  <c:v>2.754</c:v>
                </c:pt>
                <c:pt idx="72">
                  <c:v>1.4319999999999999</c:v>
                </c:pt>
                <c:pt idx="73">
                  <c:v>1.58</c:v>
                </c:pt>
                <c:pt idx="74">
                  <c:v>1.5049999999999999</c:v>
                </c:pt>
                <c:pt idx="75">
                  <c:v>1.472</c:v>
                </c:pt>
                <c:pt idx="76">
                  <c:v>1.4330000000000001</c:v>
                </c:pt>
                <c:pt idx="77">
                  <c:v>1.702</c:v>
                </c:pt>
                <c:pt idx="78">
                  <c:v>2.161</c:v>
                </c:pt>
                <c:pt idx="79">
                  <c:v>2.359</c:v>
                </c:pt>
                <c:pt idx="80">
                  <c:v>1.5369999999999999</c:v>
                </c:pt>
                <c:pt idx="81">
                  <c:v>2.2639999999999998</c:v>
                </c:pt>
                <c:pt idx="82">
                  <c:v>1.4</c:v>
                </c:pt>
                <c:pt idx="83">
                  <c:v>1.37</c:v>
                </c:pt>
                <c:pt idx="84">
                  <c:v>1.56</c:v>
                </c:pt>
                <c:pt idx="85">
                  <c:v>1.5069999999999999</c:v>
                </c:pt>
                <c:pt idx="86">
                  <c:v>1.679</c:v>
                </c:pt>
                <c:pt idx="87">
                  <c:v>1.569</c:v>
                </c:pt>
                <c:pt idx="88">
                  <c:v>1.3720000000000001</c:v>
                </c:pt>
                <c:pt idx="89">
                  <c:v>1.617</c:v>
                </c:pt>
                <c:pt idx="90">
                  <c:v>1.399</c:v>
                </c:pt>
                <c:pt idx="91">
                  <c:v>1.494</c:v>
                </c:pt>
                <c:pt idx="92">
                  <c:v>2.3769999999999998</c:v>
                </c:pt>
                <c:pt idx="93">
                  <c:v>1.448</c:v>
                </c:pt>
                <c:pt idx="94">
                  <c:v>1.1819999999999999</c:v>
                </c:pt>
                <c:pt idx="95">
                  <c:v>1.675</c:v>
                </c:pt>
                <c:pt idx="96">
                  <c:v>1.4450000000000001</c:v>
                </c:pt>
                <c:pt idx="97">
                  <c:v>1.448</c:v>
                </c:pt>
                <c:pt idx="98">
                  <c:v>1.365</c:v>
                </c:pt>
                <c:pt idx="99">
                  <c:v>1.681</c:v>
                </c:pt>
                <c:pt idx="100">
                  <c:v>1.1910000000000001</c:v>
                </c:pt>
                <c:pt idx="101">
                  <c:v>1.546</c:v>
                </c:pt>
                <c:pt idx="102">
                  <c:v>1.44</c:v>
                </c:pt>
                <c:pt idx="103">
                  <c:v>2.4060000000000001</c:v>
                </c:pt>
                <c:pt idx="104">
                  <c:v>1.5449999999999999</c:v>
                </c:pt>
                <c:pt idx="105">
                  <c:v>1.619</c:v>
                </c:pt>
                <c:pt idx="106">
                  <c:v>1.339</c:v>
                </c:pt>
                <c:pt idx="107">
                  <c:v>1.554</c:v>
                </c:pt>
                <c:pt idx="108">
                  <c:v>1.5009999999999999</c:v>
                </c:pt>
                <c:pt idx="109">
                  <c:v>1.595</c:v>
                </c:pt>
                <c:pt idx="110">
                  <c:v>1.43</c:v>
                </c:pt>
                <c:pt idx="111">
                  <c:v>1.415</c:v>
                </c:pt>
                <c:pt idx="112">
                  <c:v>1.653</c:v>
                </c:pt>
                <c:pt idx="113">
                  <c:v>1.5880000000000001</c:v>
                </c:pt>
                <c:pt idx="114">
                  <c:v>2.5880000000000001</c:v>
                </c:pt>
                <c:pt idx="115">
                  <c:v>1.9910000000000001</c:v>
                </c:pt>
                <c:pt idx="116">
                  <c:v>1.52</c:v>
                </c:pt>
                <c:pt idx="117">
                  <c:v>1.28</c:v>
                </c:pt>
                <c:pt idx="118">
                  <c:v>1.7210000000000001</c:v>
                </c:pt>
                <c:pt idx="119">
                  <c:v>1.52</c:v>
                </c:pt>
                <c:pt idx="120">
                  <c:v>1.409</c:v>
                </c:pt>
                <c:pt idx="121">
                  <c:v>1.51</c:v>
                </c:pt>
                <c:pt idx="122">
                  <c:v>1.3779999999999999</c:v>
                </c:pt>
                <c:pt idx="123">
                  <c:v>1.5129999999999999</c:v>
                </c:pt>
                <c:pt idx="124">
                  <c:v>1.5129999999999999</c:v>
                </c:pt>
                <c:pt idx="125">
                  <c:v>3.9969999999999999</c:v>
                </c:pt>
                <c:pt idx="126">
                  <c:v>1.252</c:v>
                </c:pt>
                <c:pt idx="127">
                  <c:v>2.169</c:v>
                </c:pt>
                <c:pt idx="128">
                  <c:v>1.6639999999999999</c:v>
                </c:pt>
                <c:pt idx="129">
                  <c:v>1.262</c:v>
                </c:pt>
                <c:pt idx="130">
                  <c:v>1.4870000000000001</c:v>
                </c:pt>
                <c:pt idx="131">
                  <c:v>1.472</c:v>
                </c:pt>
                <c:pt idx="132">
                  <c:v>2.0409999999999999</c:v>
                </c:pt>
                <c:pt idx="133">
                  <c:v>1.6659999999999999</c:v>
                </c:pt>
                <c:pt idx="134">
                  <c:v>2.0550000000000002</c:v>
                </c:pt>
                <c:pt idx="135">
                  <c:v>1.645</c:v>
                </c:pt>
                <c:pt idx="136">
                  <c:v>4.7939999999999996</c:v>
                </c:pt>
                <c:pt idx="137">
                  <c:v>1.52</c:v>
                </c:pt>
                <c:pt idx="138">
                  <c:v>2.5019999999999998</c:v>
                </c:pt>
                <c:pt idx="139">
                  <c:v>1.3660000000000001</c:v>
                </c:pt>
                <c:pt idx="140">
                  <c:v>1.298</c:v>
                </c:pt>
                <c:pt idx="141">
                  <c:v>1.3540000000000001</c:v>
                </c:pt>
                <c:pt idx="142">
                  <c:v>1.476</c:v>
                </c:pt>
                <c:pt idx="143">
                  <c:v>1.575</c:v>
                </c:pt>
                <c:pt idx="144">
                  <c:v>1.232</c:v>
                </c:pt>
                <c:pt idx="145">
                  <c:v>1.494</c:v>
                </c:pt>
                <c:pt idx="146">
                  <c:v>1.607</c:v>
                </c:pt>
                <c:pt idx="147">
                  <c:v>1.319</c:v>
                </c:pt>
                <c:pt idx="148">
                  <c:v>1.77</c:v>
                </c:pt>
                <c:pt idx="149">
                  <c:v>1.6</c:v>
                </c:pt>
                <c:pt idx="150">
                  <c:v>2.052</c:v>
                </c:pt>
                <c:pt idx="151">
                  <c:v>1.68</c:v>
                </c:pt>
                <c:pt idx="152">
                  <c:v>1.2470000000000001</c:v>
                </c:pt>
                <c:pt idx="153">
                  <c:v>1.4930000000000001</c:v>
                </c:pt>
                <c:pt idx="154">
                  <c:v>1.444</c:v>
                </c:pt>
                <c:pt idx="155">
                  <c:v>1.4139999999999999</c:v>
                </c:pt>
                <c:pt idx="156">
                  <c:v>1.514</c:v>
                </c:pt>
                <c:pt idx="157">
                  <c:v>1.6259999999999999</c:v>
                </c:pt>
                <c:pt idx="158">
                  <c:v>1.583</c:v>
                </c:pt>
                <c:pt idx="159">
                  <c:v>1.57</c:v>
                </c:pt>
                <c:pt idx="160">
                  <c:v>1.6319999999999999</c:v>
                </c:pt>
                <c:pt idx="161">
                  <c:v>1.645</c:v>
                </c:pt>
                <c:pt idx="162">
                  <c:v>1.21</c:v>
                </c:pt>
                <c:pt idx="163">
                  <c:v>1.3280000000000001</c:v>
                </c:pt>
                <c:pt idx="164">
                  <c:v>1.6859999999999999</c:v>
                </c:pt>
                <c:pt idx="165">
                  <c:v>1.4490000000000001</c:v>
                </c:pt>
                <c:pt idx="166">
                  <c:v>1.56</c:v>
                </c:pt>
                <c:pt idx="167">
                  <c:v>1.7070000000000001</c:v>
                </c:pt>
                <c:pt idx="168">
                  <c:v>1.5269999999999999</c:v>
                </c:pt>
                <c:pt idx="169">
                  <c:v>1.5580000000000001</c:v>
                </c:pt>
                <c:pt idx="170">
                  <c:v>1.6180000000000001</c:v>
                </c:pt>
                <c:pt idx="171">
                  <c:v>2.2770000000000001</c:v>
                </c:pt>
                <c:pt idx="172">
                  <c:v>1.4910000000000001</c:v>
                </c:pt>
                <c:pt idx="173">
                  <c:v>1.488</c:v>
                </c:pt>
                <c:pt idx="174">
                  <c:v>1.4690000000000001</c:v>
                </c:pt>
                <c:pt idx="175">
                  <c:v>1.49</c:v>
                </c:pt>
                <c:pt idx="176">
                  <c:v>1.4910000000000001</c:v>
                </c:pt>
                <c:pt idx="177">
                  <c:v>1.2989999999999999</c:v>
                </c:pt>
                <c:pt idx="178">
                  <c:v>1.2370000000000001</c:v>
                </c:pt>
                <c:pt idx="179">
                  <c:v>1.5980000000000001</c:v>
                </c:pt>
                <c:pt idx="180">
                  <c:v>1.538</c:v>
                </c:pt>
                <c:pt idx="181">
                  <c:v>1.5880000000000001</c:v>
                </c:pt>
                <c:pt idx="182">
                  <c:v>2.8439999999999999</c:v>
                </c:pt>
                <c:pt idx="183">
                  <c:v>1.623</c:v>
                </c:pt>
                <c:pt idx="184">
                  <c:v>1.508</c:v>
                </c:pt>
                <c:pt idx="185">
                  <c:v>1.5289999999999999</c:v>
                </c:pt>
                <c:pt idx="186">
                  <c:v>1.5629999999999999</c:v>
                </c:pt>
                <c:pt idx="187">
                  <c:v>1.575</c:v>
                </c:pt>
                <c:pt idx="188">
                  <c:v>1.706</c:v>
                </c:pt>
                <c:pt idx="189">
                  <c:v>1.488</c:v>
                </c:pt>
                <c:pt idx="190">
                  <c:v>1.6279999999999999</c:v>
                </c:pt>
                <c:pt idx="191">
                  <c:v>1.587</c:v>
                </c:pt>
                <c:pt idx="192">
                  <c:v>2.1949999999999998</c:v>
                </c:pt>
                <c:pt idx="193">
                  <c:v>1.244</c:v>
                </c:pt>
                <c:pt idx="194">
                  <c:v>1.6020000000000001</c:v>
                </c:pt>
                <c:pt idx="195">
                  <c:v>1.5740000000000001</c:v>
                </c:pt>
                <c:pt idx="196">
                  <c:v>1.3440000000000001</c:v>
                </c:pt>
                <c:pt idx="197">
                  <c:v>1.66</c:v>
                </c:pt>
                <c:pt idx="198">
                  <c:v>1.071</c:v>
                </c:pt>
                <c:pt idx="199">
                  <c:v>1.696</c:v>
                </c:pt>
                <c:pt idx="200">
                  <c:v>1.5840000000000001</c:v>
                </c:pt>
                <c:pt idx="201">
                  <c:v>1.627</c:v>
                </c:pt>
                <c:pt idx="202">
                  <c:v>1.6020000000000001</c:v>
                </c:pt>
                <c:pt idx="203">
                  <c:v>1.3839999999999999</c:v>
                </c:pt>
                <c:pt idx="204">
                  <c:v>1.268</c:v>
                </c:pt>
                <c:pt idx="205">
                  <c:v>1.2470000000000001</c:v>
                </c:pt>
                <c:pt idx="206">
                  <c:v>1.605</c:v>
                </c:pt>
                <c:pt idx="207">
                  <c:v>1.0880000000000001</c:v>
                </c:pt>
                <c:pt idx="208">
                  <c:v>1.464</c:v>
                </c:pt>
                <c:pt idx="209">
                  <c:v>1.6020000000000001</c:v>
                </c:pt>
                <c:pt idx="210">
                  <c:v>1.6850000000000001</c:v>
                </c:pt>
                <c:pt idx="211">
                  <c:v>1.175</c:v>
                </c:pt>
                <c:pt idx="212">
                  <c:v>1.5309999999999999</c:v>
                </c:pt>
                <c:pt idx="213">
                  <c:v>1.577</c:v>
                </c:pt>
                <c:pt idx="214">
                  <c:v>2.4710000000000001</c:v>
                </c:pt>
                <c:pt idx="215">
                  <c:v>1.583</c:v>
                </c:pt>
                <c:pt idx="216">
                  <c:v>1.607</c:v>
                </c:pt>
                <c:pt idx="217">
                  <c:v>1.696</c:v>
                </c:pt>
                <c:pt idx="218">
                  <c:v>1.331</c:v>
                </c:pt>
                <c:pt idx="219">
                  <c:v>1.554</c:v>
                </c:pt>
                <c:pt idx="220">
                  <c:v>1.47</c:v>
                </c:pt>
                <c:pt idx="221">
                  <c:v>1.3740000000000001</c:v>
                </c:pt>
                <c:pt idx="222">
                  <c:v>1.345</c:v>
                </c:pt>
                <c:pt idx="223">
                  <c:v>1.2410000000000001</c:v>
                </c:pt>
                <c:pt idx="224">
                  <c:v>1.2430000000000001</c:v>
                </c:pt>
                <c:pt idx="225">
                  <c:v>2.1680000000000001</c:v>
                </c:pt>
                <c:pt idx="226">
                  <c:v>1.4339999999999999</c:v>
                </c:pt>
                <c:pt idx="227">
                  <c:v>1.3520000000000001</c:v>
                </c:pt>
                <c:pt idx="228">
                  <c:v>1.5589999999999999</c:v>
                </c:pt>
                <c:pt idx="229">
                  <c:v>1.667</c:v>
                </c:pt>
                <c:pt idx="230">
                  <c:v>1.5840000000000001</c:v>
                </c:pt>
                <c:pt idx="231">
                  <c:v>1.22</c:v>
                </c:pt>
                <c:pt idx="232">
                  <c:v>1.4339999999999999</c:v>
                </c:pt>
                <c:pt idx="233">
                  <c:v>1.4319999999999999</c:v>
                </c:pt>
                <c:pt idx="234">
                  <c:v>1.6020000000000001</c:v>
                </c:pt>
                <c:pt idx="235">
                  <c:v>3.1040000000000001</c:v>
                </c:pt>
                <c:pt idx="236">
                  <c:v>1.625</c:v>
                </c:pt>
                <c:pt idx="237">
                  <c:v>1.46</c:v>
                </c:pt>
                <c:pt idx="238">
                  <c:v>1.3979999999999999</c:v>
                </c:pt>
                <c:pt idx="239">
                  <c:v>1.474</c:v>
                </c:pt>
                <c:pt idx="240">
                  <c:v>1.335</c:v>
                </c:pt>
                <c:pt idx="241">
                  <c:v>1.381</c:v>
                </c:pt>
                <c:pt idx="242">
                  <c:v>1.248</c:v>
                </c:pt>
                <c:pt idx="243">
                  <c:v>1.5649999999999999</c:v>
                </c:pt>
                <c:pt idx="244">
                  <c:v>2.2669999999999999</c:v>
                </c:pt>
                <c:pt idx="245">
                  <c:v>1.5349999999999999</c:v>
                </c:pt>
                <c:pt idx="246">
                  <c:v>1.1539999999999999</c:v>
                </c:pt>
                <c:pt idx="247">
                  <c:v>1.2270000000000001</c:v>
                </c:pt>
                <c:pt idx="248">
                  <c:v>1.2090000000000001</c:v>
                </c:pt>
                <c:pt idx="249">
                  <c:v>1.286</c:v>
                </c:pt>
                <c:pt idx="250">
                  <c:v>1.6439999999999999</c:v>
                </c:pt>
                <c:pt idx="251">
                  <c:v>1.58</c:v>
                </c:pt>
                <c:pt idx="252">
                  <c:v>1.6020000000000001</c:v>
                </c:pt>
                <c:pt idx="253">
                  <c:v>4.3289999999999997</c:v>
                </c:pt>
                <c:pt idx="254">
                  <c:v>1.357</c:v>
                </c:pt>
                <c:pt idx="255">
                  <c:v>1.6879999999999999</c:v>
                </c:pt>
                <c:pt idx="256">
                  <c:v>1.3180000000000001</c:v>
                </c:pt>
                <c:pt idx="257">
                  <c:v>1.173</c:v>
                </c:pt>
                <c:pt idx="258">
                  <c:v>1.456</c:v>
                </c:pt>
                <c:pt idx="259">
                  <c:v>1.5229999999999999</c:v>
                </c:pt>
                <c:pt idx="260">
                  <c:v>1.484</c:v>
                </c:pt>
                <c:pt idx="261">
                  <c:v>1.4410000000000001</c:v>
                </c:pt>
                <c:pt idx="262">
                  <c:v>1.5289999999999999</c:v>
                </c:pt>
                <c:pt idx="263">
                  <c:v>4.4130000000000003</c:v>
                </c:pt>
                <c:pt idx="264">
                  <c:v>1.2989999999999999</c:v>
                </c:pt>
                <c:pt idx="265">
                  <c:v>1.323</c:v>
                </c:pt>
                <c:pt idx="266">
                  <c:v>1.4330000000000001</c:v>
                </c:pt>
                <c:pt idx="267">
                  <c:v>1.194</c:v>
                </c:pt>
                <c:pt idx="268">
                  <c:v>1.4650000000000001</c:v>
                </c:pt>
                <c:pt idx="269">
                  <c:v>1.3680000000000001</c:v>
                </c:pt>
                <c:pt idx="270">
                  <c:v>1.4990000000000001</c:v>
                </c:pt>
                <c:pt idx="271">
                  <c:v>1.38</c:v>
                </c:pt>
                <c:pt idx="272">
                  <c:v>1.6919999999999999</c:v>
                </c:pt>
                <c:pt idx="273">
                  <c:v>1.3540000000000001</c:v>
                </c:pt>
                <c:pt idx="274">
                  <c:v>2.14</c:v>
                </c:pt>
                <c:pt idx="275">
                  <c:v>1.536</c:v>
                </c:pt>
                <c:pt idx="276">
                  <c:v>1.611</c:v>
                </c:pt>
                <c:pt idx="277">
                  <c:v>1.55</c:v>
                </c:pt>
                <c:pt idx="278">
                  <c:v>1.58</c:v>
                </c:pt>
                <c:pt idx="279">
                  <c:v>1.4790000000000001</c:v>
                </c:pt>
                <c:pt idx="280">
                  <c:v>1.5820000000000001</c:v>
                </c:pt>
                <c:pt idx="281">
                  <c:v>1.5820000000000001</c:v>
                </c:pt>
                <c:pt idx="282">
                  <c:v>1.4650000000000001</c:v>
                </c:pt>
                <c:pt idx="283">
                  <c:v>1.407</c:v>
                </c:pt>
                <c:pt idx="284">
                  <c:v>1.48</c:v>
                </c:pt>
                <c:pt idx="285">
                  <c:v>1.6319999999999999</c:v>
                </c:pt>
                <c:pt idx="286">
                  <c:v>1.65</c:v>
                </c:pt>
                <c:pt idx="287">
                  <c:v>2.4630000000000001</c:v>
                </c:pt>
                <c:pt idx="288">
                  <c:v>1.319</c:v>
                </c:pt>
                <c:pt idx="289">
                  <c:v>1.583</c:v>
                </c:pt>
                <c:pt idx="290">
                  <c:v>1.571</c:v>
                </c:pt>
                <c:pt idx="291">
                  <c:v>1.659</c:v>
                </c:pt>
                <c:pt idx="292">
                  <c:v>1.6970000000000001</c:v>
                </c:pt>
                <c:pt idx="293">
                  <c:v>1.6739999999999999</c:v>
                </c:pt>
                <c:pt idx="294">
                  <c:v>2.7730000000000001</c:v>
                </c:pt>
                <c:pt idx="295">
                  <c:v>3.5960000000000001</c:v>
                </c:pt>
                <c:pt idx="296">
                  <c:v>1.544</c:v>
                </c:pt>
                <c:pt idx="297">
                  <c:v>1.542</c:v>
                </c:pt>
                <c:pt idx="298">
                  <c:v>1.6619999999999999</c:v>
                </c:pt>
                <c:pt idx="299">
                  <c:v>1.56</c:v>
                </c:pt>
                <c:pt idx="300">
                  <c:v>1.3879999999999999</c:v>
                </c:pt>
                <c:pt idx="301">
                  <c:v>1.5189999999999999</c:v>
                </c:pt>
                <c:pt idx="302">
                  <c:v>1.3540000000000001</c:v>
                </c:pt>
                <c:pt idx="303">
                  <c:v>1.3320000000000001</c:v>
                </c:pt>
                <c:pt idx="304">
                  <c:v>6.51</c:v>
                </c:pt>
                <c:pt idx="305">
                  <c:v>1.552</c:v>
                </c:pt>
                <c:pt idx="306">
                  <c:v>1.325</c:v>
                </c:pt>
                <c:pt idx="307">
                  <c:v>1.3740000000000001</c:v>
                </c:pt>
                <c:pt idx="308">
                  <c:v>1.246</c:v>
                </c:pt>
                <c:pt idx="309">
                  <c:v>1.325</c:v>
                </c:pt>
                <c:pt idx="310">
                  <c:v>1.4259999999999999</c:v>
                </c:pt>
                <c:pt idx="311">
                  <c:v>1.2649999999999999</c:v>
                </c:pt>
                <c:pt idx="312">
                  <c:v>1.748</c:v>
                </c:pt>
                <c:pt idx="313">
                  <c:v>1.421</c:v>
                </c:pt>
                <c:pt idx="314">
                  <c:v>3.1019999999999999</c:v>
                </c:pt>
                <c:pt idx="315">
                  <c:v>1.3240000000000001</c:v>
                </c:pt>
                <c:pt idx="316">
                  <c:v>1.5820000000000001</c:v>
                </c:pt>
                <c:pt idx="317">
                  <c:v>1.4379999999999999</c:v>
                </c:pt>
                <c:pt idx="318">
                  <c:v>1.3069999999999999</c:v>
                </c:pt>
                <c:pt idx="319">
                  <c:v>1.23</c:v>
                </c:pt>
                <c:pt idx="320">
                  <c:v>1.411</c:v>
                </c:pt>
                <c:pt idx="321">
                  <c:v>1.383</c:v>
                </c:pt>
                <c:pt idx="322">
                  <c:v>1.6639999999999999</c:v>
                </c:pt>
                <c:pt idx="323">
                  <c:v>1.339</c:v>
                </c:pt>
                <c:pt idx="324">
                  <c:v>2.0819999999999999</c:v>
                </c:pt>
                <c:pt idx="325">
                  <c:v>1.44</c:v>
                </c:pt>
                <c:pt idx="326">
                  <c:v>1.425</c:v>
                </c:pt>
                <c:pt idx="327">
                  <c:v>1.337</c:v>
                </c:pt>
                <c:pt idx="328">
                  <c:v>1.5509999999999999</c:v>
                </c:pt>
                <c:pt idx="329">
                  <c:v>1.4139999999999999</c:v>
                </c:pt>
                <c:pt idx="330">
                  <c:v>1.5269999999999999</c:v>
                </c:pt>
                <c:pt idx="331">
                  <c:v>1.6120000000000001</c:v>
                </c:pt>
                <c:pt idx="332">
                  <c:v>1.49</c:v>
                </c:pt>
                <c:pt idx="333">
                  <c:v>1.3420000000000001</c:v>
                </c:pt>
                <c:pt idx="334">
                  <c:v>1.3759999999999999</c:v>
                </c:pt>
                <c:pt idx="335">
                  <c:v>2.1749999999999998</c:v>
                </c:pt>
                <c:pt idx="336">
                  <c:v>1.5609999999999999</c:v>
                </c:pt>
                <c:pt idx="337">
                  <c:v>1.1559999999999999</c:v>
                </c:pt>
                <c:pt idx="338">
                  <c:v>1.2310000000000001</c:v>
                </c:pt>
                <c:pt idx="339">
                  <c:v>1.2410000000000001</c:v>
                </c:pt>
                <c:pt idx="340">
                  <c:v>1.25</c:v>
                </c:pt>
                <c:pt idx="341">
                  <c:v>3.2869999999999999</c:v>
                </c:pt>
                <c:pt idx="342">
                  <c:v>5.016</c:v>
                </c:pt>
                <c:pt idx="343">
                  <c:v>4.931</c:v>
                </c:pt>
                <c:pt idx="344">
                  <c:v>3.49</c:v>
                </c:pt>
                <c:pt idx="345">
                  <c:v>2.3460000000000001</c:v>
                </c:pt>
                <c:pt idx="346">
                  <c:v>3.903</c:v>
                </c:pt>
                <c:pt idx="347">
                  <c:v>4.7439999999999998</c:v>
                </c:pt>
                <c:pt idx="348">
                  <c:v>5.476</c:v>
                </c:pt>
                <c:pt idx="349">
                  <c:v>3.4740000000000002</c:v>
                </c:pt>
                <c:pt idx="350">
                  <c:v>4.3620000000000001</c:v>
                </c:pt>
                <c:pt idx="351">
                  <c:v>2.492</c:v>
                </c:pt>
                <c:pt idx="352">
                  <c:v>2.2120000000000002</c:v>
                </c:pt>
                <c:pt idx="353">
                  <c:v>2.4209999999999998</c:v>
                </c:pt>
                <c:pt idx="354">
                  <c:v>4.8739999999999997</c:v>
                </c:pt>
                <c:pt idx="355">
                  <c:v>2.1549999999999998</c:v>
                </c:pt>
                <c:pt idx="356">
                  <c:v>1.9930000000000001</c:v>
                </c:pt>
                <c:pt idx="357">
                  <c:v>2.1389999999999998</c:v>
                </c:pt>
                <c:pt idx="358">
                  <c:v>2.3410000000000002</c:v>
                </c:pt>
                <c:pt idx="359">
                  <c:v>2.5249999999999999</c:v>
                </c:pt>
                <c:pt idx="360">
                  <c:v>1.206</c:v>
                </c:pt>
                <c:pt idx="361">
                  <c:v>2.4350000000000001</c:v>
                </c:pt>
                <c:pt idx="362">
                  <c:v>1.4370000000000001</c:v>
                </c:pt>
                <c:pt idx="363">
                  <c:v>1.88</c:v>
                </c:pt>
                <c:pt idx="364">
                  <c:v>2.3109999999999999</c:v>
                </c:pt>
                <c:pt idx="365">
                  <c:v>1.6339999999999999</c:v>
                </c:pt>
                <c:pt idx="366">
                  <c:v>1.849</c:v>
                </c:pt>
                <c:pt idx="367">
                  <c:v>1.4279999999999999</c:v>
                </c:pt>
                <c:pt idx="368">
                  <c:v>1.472</c:v>
                </c:pt>
                <c:pt idx="369">
                  <c:v>1.641</c:v>
                </c:pt>
                <c:pt idx="370">
                  <c:v>1.5329999999999999</c:v>
                </c:pt>
                <c:pt idx="371">
                  <c:v>1.486</c:v>
                </c:pt>
                <c:pt idx="372">
                  <c:v>1.601</c:v>
                </c:pt>
                <c:pt idx="373">
                  <c:v>1.9179999999999999</c:v>
                </c:pt>
                <c:pt idx="374">
                  <c:v>1.5369999999999999</c:v>
                </c:pt>
                <c:pt idx="375">
                  <c:v>2.2999999999999998</c:v>
                </c:pt>
                <c:pt idx="376">
                  <c:v>1.621</c:v>
                </c:pt>
                <c:pt idx="377">
                  <c:v>1.5429999999999999</c:v>
                </c:pt>
                <c:pt idx="378">
                  <c:v>1.669</c:v>
                </c:pt>
                <c:pt idx="379">
                  <c:v>1.3049999999999999</c:v>
                </c:pt>
                <c:pt idx="380">
                  <c:v>1.3640000000000001</c:v>
                </c:pt>
                <c:pt idx="381">
                  <c:v>1.4990000000000001</c:v>
                </c:pt>
                <c:pt idx="382">
                  <c:v>2.2509999999999999</c:v>
                </c:pt>
                <c:pt idx="383">
                  <c:v>1.5269999999999999</c:v>
                </c:pt>
                <c:pt idx="384">
                  <c:v>1.722</c:v>
                </c:pt>
                <c:pt idx="385">
                  <c:v>2.5590000000000002</c:v>
                </c:pt>
                <c:pt idx="386">
                  <c:v>2.5</c:v>
                </c:pt>
                <c:pt idx="387">
                  <c:v>1.607</c:v>
                </c:pt>
                <c:pt idx="388">
                  <c:v>1.5629999999999999</c:v>
                </c:pt>
                <c:pt idx="389">
                  <c:v>2.7269999999999999</c:v>
                </c:pt>
                <c:pt idx="390">
                  <c:v>2.573</c:v>
                </c:pt>
                <c:pt idx="391">
                  <c:v>1.2909999999999999</c:v>
                </c:pt>
                <c:pt idx="392">
                  <c:v>2.2189999999999999</c:v>
                </c:pt>
                <c:pt idx="393">
                  <c:v>2.9889999999999999</c:v>
                </c:pt>
                <c:pt idx="394">
                  <c:v>1.3839999999999999</c:v>
                </c:pt>
                <c:pt idx="395">
                  <c:v>1.446</c:v>
                </c:pt>
                <c:pt idx="396">
                  <c:v>1.486</c:v>
                </c:pt>
                <c:pt idx="397">
                  <c:v>2.8490000000000002</c:v>
                </c:pt>
                <c:pt idx="398">
                  <c:v>2.4449999999999998</c:v>
                </c:pt>
                <c:pt idx="399">
                  <c:v>3.367</c:v>
                </c:pt>
                <c:pt idx="400">
                  <c:v>1.52</c:v>
                </c:pt>
                <c:pt idx="401">
                  <c:v>2.7959999999999998</c:v>
                </c:pt>
                <c:pt idx="402">
                  <c:v>2.5659999999999998</c:v>
                </c:pt>
                <c:pt idx="403">
                  <c:v>2.5329999999999999</c:v>
                </c:pt>
                <c:pt idx="404">
                  <c:v>1.405</c:v>
                </c:pt>
                <c:pt idx="405">
                  <c:v>1.6160000000000001</c:v>
                </c:pt>
                <c:pt idx="406">
                  <c:v>3.141</c:v>
                </c:pt>
                <c:pt idx="407">
                  <c:v>3.2669999999999999</c:v>
                </c:pt>
                <c:pt idx="408">
                  <c:v>1.1539999999999999</c:v>
                </c:pt>
                <c:pt idx="409">
                  <c:v>2.0459999999999998</c:v>
                </c:pt>
                <c:pt idx="410">
                  <c:v>1.1020000000000001</c:v>
                </c:pt>
                <c:pt idx="411">
                  <c:v>1.5129999999999999</c:v>
                </c:pt>
                <c:pt idx="412">
                  <c:v>1.157</c:v>
                </c:pt>
                <c:pt idx="413">
                  <c:v>0.998</c:v>
                </c:pt>
                <c:pt idx="414">
                  <c:v>1.671</c:v>
                </c:pt>
                <c:pt idx="415">
                  <c:v>1.776</c:v>
                </c:pt>
                <c:pt idx="416">
                  <c:v>1.212</c:v>
                </c:pt>
                <c:pt idx="417">
                  <c:v>1.179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8-49BC-AE79-8040F8B06A2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'CSIRO-australia'!$N$2:$N$419</c:f>
              <c:numCache>
                <c:formatCode>General</c:formatCode>
                <c:ptCount val="418"/>
                <c:pt idx="0">
                  <c:v>3.7000000000000002E-3</c:v>
                </c:pt>
                <c:pt idx="1">
                  <c:v>1E-3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1E-3</c:v>
                </c:pt>
                <c:pt idx="5">
                  <c:v>5.9999999999999995E-4</c:v>
                </c:pt>
                <c:pt idx="6">
                  <c:v>1E-3</c:v>
                </c:pt>
                <c:pt idx="7">
                  <c:v>5.9999999999999995E-4</c:v>
                </c:pt>
                <c:pt idx="8">
                  <c:v>2.2000000000000001E-3</c:v>
                </c:pt>
                <c:pt idx="9">
                  <c:v>1.2999999999999999E-3</c:v>
                </c:pt>
                <c:pt idx="10">
                  <c:v>1E-3</c:v>
                </c:pt>
                <c:pt idx="11">
                  <c:v>6.9999999999999999E-4</c:v>
                </c:pt>
                <c:pt idx="12">
                  <c:v>1E-3</c:v>
                </c:pt>
                <c:pt idx="13">
                  <c:v>5.9999999999999995E-4</c:v>
                </c:pt>
                <c:pt idx="14">
                  <c:v>2.0000000000000001E-4</c:v>
                </c:pt>
                <c:pt idx="15">
                  <c:v>8.0000000000000004E-4</c:v>
                </c:pt>
                <c:pt idx="16">
                  <c:v>2.0327999999999999E-2</c:v>
                </c:pt>
                <c:pt idx="17">
                  <c:v>1.8528000000000003E-2</c:v>
                </c:pt>
                <c:pt idx="18">
                  <c:v>1.2928000000000002E-2</c:v>
                </c:pt>
                <c:pt idx="19">
                  <c:v>8.9999999999999998E-4</c:v>
                </c:pt>
                <c:pt idx="20">
                  <c:v>1.9728000000000002E-2</c:v>
                </c:pt>
                <c:pt idx="21">
                  <c:v>1.6028000000000001E-2</c:v>
                </c:pt>
                <c:pt idx="22">
                  <c:v>2.2628000000000002E-2</c:v>
                </c:pt>
                <c:pt idx="23">
                  <c:v>4.1000000000000003E-3</c:v>
                </c:pt>
                <c:pt idx="24">
                  <c:v>5.1999999999999998E-3</c:v>
                </c:pt>
                <c:pt idx="25">
                  <c:v>4.7999999999999996E-3</c:v>
                </c:pt>
                <c:pt idx="26">
                  <c:v>2.2428000000000003E-2</c:v>
                </c:pt>
                <c:pt idx="27">
                  <c:v>3.6727999999999997E-2</c:v>
                </c:pt>
                <c:pt idx="28">
                  <c:v>1.1000000000000001E-3</c:v>
                </c:pt>
                <c:pt idx="29">
                  <c:v>8.0000000000000004E-4</c:v>
                </c:pt>
                <c:pt idx="30">
                  <c:v>5.0000000000000001E-3</c:v>
                </c:pt>
                <c:pt idx="31">
                  <c:v>5.9999999999999995E-4</c:v>
                </c:pt>
                <c:pt idx="32">
                  <c:v>1E-3</c:v>
                </c:pt>
                <c:pt idx="33">
                  <c:v>1E-3</c:v>
                </c:pt>
                <c:pt idx="34">
                  <c:v>1.1000000000000001E-3</c:v>
                </c:pt>
                <c:pt idx="35">
                  <c:v>3.3999999999999998E-3</c:v>
                </c:pt>
                <c:pt idx="36">
                  <c:v>2.0999999999999999E-3</c:v>
                </c:pt>
                <c:pt idx="37">
                  <c:v>1.1999999999999999E-3</c:v>
                </c:pt>
                <c:pt idx="38">
                  <c:v>3.3E-3</c:v>
                </c:pt>
                <c:pt idx="39">
                  <c:v>2.1828E-2</c:v>
                </c:pt>
                <c:pt idx="40">
                  <c:v>1E-3</c:v>
                </c:pt>
                <c:pt idx="41">
                  <c:v>1.1000000000000001E-3</c:v>
                </c:pt>
                <c:pt idx="42">
                  <c:v>8.0000000000000004E-4</c:v>
                </c:pt>
                <c:pt idx="43">
                  <c:v>1.6999999999999999E-3</c:v>
                </c:pt>
                <c:pt idx="44">
                  <c:v>4.0000000000000002E-4</c:v>
                </c:pt>
                <c:pt idx="45">
                  <c:v>1E-3</c:v>
                </c:pt>
                <c:pt idx="46">
                  <c:v>8.0000000000000004E-4</c:v>
                </c:pt>
                <c:pt idx="47">
                  <c:v>2.9999999999999997E-4</c:v>
                </c:pt>
                <c:pt idx="48">
                  <c:v>5.9999999999999995E-4</c:v>
                </c:pt>
                <c:pt idx="49">
                  <c:v>1.1000000000000001E-3</c:v>
                </c:pt>
                <c:pt idx="50">
                  <c:v>8.9999999999999998E-4</c:v>
                </c:pt>
                <c:pt idx="51">
                  <c:v>6.9999999999999999E-4</c:v>
                </c:pt>
                <c:pt idx="52">
                  <c:v>2.9999999999999997E-4</c:v>
                </c:pt>
                <c:pt idx="53">
                  <c:v>6.9999999999999999E-4</c:v>
                </c:pt>
                <c:pt idx="54">
                  <c:v>3.1927999999999998E-2</c:v>
                </c:pt>
                <c:pt idx="55">
                  <c:v>1.6428000000000005E-2</c:v>
                </c:pt>
                <c:pt idx="56">
                  <c:v>1.0028000000000002E-2</c:v>
                </c:pt>
                <c:pt idx="57">
                  <c:v>9.8280000000000034E-3</c:v>
                </c:pt>
                <c:pt idx="58">
                  <c:v>2.8728000000000004E-2</c:v>
                </c:pt>
                <c:pt idx="59">
                  <c:v>1.2928000000000002E-2</c:v>
                </c:pt>
                <c:pt idx="60">
                  <c:v>2.3E-3</c:v>
                </c:pt>
                <c:pt idx="61">
                  <c:v>1.9228000000000002E-2</c:v>
                </c:pt>
                <c:pt idx="62">
                  <c:v>7.7279999999999988E-3</c:v>
                </c:pt>
                <c:pt idx="63">
                  <c:v>7.2280000000000053E-3</c:v>
                </c:pt>
                <c:pt idx="64">
                  <c:v>8.2279999999999992E-3</c:v>
                </c:pt>
                <c:pt idx="65">
                  <c:v>8.0000000000000004E-4</c:v>
                </c:pt>
                <c:pt idx="66">
                  <c:v>6.9999999999999999E-4</c:v>
                </c:pt>
                <c:pt idx="67">
                  <c:v>8.0000000000000004E-4</c:v>
                </c:pt>
                <c:pt idx="68">
                  <c:v>1.4E-3</c:v>
                </c:pt>
                <c:pt idx="69">
                  <c:v>3.3999999999999998E-3</c:v>
                </c:pt>
                <c:pt idx="70">
                  <c:v>8.9999999999999998E-4</c:v>
                </c:pt>
                <c:pt idx="71">
                  <c:v>1.0028000000000002E-2</c:v>
                </c:pt>
                <c:pt idx="72">
                  <c:v>1.1000000000000001E-3</c:v>
                </c:pt>
                <c:pt idx="73">
                  <c:v>1.1000000000000001E-3</c:v>
                </c:pt>
                <c:pt idx="74">
                  <c:v>5.0000000000000001E-4</c:v>
                </c:pt>
                <c:pt idx="75">
                  <c:v>3.5000000000000001E-3</c:v>
                </c:pt>
                <c:pt idx="76">
                  <c:v>2.8999999999999998E-3</c:v>
                </c:pt>
                <c:pt idx="77">
                  <c:v>1E-3</c:v>
                </c:pt>
                <c:pt idx="78">
                  <c:v>3.0999999999999999E-3</c:v>
                </c:pt>
                <c:pt idx="79">
                  <c:v>3.8999999999999998E-3</c:v>
                </c:pt>
                <c:pt idx="80">
                  <c:v>2.8999999999999998E-3</c:v>
                </c:pt>
                <c:pt idx="81">
                  <c:v>4.4280000000000014E-3</c:v>
                </c:pt>
                <c:pt idx="82">
                  <c:v>1.1999999999999999E-3</c:v>
                </c:pt>
                <c:pt idx="83">
                  <c:v>2.2000000000000001E-3</c:v>
                </c:pt>
                <c:pt idx="84">
                  <c:v>3.0999999999999999E-3</c:v>
                </c:pt>
                <c:pt idx="85">
                  <c:v>5.0000000000000001E-4</c:v>
                </c:pt>
                <c:pt idx="86">
                  <c:v>1E-3</c:v>
                </c:pt>
                <c:pt idx="87">
                  <c:v>1.4E-3</c:v>
                </c:pt>
                <c:pt idx="88">
                  <c:v>2E-3</c:v>
                </c:pt>
                <c:pt idx="89">
                  <c:v>8.0000000000000004E-4</c:v>
                </c:pt>
                <c:pt idx="90">
                  <c:v>1.6000000000000001E-3</c:v>
                </c:pt>
                <c:pt idx="91">
                  <c:v>8.9999999999999998E-4</c:v>
                </c:pt>
                <c:pt idx="92">
                  <c:v>6.6280000000000019E-3</c:v>
                </c:pt>
                <c:pt idx="93">
                  <c:v>3.3999999999999998E-3</c:v>
                </c:pt>
                <c:pt idx="94">
                  <c:v>3.0999999999999999E-3</c:v>
                </c:pt>
                <c:pt idx="95">
                  <c:v>6.9999999999999999E-4</c:v>
                </c:pt>
                <c:pt idx="96">
                  <c:v>1.4E-3</c:v>
                </c:pt>
                <c:pt idx="97">
                  <c:v>5.9999999999999995E-4</c:v>
                </c:pt>
                <c:pt idx="98">
                  <c:v>2.9999999999999997E-4</c:v>
                </c:pt>
                <c:pt idx="99">
                  <c:v>1.6000000000000001E-3</c:v>
                </c:pt>
                <c:pt idx="100">
                  <c:v>3.0999999999999999E-3</c:v>
                </c:pt>
                <c:pt idx="101">
                  <c:v>2.9999999999999997E-4</c:v>
                </c:pt>
                <c:pt idx="102">
                  <c:v>1.1999999999999999E-3</c:v>
                </c:pt>
                <c:pt idx="103">
                  <c:v>3.3E-3</c:v>
                </c:pt>
                <c:pt idx="104">
                  <c:v>1.6000000000000001E-3</c:v>
                </c:pt>
                <c:pt idx="105">
                  <c:v>3.3E-3</c:v>
                </c:pt>
                <c:pt idx="106">
                  <c:v>5.9999999999999995E-4</c:v>
                </c:pt>
                <c:pt idx="107">
                  <c:v>8.0000000000000004E-4</c:v>
                </c:pt>
                <c:pt idx="108">
                  <c:v>2.9999999999999997E-4</c:v>
                </c:pt>
                <c:pt idx="109">
                  <c:v>2.7000000000000001E-3</c:v>
                </c:pt>
                <c:pt idx="110">
                  <c:v>1.1999999999999999E-3</c:v>
                </c:pt>
                <c:pt idx="111">
                  <c:v>1.1000000000000001E-3</c:v>
                </c:pt>
                <c:pt idx="112">
                  <c:v>5.0000000000000001E-4</c:v>
                </c:pt>
                <c:pt idx="113">
                  <c:v>8.0000000000000004E-4</c:v>
                </c:pt>
                <c:pt idx="114">
                  <c:v>4.0280000000000038E-3</c:v>
                </c:pt>
                <c:pt idx="115">
                  <c:v>2E-3</c:v>
                </c:pt>
                <c:pt idx="116">
                  <c:v>1.2999999999999999E-3</c:v>
                </c:pt>
                <c:pt idx="117">
                  <c:v>1E-3</c:v>
                </c:pt>
                <c:pt idx="118">
                  <c:v>8.0000000000000004E-4</c:v>
                </c:pt>
                <c:pt idx="119">
                  <c:v>2.9999999999999997E-4</c:v>
                </c:pt>
                <c:pt idx="120">
                  <c:v>8.0000000000000004E-4</c:v>
                </c:pt>
                <c:pt idx="121">
                  <c:v>5.9999999999999995E-4</c:v>
                </c:pt>
                <c:pt idx="122">
                  <c:v>8.0000000000000004E-4</c:v>
                </c:pt>
                <c:pt idx="123">
                  <c:v>1E-3</c:v>
                </c:pt>
                <c:pt idx="124">
                  <c:v>1.6999999999999999E-3</c:v>
                </c:pt>
                <c:pt idx="125">
                  <c:v>1.7028000000000001E-2</c:v>
                </c:pt>
                <c:pt idx="126">
                  <c:v>6.9999999999999999E-4</c:v>
                </c:pt>
                <c:pt idx="127">
                  <c:v>2.5999999999999999E-3</c:v>
                </c:pt>
                <c:pt idx="128">
                  <c:v>1.1000000000000001E-3</c:v>
                </c:pt>
                <c:pt idx="129">
                  <c:v>4.0000000000000002E-4</c:v>
                </c:pt>
                <c:pt idx="130">
                  <c:v>5.9999999999999995E-4</c:v>
                </c:pt>
                <c:pt idx="131">
                  <c:v>6.9999999999999999E-4</c:v>
                </c:pt>
                <c:pt idx="132">
                  <c:v>2.3999999999999998E-3</c:v>
                </c:pt>
                <c:pt idx="133">
                  <c:v>8.0000000000000004E-4</c:v>
                </c:pt>
                <c:pt idx="134">
                  <c:v>2.8E-3</c:v>
                </c:pt>
                <c:pt idx="135">
                  <c:v>1.1999999999999999E-3</c:v>
                </c:pt>
                <c:pt idx="136">
                  <c:v>2.3828000000000002E-2</c:v>
                </c:pt>
                <c:pt idx="137">
                  <c:v>1.1000000000000001E-3</c:v>
                </c:pt>
                <c:pt idx="138">
                  <c:v>4.1000000000000003E-3</c:v>
                </c:pt>
                <c:pt idx="139">
                  <c:v>5.0000000000000001E-4</c:v>
                </c:pt>
                <c:pt idx="140">
                  <c:v>4.0000000000000002E-4</c:v>
                </c:pt>
                <c:pt idx="141">
                  <c:v>1.1999999999999999E-3</c:v>
                </c:pt>
                <c:pt idx="142">
                  <c:v>6.9999999999999999E-4</c:v>
                </c:pt>
                <c:pt idx="143">
                  <c:v>8.9999999999999998E-4</c:v>
                </c:pt>
                <c:pt idx="144">
                  <c:v>5.0000000000000001E-4</c:v>
                </c:pt>
                <c:pt idx="145">
                  <c:v>5.9999999999999995E-4</c:v>
                </c:pt>
                <c:pt idx="146">
                  <c:v>8.0000000000000004E-4</c:v>
                </c:pt>
                <c:pt idx="147">
                  <c:v>2.9999999999999997E-4</c:v>
                </c:pt>
                <c:pt idx="148">
                  <c:v>1.2999999999999999E-3</c:v>
                </c:pt>
                <c:pt idx="149">
                  <c:v>8.0000000000000004E-4</c:v>
                </c:pt>
                <c:pt idx="150">
                  <c:v>2.3E-3</c:v>
                </c:pt>
                <c:pt idx="151">
                  <c:v>8.0000000000000004E-4</c:v>
                </c:pt>
                <c:pt idx="152">
                  <c:v>4.0000000000000002E-4</c:v>
                </c:pt>
                <c:pt idx="153">
                  <c:v>5.0000000000000001E-4</c:v>
                </c:pt>
                <c:pt idx="154">
                  <c:v>5.9999999999999995E-4</c:v>
                </c:pt>
                <c:pt idx="155">
                  <c:v>5.9999999999999995E-4</c:v>
                </c:pt>
                <c:pt idx="156">
                  <c:v>6.9999999999999999E-4</c:v>
                </c:pt>
                <c:pt idx="157">
                  <c:v>1E-3</c:v>
                </c:pt>
                <c:pt idx="158">
                  <c:v>6.9999999999999999E-4</c:v>
                </c:pt>
                <c:pt idx="159">
                  <c:v>1E-3</c:v>
                </c:pt>
                <c:pt idx="160">
                  <c:v>1.2999999999999999E-3</c:v>
                </c:pt>
                <c:pt idx="161">
                  <c:v>1E-3</c:v>
                </c:pt>
                <c:pt idx="162">
                  <c:v>2.9999999999999997E-4</c:v>
                </c:pt>
                <c:pt idx="163">
                  <c:v>5.9999999999999995E-4</c:v>
                </c:pt>
                <c:pt idx="164">
                  <c:v>1E-3</c:v>
                </c:pt>
                <c:pt idx="165">
                  <c:v>5.9999999999999995E-4</c:v>
                </c:pt>
                <c:pt idx="166">
                  <c:v>5.0000000000000001E-4</c:v>
                </c:pt>
                <c:pt idx="167">
                  <c:v>8.9999999999999998E-4</c:v>
                </c:pt>
                <c:pt idx="168">
                  <c:v>6.9999999999999999E-4</c:v>
                </c:pt>
                <c:pt idx="169">
                  <c:v>8.9999999999999998E-4</c:v>
                </c:pt>
                <c:pt idx="170">
                  <c:v>8.0000000000000004E-4</c:v>
                </c:pt>
                <c:pt idx="171">
                  <c:v>3.0000000000000001E-3</c:v>
                </c:pt>
                <c:pt idx="172">
                  <c:v>6.9999999999999999E-4</c:v>
                </c:pt>
                <c:pt idx="173">
                  <c:v>8.9999999999999998E-4</c:v>
                </c:pt>
                <c:pt idx="174">
                  <c:v>6.9999999999999999E-4</c:v>
                </c:pt>
                <c:pt idx="175">
                  <c:v>8.0000000000000004E-4</c:v>
                </c:pt>
                <c:pt idx="176">
                  <c:v>6.9999999999999999E-4</c:v>
                </c:pt>
                <c:pt idx="177">
                  <c:v>4.0000000000000002E-4</c:v>
                </c:pt>
                <c:pt idx="178">
                  <c:v>5.0000000000000001E-4</c:v>
                </c:pt>
                <c:pt idx="179">
                  <c:v>8.9999999999999998E-4</c:v>
                </c:pt>
                <c:pt idx="180">
                  <c:v>5.9999999999999995E-4</c:v>
                </c:pt>
                <c:pt idx="181">
                  <c:v>6.9999999999999999E-4</c:v>
                </c:pt>
                <c:pt idx="182">
                  <c:v>5.8999999999999999E-3</c:v>
                </c:pt>
                <c:pt idx="183">
                  <c:v>1.1999999999999999E-3</c:v>
                </c:pt>
                <c:pt idx="184">
                  <c:v>6.9999999999999999E-4</c:v>
                </c:pt>
                <c:pt idx="185">
                  <c:v>8.9999999999999998E-4</c:v>
                </c:pt>
                <c:pt idx="186">
                  <c:v>6.9999999999999999E-4</c:v>
                </c:pt>
                <c:pt idx="187">
                  <c:v>8.0000000000000004E-4</c:v>
                </c:pt>
                <c:pt idx="188">
                  <c:v>8.9999999999999998E-4</c:v>
                </c:pt>
                <c:pt idx="189">
                  <c:v>6.9999999999999999E-4</c:v>
                </c:pt>
                <c:pt idx="190">
                  <c:v>6.9999999999999999E-4</c:v>
                </c:pt>
                <c:pt idx="191">
                  <c:v>1.1000000000000001E-3</c:v>
                </c:pt>
                <c:pt idx="192">
                  <c:v>3.0280000000000029E-3</c:v>
                </c:pt>
                <c:pt idx="193">
                  <c:v>5.9999999999999995E-4</c:v>
                </c:pt>
                <c:pt idx="194">
                  <c:v>8.9999999999999998E-4</c:v>
                </c:pt>
                <c:pt idx="195">
                  <c:v>8.0000000000000004E-4</c:v>
                </c:pt>
                <c:pt idx="196">
                  <c:v>4.0000000000000002E-4</c:v>
                </c:pt>
                <c:pt idx="197">
                  <c:v>8.0000000000000004E-4</c:v>
                </c:pt>
                <c:pt idx="198">
                  <c:v>2.9999999999999997E-4</c:v>
                </c:pt>
                <c:pt idx="199">
                  <c:v>8.0000000000000004E-4</c:v>
                </c:pt>
                <c:pt idx="200">
                  <c:v>8.0000000000000004E-4</c:v>
                </c:pt>
                <c:pt idx="201">
                  <c:v>8.9999999999999998E-4</c:v>
                </c:pt>
                <c:pt idx="202">
                  <c:v>8.9999999999999998E-4</c:v>
                </c:pt>
                <c:pt idx="203">
                  <c:v>5.9999999999999995E-4</c:v>
                </c:pt>
                <c:pt idx="204">
                  <c:v>5.9999999999999995E-4</c:v>
                </c:pt>
                <c:pt idx="205">
                  <c:v>4.0000000000000002E-4</c:v>
                </c:pt>
                <c:pt idx="206">
                  <c:v>8.0000000000000004E-4</c:v>
                </c:pt>
                <c:pt idx="207">
                  <c:v>2.9999999999999997E-4</c:v>
                </c:pt>
                <c:pt idx="208">
                  <c:v>5.0000000000000001E-4</c:v>
                </c:pt>
                <c:pt idx="209">
                  <c:v>8.0000000000000004E-4</c:v>
                </c:pt>
                <c:pt idx="210">
                  <c:v>1E-3</c:v>
                </c:pt>
                <c:pt idx="211">
                  <c:v>4.0000000000000002E-4</c:v>
                </c:pt>
                <c:pt idx="212">
                  <c:v>8.0000000000000004E-4</c:v>
                </c:pt>
                <c:pt idx="213">
                  <c:v>8.0000000000000004E-4</c:v>
                </c:pt>
                <c:pt idx="214">
                  <c:v>3.3E-3</c:v>
                </c:pt>
                <c:pt idx="215">
                  <c:v>6.9999999999999999E-4</c:v>
                </c:pt>
                <c:pt idx="216">
                  <c:v>8.9999999999999998E-4</c:v>
                </c:pt>
                <c:pt idx="217">
                  <c:v>1E-3</c:v>
                </c:pt>
                <c:pt idx="218">
                  <c:v>5.9999999999999995E-4</c:v>
                </c:pt>
                <c:pt idx="219">
                  <c:v>8.9999999999999998E-4</c:v>
                </c:pt>
                <c:pt idx="220">
                  <c:v>5.9999999999999995E-4</c:v>
                </c:pt>
                <c:pt idx="221">
                  <c:v>5.9999999999999995E-4</c:v>
                </c:pt>
                <c:pt idx="222">
                  <c:v>5.0000000000000001E-4</c:v>
                </c:pt>
                <c:pt idx="223">
                  <c:v>4.0000000000000002E-4</c:v>
                </c:pt>
                <c:pt idx="224">
                  <c:v>4.0000000000000002E-4</c:v>
                </c:pt>
                <c:pt idx="225">
                  <c:v>3.0999999999999999E-3</c:v>
                </c:pt>
                <c:pt idx="226">
                  <c:v>5.9999999999999995E-4</c:v>
                </c:pt>
                <c:pt idx="227">
                  <c:v>4.0000000000000002E-4</c:v>
                </c:pt>
                <c:pt idx="228">
                  <c:v>8.9999999999999998E-4</c:v>
                </c:pt>
                <c:pt idx="229">
                  <c:v>8.0000000000000004E-4</c:v>
                </c:pt>
                <c:pt idx="230">
                  <c:v>8.0000000000000004E-4</c:v>
                </c:pt>
                <c:pt idx="231">
                  <c:v>2.9999999999999997E-4</c:v>
                </c:pt>
                <c:pt idx="232">
                  <c:v>5.9999999999999995E-4</c:v>
                </c:pt>
                <c:pt idx="233">
                  <c:v>6.9999999999999999E-4</c:v>
                </c:pt>
                <c:pt idx="234">
                  <c:v>8.9999999999999998E-4</c:v>
                </c:pt>
                <c:pt idx="235">
                  <c:v>8.6280000000000037E-3</c:v>
                </c:pt>
                <c:pt idx="236">
                  <c:v>1.1000000000000001E-3</c:v>
                </c:pt>
                <c:pt idx="237">
                  <c:v>5.9999999999999995E-4</c:v>
                </c:pt>
                <c:pt idx="238">
                  <c:v>4.0000000000000002E-4</c:v>
                </c:pt>
                <c:pt idx="239">
                  <c:v>8.0000000000000004E-4</c:v>
                </c:pt>
                <c:pt idx="240">
                  <c:v>5.9999999999999995E-4</c:v>
                </c:pt>
                <c:pt idx="241">
                  <c:v>6.9999999999999999E-4</c:v>
                </c:pt>
                <c:pt idx="242">
                  <c:v>4.0000000000000002E-4</c:v>
                </c:pt>
                <c:pt idx="243">
                  <c:v>1E-3</c:v>
                </c:pt>
                <c:pt idx="244">
                  <c:v>4.4000000000000003E-3</c:v>
                </c:pt>
                <c:pt idx="245">
                  <c:v>6.9999999999999999E-4</c:v>
                </c:pt>
                <c:pt idx="246">
                  <c:v>5.9999999999999995E-4</c:v>
                </c:pt>
                <c:pt idx="247">
                  <c:v>4.0000000000000002E-4</c:v>
                </c:pt>
                <c:pt idx="248">
                  <c:v>4.0000000000000002E-4</c:v>
                </c:pt>
                <c:pt idx="249">
                  <c:v>4.0000000000000002E-4</c:v>
                </c:pt>
                <c:pt idx="250">
                  <c:v>8.9999999999999998E-4</c:v>
                </c:pt>
                <c:pt idx="251">
                  <c:v>5.0000000000000001E-4</c:v>
                </c:pt>
                <c:pt idx="252">
                  <c:v>8.9999999999999998E-4</c:v>
                </c:pt>
                <c:pt idx="253">
                  <c:v>1.7927999999999999E-2</c:v>
                </c:pt>
                <c:pt idx="254">
                  <c:v>5.0000000000000001E-4</c:v>
                </c:pt>
                <c:pt idx="255">
                  <c:v>8.0000000000000004E-4</c:v>
                </c:pt>
                <c:pt idx="256">
                  <c:v>5.0000000000000001E-4</c:v>
                </c:pt>
                <c:pt idx="257">
                  <c:v>4.0000000000000002E-4</c:v>
                </c:pt>
                <c:pt idx="258">
                  <c:v>6.9999999999999999E-4</c:v>
                </c:pt>
                <c:pt idx="259">
                  <c:v>8.9999999999999998E-4</c:v>
                </c:pt>
                <c:pt idx="260">
                  <c:v>1E-3</c:v>
                </c:pt>
                <c:pt idx="261">
                  <c:v>5.0000000000000001E-4</c:v>
                </c:pt>
                <c:pt idx="262">
                  <c:v>8.0000000000000004E-4</c:v>
                </c:pt>
                <c:pt idx="263">
                  <c:v>3.3728000000000008E-2</c:v>
                </c:pt>
                <c:pt idx="264">
                  <c:v>6.9999999999999999E-4</c:v>
                </c:pt>
                <c:pt idx="265">
                  <c:v>2.9999999999999997E-4</c:v>
                </c:pt>
                <c:pt idx="266">
                  <c:v>5.9999999999999995E-4</c:v>
                </c:pt>
                <c:pt idx="267">
                  <c:v>5.0000000000000001E-4</c:v>
                </c:pt>
                <c:pt idx="268">
                  <c:v>5.0000000000000001E-4</c:v>
                </c:pt>
                <c:pt idx="269">
                  <c:v>4.0000000000000002E-4</c:v>
                </c:pt>
                <c:pt idx="270">
                  <c:v>8.9999999999999998E-4</c:v>
                </c:pt>
                <c:pt idx="271">
                  <c:v>8.0000000000000004E-4</c:v>
                </c:pt>
                <c:pt idx="272">
                  <c:v>6.9999999999999999E-4</c:v>
                </c:pt>
                <c:pt idx="273">
                  <c:v>4.0000000000000002E-4</c:v>
                </c:pt>
                <c:pt idx="274">
                  <c:v>3.3999999999999998E-3</c:v>
                </c:pt>
                <c:pt idx="275">
                  <c:v>5.9999999999999995E-4</c:v>
                </c:pt>
                <c:pt idx="276">
                  <c:v>6.9999999999999999E-4</c:v>
                </c:pt>
                <c:pt idx="277">
                  <c:v>8.9999999999999998E-4</c:v>
                </c:pt>
                <c:pt idx="278">
                  <c:v>8.9999999999999998E-4</c:v>
                </c:pt>
                <c:pt idx="279">
                  <c:v>5.9999999999999995E-4</c:v>
                </c:pt>
                <c:pt idx="280">
                  <c:v>8.9999999999999998E-4</c:v>
                </c:pt>
                <c:pt idx="281">
                  <c:v>5.0000000000000001E-4</c:v>
                </c:pt>
                <c:pt idx="282">
                  <c:v>6.9999999999999999E-4</c:v>
                </c:pt>
                <c:pt idx="283">
                  <c:v>8.0000000000000004E-4</c:v>
                </c:pt>
                <c:pt idx="284">
                  <c:v>5.0000000000000001E-4</c:v>
                </c:pt>
                <c:pt idx="285">
                  <c:v>4.0000000000000002E-4</c:v>
                </c:pt>
                <c:pt idx="286">
                  <c:v>8.0000000000000004E-4</c:v>
                </c:pt>
                <c:pt idx="287">
                  <c:v>4.7000000000000002E-3</c:v>
                </c:pt>
                <c:pt idx="288">
                  <c:v>8.9999999999999998E-4</c:v>
                </c:pt>
                <c:pt idx="289">
                  <c:v>5.9999999999999995E-4</c:v>
                </c:pt>
                <c:pt idx="290">
                  <c:v>1.1999999999999999E-3</c:v>
                </c:pt>
                <c:pt idx="291">
                  <c:v>8.0000000000000004E-4</c:v>
                </c:pt>
                <c:pt idx="292">
                  <c:v>8.9999999999999998E-4</c:v>
                </c:pt>
                <c:pt idx="293">
                  <c:v>8.0000000000000004E-4</c:v>
                </c:pt>
                <c:pt idx="294">
                  <c:v>7.1280000000000024E-3</c:v>
                </c:pt>
                <c:pt idx="295">
                  <c:v>2.0728000000000003E-2</c:v>
                </c:pt>
                <c:pt idx="296">
                  <c:v>8.0000000000000004E-4</c:v>
                </c:pt>
                <c:pt idx="297">
                  <c:v>8.0000000000000004E-4</c:v>
                </c:pt>
                <c:pt idx="298">
                  <c:v>6.9999999999999999E-4</c:v>
                </c:pt>
                <c:pt idx="299">
                  <c:v>1E-3</c:v>
                </c:pt>
                <c:pt idx="300">
                  <c:v>6.9999999999999999E-4</c:v>
                </c:pt>
                <c:pt idx="301">
                  <c:v>5.0000000000000001E-4</c:v>
                </c:pt>
                <c:pt idx="302">
                  <c:v>2.9999999999999997E-4</c:v>
                </c:pt>
                <c:pt idx="303">
                  <c:v>2.0000000000000001E-4</c:v>
                </c:pt>
                <c:pt idx="304">
                  <c:v>4.5427999999999996E-2</c:v>
                </c:pt>
                <c:pt idx="305">
                  <c:v>1.1999999999999999E-3</c:v>
                </c:pt>
                <c:pt idx="306">
                  <c:v>8.0000000000000004E-4</c:v>
                </c:pt>
                <c:pt idx="307">
                  <c:v>8.9999999999999998E-4</c:v>
                </c:pt>
                <c:pt idx="308">
                  <c:v>5.0000000000000001E-4</c:v>
                </c:pt>
                <c:pt idx="309">
                  <c:v>5.0000000000000001E-4</c:v>
                </c:pt>
                <c:pt idx="310">
                  <c:v>8.9999999999999998E-4</c:v>
                </c:pt>
                <c:pt idx="311">
                  <c:v>5.9999999999999995E-4</c:v>
                </c:pt>
                <c:pt idx="312">
                  <c:v>1.1999999999999999E-3</c:v>
                </c:pt>
                <c:pt idx="313">
                  <c:v>5.0000000000000001E-4</c:v>
                </c:pt>
                <c:pt idx="314">
                  <c:v>1.0128000000000005E-2</c:v>
                </c:pt>
                <c:pt idx="315">
                  <c:v>6.9999999999999999E-4</c:v>
                </c:pt>
                <c:pt idx="316">
                  <c:v>1.1999999999999999E-3</c:v>
                </c:pt>
                <c:pt idx="317">
                  <c:v>5.0000000000000001E-4</c:v>
                </c:pt>
                <c:pt idx="318">
                  <c:v>1E-3</c:v>
                </c:pt>
                <c:pt idx="319">
                  <c:v>5.0000000000000001E-4</c:v>
                </c:pt>
                <c:pt idx="320">
                  <c:v>6.9999999999999999E-4</c:v>
                </c:pt>
                <c:pt idx="321">
                  <c:v>1.1000000000000001E-3</c:v>
                </c:pt>
                <c:pt idx="322">
                  <c:v>8.0000000000000004E-4</c:v>
                </c:pt>
                <c:pt idx="323">
                  <c:v>6.9999999999999999E-4</c:v>
                </c:pt>
                <c:pt idx="324">
                  <c:v>2.8999999999999998E-3</c:v>
                </c:pt>
                <c:pt idx="325">
                  <c:v>5.0000000000000001E-4</c:v>
                </c:pt>
                <c:pt idx="326">
                  <c:v>5.9999999999999995E-4</c:v>
                </c:pt>
                <c:pt idx="327">
                  <c:v>2.9999999999999997E-4</c:v>
                </c:pt>
                <c:pt idx="328">
                  <c:v>8.9999999999999998E-4</c:v>
                </c:pt>
                <c:pt idx="329">
                  <c:v>5.0000000000000001E-4</c:v>
                </c:pt>
                <c:pt idx="330">
                  <c:v>1E-3</c:v>
                </c:pt>
                <c:pt idx="331">
                  <c:v>5.9999999999999995E-4</c:v>
                </c:pt>
                <c:pt idx="332">
                  <c:v>1E-3</c:v>
                </c:pt>
                <c:pt idx="333">
                  <c:v>6.9999999999999999E-4</c:v>
                </c:pt>
                <c:pt idx="334">
                  <c:v>8.0000000000000004E-4</c:v>
                </c:pt>
                <c:pt idx="335">
                  <c:v>2.8E-3</c:v>
                </c:pt>
                <c:pt idx="336">
                  <c:v>2.9999999999999997E-4</c:v>
                </c:pt>
                <c:pt idx="337">
                  <c:v>5.0000000000000001E-4</c:v>
                </c:pt>
                <c:pt idx="338">
                  <c:v>8.9999999999999998E-4</c:v>
                </c:pt>
                <c:pt idx="339">
                  <c:v>6.9999999999999999E-4</c:v>
                </c:pt>
                <c:pt idx="340">
                  <c:v>6.9999999999999999E-4</c:v>
                </c:pt>
                <c:pt idx="341">
                  <c:v>8.7279999999999996E-3</c:v>
                </c:pt>
                <c:pt idx="342">
                  <c:v>2.8328000000000006E-2</c:v>
                </c:pt>
                <c:pt idx="343">
                  <c:v>3.0328000000000008E-2</c:v>
                </c:pt>
                <c:pt idx="344">
                  <c:v>1.4928000000000004E-2</c:v>
                </c:pt>
                <c:pt idx="345">
                  <c:v>4.1000000000000003E-3</c:v>
                </c:pt>
                <c:pt idx="346">
                  <c:v>1.5028E-2</c:v>
                </c:pt>
                <c:pt idx="347">
                  <c:v>1.9928000000000001E-2</c:v>
                </c:pt>
                <c:pt idx="348">
                  <c:v>3.1028E-2</c:v>
                </c:pt>
                <c:pt idx="349">
                  <c:v>1.3128000000000001E-2</c:v>
                </c:pt>
                <c:pt idx="350">
                  <c:v>2.3028E-2</c:v>
                </c:pt>
                <c:pt idx="351">
                  <c:v>4.7999999999999996E-3</c:v>
                </c:pt>
                <c:pt idx="352">
                  <c:v>3.5000000000000001E-3</c:v>
                </c:pt>
                <c:pt idx="353">
                  <c:v>3.0000000000000001E-3</c:v>
                </c:pt>
                <c:pt idx="354">
                  <c:v>2.9527999999999999E-2</c:v>
                </c:pt>
                <c:pt idx="355">
                  <c:v>3.2000000000000002E-3</c:v>
                </c:pt>
                <c:pt idx="356">
                  <c:v>1.8E-3</c:v>
                </c:pt>
                <c:pt idx="357">
                  <c:v>3.0000000000000001E-3</c:v>
                </c:pt>
                <c:pt idx="358">
                  <c:v>3.7000000000000002E-3</c:v>
                </c:pt>
                <c:pt idx="359">
                  <c:v>4.1000000000000003E-3</c:v>
                </c:pt>
                <c:pt idx="360">
                  <c:v>2.9999999999999997E-4</c:v>
                </c:pt>
                <c:pt idx="361">
                  <c:v>4.5999999999999999E-3</c:v>
                </c:pt>
                <c:pt idx="362">
                  <c:v>5.9999999999999995E-4</c:v>
                </c:pt>
                <c:pt idx="363">
                  <c:v>6.9999999999999999E-4</c:v>
                </c:pt>
                <c:pt idx="364">
                  <c:v>4.1279999999999997E-3</c:v>
                </c:pt>
                <c:pt idx="365">
                  <c:v>1.1000000000000001E-3</c:v>
                </c:pt>
                <c:pt idx="366">
                  <c:v>1.5E-3</c:v>
                </c:pt>
                <c:pt idx="367">
                  <c:v>1.6999999999999999E-3</c:v>
                </c:pt>
                <c:pt idx="368">
                  <c:v>1E-3</c:v>
                </c:pt>
                <c:pt idx="369">
                  <c:v>6.9999999999999999E-4</c:v>
                </c:pt>
                <c:pt idx="370">
                  <c:v>8.0000000000000004E-4</c:v>
                </c:pt>
                <c:pt idx="371">
                  <c:v>6.9999999999999999E-4</c:v>
                </c:pt>
                <c:pt idx="372">
                  <c:v>6.9999999999999999E-4</c:v>
                </c:pt>
                <c:pt idx="373">
                  <c:v>3.3E-3</c:v>
                </c:pt>
                <c:pt idx="374">
                  <c:v>8.0000000000000004E-4</c:v>
                </c:pt>
                <c:pt idx="375">
                  <c:v>2.8280000000000041E-3</c:v>
                </c:pt>
                <c:pt idx="376">
                  <c:v>1.2999999999999999E-3</c:v>
                </c:pt>
                <c:pt idx="377">
                  <c:v>6.9999999999999999E-4</c:v>
                </c:pt>
                <c:pt idx="378">
                  <c:v>1.6000000000000001E-3</c:v>
                </c:pt>
                <c:pt idx="379">
                  <c:v>1.2999999999999999E-3</c:v>
                </c:pt>
                <c:pt idx="380">
                  <c:v>8.9999999999999998E-4</c:v>
                </c:pt>
                <c:pt idx="381">
                  <c:v>1.9E-3</c:v>
                </c:pt>
                <c:pt idx="382">
                  <c:v>2.5999999999999999E-3</c:v>
                </c:pt>
                <c:pt idx="383">
                  <c:v>6.9999999999999999E-4</c:v>
                </c:pt>
                <c:pt idx="384">
                  <c:v>6.9999999999999999E-4</c:v>
                </c:pt>
                <c:pt idx="385">
                  <c:v>3.3999999999999998E-3</c:v>
                </c:pt>
                <c:pt idx="386">
                  <c:v>4.7000000000000002E-3</c:v>
                </c:pt>
                <c:pt idx="387">
                  <c:v>5.0000000000000001E-4</c:v>
                </c:pt>
                <c:pt idx="388">
                  <c:v>6.9999999999999999E-4</c:v>
                </c:pt>
                <c:pt idx="389">
                  <c:v>4.8999999999999998E-3</c:v>
                </c:pt>
                <c:pt idx="390">
                  <c:v>4.1999999999999997E-3</c:v>
                </c:pt>
                <c:pt idx="391">
                  <c:v>6.9999999999999999E-4</c:v>
                </c:pt>
                <c:pt idx="392">
                  <c:v>3.0000000000000001E-3</c:v>
                </c:pt>
                <c:pt idx="393">
                  <c:v>7.3000000000000001E-3</c:v>
                </c:pt>
                <c:pt idx="394">
                  <c:v>5.9999999999999995E-4</c:v>
                </c:pt>
                <c:pt idx="395">
                  <c:v>8.9999999999999998E-4</c:v>
                </c:pt>
                <c:pt idx="396">
                  <c:v>2.3E-3</c:v>
                </c:pt>
                <c:pt idx="397">
                  <c:v>5.3E-3</c:v>
                </c:pt>
                <c:pt idx="398">
                  <c:v>4.1999999999999997E-3</c:v>
                </c:pt>
                <c:pt idx="399">
                  <c:v>8.2000000000000007E-3</c:v>
                </c:pt>
                <c:pt idx="400">
                  <c:v>5.9999999999999995E-4</c:v>
                </c:pt>
                <c:pt idx="401">
                  <c:v>6.1000000000000004E-3</c:v>
                </c:pt>
                <c:pt idx="402">
                  <c:v>6.0000000000000001E-3</c:v>
                </c:pt>
                <c:pt idx="403">
                  <c:v>5.1999999999999998E-3</c:v>
                </c:pt>
                <c:pt idx="404">
                  <c:v>5.9999999999999995E-4</c:v>
                </c:pt>
                <c:pt idx="405">
                  <c:v>8.9999999999999998E-4</c:v>
                </c:pt>
                <c:pt idx="406">
                  <c:v>5.4000000000000003E-3</c:v>
                </c:pt>
                <c:pt idx="407">
                  <c:v>1.1728000000000002E-2</c:v>
                </c:pt>
                <c:pt idx="408">
                  <c:v>5.0000000000000001E-4</c:v>
                </c:pt>
                <c:pt idx="409">
                  <c:v>3.5999999999999999E-3</c:v>
                </c:pt>
                <c:pt idx="410">
                  <c:v>4.0000000000000002E-4</c:v>
                </c:pt>
                <c:pt idx="411">
                  <c:v>8.0000000000000004E-4</c:v>
                </c:pt>
                <c:pt idx="412">
                  <c:v>5.9999999999999995E-4</c:v>
                </c:pt>
                <c:pt idx="413">
                  <c:v>4.0000000000000002E-4</c:v>
                </c:pt>
                <c:pt idx="414">
                  <c:v>5.0000000000000001E-4</c:v>
                </c:pt>
                <c:pt idx="415">
                  <c:v>5.9999999999999995E-4</c:v>
                </c:pt>
                <c:pt idx="416">
                  <c:v>2.0000000000000001E-4</c:v>
                </c:pt>
                <c:pt idx="417">
                  <c:v>5.0000000000000001E-4</c:v>
                </c:pt>
              </c:numCache>
            </c:numRef>
          </c:xVal>
          <c:yVal>
            <c:numRef>
              <c:f>'CSIRO-australia'!$P$2:$P$419</c:f>
              <c:numCache>
                <c:formatCode>General</c:formatCode>
                <c:ptCount val="418"/>
                <c:pt idx="0">
                  <c:v>10.208</c:v>
                </c:pt>
                <c:pt idx="1">
                  <c:v>7.008</c:v>
                </c:pt>
                <c:pt idx="2">
                  <c:v>7.1849999999999996</c:v>
                </c:pt>
                <c:pt idx="3">
                  <c:v>7.1130000000000004</c:v>
                </c:pt>
                <c:pt idx="4">
                  <c:v>7.3</c:v>
                </c:pt>
                <c:pt idx="5">
                  <c:v>5.2539999999999996</c:v>
                </c:pt>
                <c:pt idx="6">
                  <c:v>7.1879999999999997</c:v>
                </c:pt>
                <c:pt idx="7">
                  <c:v>4.8319999999999999</c:v>
                </c:pt>
                <c:pt idx="8">
                  <c:v>6.2889999999999997</c:v>
                </c:pt>
                <c:pt idx="9">
                  <c:v>7.5810000000000004</c:v>
                </c:pt>
                <c:pt idx="10">
                  <c:v>6.7050000000000001</c:v>
                </c:pt>
                <c:pt idx="11">
                  <c:v>6.4720000000000004</c:v>
                </c:pt>
                <c:pt idx="12">
                  <c:v>6.5039999999999996</c:v>
                </c:pt>
                <c:pt idx="13">
                  <c:v>6.4850000000000003</c:v>
                </c:pt>
                <c:pt idx="14">
                  <c:v>4.6970000000000001</c:v>
                </c:pt>
                <c:pt idx="15">
                  <c:v>4.4640000000000004</c:v>
                </c:pt>
                <c:pt idx="16">
                  <c:v>16.423999999999999</c:v>
                </c:pt>
                <c:pt idx="17">
                  <c:v>16.533999999999999</c:v>
                </c:pt>
                <c:pt idx="18">
                  <c:v>14.169</c:v>
                </c:pt>
                <c:pt idx="19">
                  <c:v>8.0289999999999999</c:v>
                </c:pt>
                <c:pt idx="20">
                  <c:v>16.988</c:v>
                </c:pt>
                <c:pt idx="21">
                  <c:v>17.416</c:v>
                </c:pt>
                <c:pt idx="22">
                  <c:v>19.248999999999999</c:v>
                </c:pt>
                <c:pt idx="23">
                  <c:v>10.66</c:v>
                </c:pt>
                <c:pt idx="24">
                  <c:v>10.676</c:v>
                </c:pt>
                <c:pt idx="25">
                  <c:v>11.388999999999999</c:v>
                </c:pt>
                <c:pt idx="26">
                  <c:v>17.029</c:v>
                </c:pt>
                <c:pt idx="27">
                  <c:v>20.170999999999999</c:v>
                </c:pt>
                <c:pt idx="28">
                  <c:v>8.1449999999999996</c:v>
                </c:pt>
                <c:pt idx="29">
                  <c:v>7.5650000000000004</c:v>
                </c:pt>
                <c:pt idx="30">
                  <c:v>13.173</c:v>
                </c:pt>
                <c:pt idx="31">
                  <c:v>6.0529999999999999</c:v>
                </c:pt>
                <c:pt idx="32">
                  <c:v>7.6639999999999997</c:v>
                </c:pt>
                <c:pt idx="33">
                  <c:v>8.7810000000000006</c:v>
                </c:pt>
                <c:pt idx="34">
                  <c:v>6.5830000000000002</c:v>
                </c:pt>
                <c:pt idx="35">
                  <c:v>11.183999999999999</c:v>
                </c:pt>
                <c:pt idx="36">
                  <c:v>11.103999999999999</c:v>
                </c:pt>
                <c:pt idx="37">
                  <c:v>7.6929999999999996</c:v>
                </c:pt>
                <c:pt idx="38">
                  <c:v>7.9260000000000002</c:v>
                </c:pt>
                <c:pt idx="39">
                  <c:v>19.812999999999999</c:v>
                </c:pt>
                <c:pt idx="40">
                  <c:v>7.2039999999999997</c:v>
                </c:pt>
                <c:pt idx="41">
                  <c:v>7.6719999999999997</c:v>
                </c:pt>
                <c:pt idx="42">
                  <c:v>7.7149999999999999</c:v>
                </c:pt>
                <c:pt idx="43">
                  <c:v>6.7249999999999996</c:v>
                </c:pt>
                <c:pt idx="44">
                  <c:v>7.1</c:v>
                </c:pt>
                <c:pt idx="45">
                  <c:v>7.4850000000000003</c:v>
                </c:pt>
                <c:pt idx="46">
                  <c:v>7.0650000000000004</c:v>
                </c:pt>
                <c:pt idx="47">
                  <c:v>5.7469999999999999</c:v>
                </c:pt>
                <c:pt idx="48">
                  <c:v>7.1829999999999998</c:v>
                </c:pt>
                <c:pt idx="49">
                  <c:v>6.6760000000000002</c:v>
                </c:pt>
                <c:pt idx="50">
                  <c:v>7.0780000000000003</c:v>
                </c:pt>
                <c:pt idx="51">
                  <c:v>6.8769999999999998</c:v>
                </c:pt>
                <c:pt idx="52">
                  <c:v>6.4249999999999998</c:v>
                </c:pt>
                <c:pt idx="53">
                  <c:v>5.4379999999999997</c:v>
                </c:pt>
                <c:pt idx="54">
                  <c:v>19.847999999999999</c:v>
                </c:pt>
                <c:pt idx="55">
                  <c:v>15.081</c:v>
                </c:pt>
                <c:pt idx="56">
                  <c:v>12.577999999999999</c:v>
                </c:pt>
                <c:pt idx="57">
                  <c:v>14.403</c:v>
                </c:pt>
                <c:pt idx="58">
                  <c:v>18.591999999999999</c:v>
                </c:pt>
                <c:pt idx="59">
                  <c:v>15.637</c:v>
                </c:pt>
                <c:pt idx="60">
                  <c:v>9.36</c:v>
                </c:pt>
                <c:pt idx="61">
                  <c:v>14.7</c:v>
                </c:pt>
                <c:pt idx="62">
                  <c:v>11.919</c:v>
                </c:pt>
                <c:pt idx="63">
                  <c:v>10.935</c:v>
                </c:pt>
                <c:pt idx="64">
                  <c:v>13.029</c:v>
                </c:pt>
                <c:pt idx="65">
                  <c:v>6.09</c:v>
                </c:pt>
                <c:pt idx="66">
                  <c:v>6.4729999999999999</c:v>
                </c:pt>
                <c:pt idx="67">
                  <c:v>5.9349999999999996</c:v>
                </c:pt>
                <c:pt idx="68">
                  <c:v>8.4390000000000001</c:v>
                </c:pt>
                <c:pt idx="69">
                  <c:v>6.0780000000000003</c:v>
                </c:pt>
                <c:pt idx="70">
                  <c:v>7.7720000000000002</c:v>
                </c:pt>
                <c:pt idx="71">
                  <c:v>12.224</c:v>
                </c:pt>
                <c:pt idx="72">
                  <c:v>7.1980000000000004</c:v>
                </c:pt>
                <c:pt idx="73">
                  <c:v>7.1539999999999999</c:v>
                </c:pt>
                <c:pt idx="74">
                  <c:v>6.2789999999999999</c:v>
                </c:pt>
                <c:pt idx="75">
                  <c:v>7.2279999999999998</c:v>
                </c:pt>
                <c:pt idx="76">
                  <c:v>6.3419999999999996</c:v>
                </c:pt>
                <c:pt idx="77">
                  <c:v>7.5570000000000004</c:v>
                </c:pt>
                <c:pt idx="78">
                  <c:v>9.86</c:v>
                </c:pt>
                <c:pt idx="79">
                  <c:v>12.893000000000001</c:v>
                </c:pt>
                <c:pt idx="80">
                  <c:v>6.5629999999999997</c:v>
                </c:pt>
                <c:pt idx="81">
                  <c:v>10.436999999999999</c:v>
                </c:pt>
                <c:pt idx="82">
                  <c:v>5.8680000000000003</c:v>
                </c:pt>
                <c:pt idx="83">
                  <c:v>5.75</c:v>
                </c:pt>
                <c:pt idx="84">
                  <c:v>7.2329999999999997</c:v>
                </c:pt>
                <c:pt idx="85">
                  <c:v>5.7839999999999998</c:v>
                </c:pt>
                <c:pt idx="86">
                  <c:v>6.8689999999999998</c:v>
                </c:pt>
                <c:pt idx="87">
                  <c:v>6.3220000000000001</c:v>
                </c:pt>
                <c:pt idx="88">
                  <c:v>5.7080000000000002</c:v>
                </c:pt>
                <c:pt idx="89">
                  <c:v>6.8049999999999997</c:v>
                </c:pt>
                <c:pt idx="90">
                  <c:v>6.2370000000000001</c:v>
                </c:pt>
                <c:pt idx="91">
                  <c:v>7.51</c:v>
                </c:pt>
                <c:pt idx="92">
                  <c:v>10.942</c:v>
                </c:pt>
                <c:pt idx="93">
                  <c:v>6.5620000000000003</c:v>
                </c:pt>
                <c:pt idx="94">
                  <c:v>7.1429999999999998</c:v>
                </c:pt>
                <c:pt idx="95">
                  <c:v>6.5780000000000003</c:v>
                </c:pt>
                <c:pt idx="96">
                  <c:v>6.968</c:v>
                </c:pt>
                <c:pt idx="97">
                  <c:v>5.9409999999999998</c:v>
                </c:pt>
                <c:pt idx="98">
                  <c:v>5.3579999999999997</c:v>
                </c:pt>
                <c:pt idx="99">
                  <c:v>8.2149999999999999</c:v>
                </c:pt>
                <c:pt idx="100">
                  <c:v>5.3810000000000002</c:v>
                </c:pt>
                <c:pt idx="101">
                  <c:v>6.524</c:v>
                </c:pt>
                <c:pt idx="102">
                  <c:v>5.9509999999999996</c:v>
                </c:pt>
                <c:pt idx="103">
                  <c:v>10.077999999999999</c:v>
                </c:pt>
                <c:pt idx="104">
                  <c:v>6.36</c:v>
                </c:pt>
                <c:pt idx="105">
                  <c:v>7.3739999999999997</c:v>
                </c:pt>
                <c:pt idx="106">
                  <c:v>5.6180000000000003</c:v>
                </c:pt>
                <c:pt idx="107">
                  <c:v>6.0359999999999996</c:v>
                </c:pt>
                <c:pt idx="108">
                  <c:v>6.9489999999999998</c:v>
                </c:pt>
                <c:pt idx="109">
                  <c:v>7.5110000000000001</c:v>
                </c:pt>
                <c:pt idx="110">
                  <c:v>7.0570000000000004</c:v>
                </c:pt>
                <c:pt idx="111">
                  <c:v>6.7629999999999999</c:v>
                </c:pt>
                <c:pt idx="112">
                  <c:v>6.5540000000000003</c:v>
                </c:pt>
                <c:pt idx="113">
                  <c:v>6.9660000000000002</c:v>
                </c:pt>
                <c:pt idx="114">
                  <c:v>9.82</c:v>
                </c:pt>
                <c:pt idx="115">
                  <c:v>8.3659999999999997</c:v>
                </c:pt>
                <c:pt idx="116">
                  <c:v>6.8979999999999997</c:v>
                </c:pt>
                <c:pt idx="117">
                  <c:v>5.5739999999999998</c:v>
                </c:pt>
                <c:pt idx="118">
                  <c:v>7.3680000000000003</c:v>
                </c:pt>
                <c:pt idx="119">
                  <c:v>6.5030000000000001</c:v>
                </c:pt>
                <c:pt idx="120">
                  <c:v>5.6230000000000002</c:v>
                </c:pt>
                <c:pt idx="121">
                  <c:v>6.5890000000000004</c:v>
                </c:pt>
                <c:pt idx="122">
                  <c:v>6.4249999999999998</c:v>
                </c:pt>
                <c:pt idx="123">
                  <c:v>6.6029999999999998</c:v>
                </c:pt>
                <c:pt idx="124">
                  <c:v>7.6980000000000004</c:v>
                </c:pt>
                <c:pt idx="125">
                  <c:v>21.079000000000001</c:v>
                </c:pt>
                <c:pt idx="126">
                  <c:v>6.2809999999999997</c:v>
                </c:pt>
                <c:pt idx="127">
                  <c:v>9.2370000000000001</c:v>
                </c:pt>
                <c:pt idx="128">
                  <c:v>6.9630000000000001</c:v>
                </c:pt>
                <c:pt idx="129">
                  <c:v>4.8769999999999998</c:v>
                </c:pt>
                <c:pt idx="130">
                  <c:v>5.7350000000000003</c:v>
                </c:pt>
                <c:pt idx="131">
                  <c:v>6.6769999999999996</c:v>
                </c:pt>
                <c:pt idx="132">
                  <c:v>8.923</c:v>
                </c:pt>
                <c:pt idx="133">
                  <c:v>6.4279999999999999</c:v>
                </c:pt>
                <c:pt idx="134">
                  <c:v>9.4740000000000002</c:v>
                </c:pt>
                <c:pt idx="135">
                  <c:v>6.2080000000000002</c:v>
                </c:pt>
                <c:pt idx="136">
                  <c:v>16.378</c:v>
                </c:pt>
                <c:pt idx="137">
                  <c:v>6.3739999999999997</c:v>
                </c:pt>
                <c:pt idx="138">
                  <c:v>10.731</c:v>
                </c:pt>
                <c:pt idx="139">
                  <c:v>7.06</c:v>
                </c:pt>
                <c:pt idx="140">
                  <c:v>6.7060000000000004</c:v>
                </c:pt>
                <c:pt idx="141">
                  <c:v>6.8609999999999998</c:v>
                </c:pt>
                <c:pt idx="142">
                  <c:v>4.8319999999999999</c:v>
                </c:pt>
                <c:pt idx="143">
                  <c:v>5.8239999999999998</c:v>
                </c:pt>
                <c:pt idx="144">
                  <c:v>5.1879999999999997</c:v>
                </c:pt>
                <c:pt idx="145">
                  <c:v>6.5279999999999996</c:v>
                </c:pt>
                <c:pt idx="146">
                  <c:v>6.4340000000000002</c:v>
                </c:pt>
                <c:pt idx="147">
                  <c:v>5.7060000000000004</c:v>
                </c:pt>
                <c:pt idx="148">
                  <c:v>7.0819999999999999</c:v>
                </c:pt>
                <c:pt idx="149">
                  <c:v>6.4009999999999998</c:v>
                </c:pt>
                <c:pt idx="150">
                  <c:v>8.4420000000000002</c:v>
                </c:pt>
                <c:pt idx="151">
                  <c:v>6.3470000000000004</c:v>
                </c:pt>
                <c:pt idx="152">
                  <c:v>5.141</c:v>
                </c:pt>
                <c:pt idx="153">
                  <c:v>5.8780000000000001</c:v>
                </c:pt>
                <c:pt idx="154">
                  <c:v>5.6079999999999997</c:v>
                </c:pt>
                <c:pt idx="155">
                  <c:v>6.1560000000000006</c:v>
                </c:pt>
                <c:pt idx="156">
                  <c:v>6.088000000000001</c:v>
                </c:pt>
                <c:pt idx="157">
                  <c:v>6.0579999999999998</c:v>
                </c:pt>
                <c:pt idx="158">
                  <c:v>5.7010000000000005</c:v>
                </c:pt>
                <c:pt idx="159">
                  <c:v>7.3839999999999995</c:v>
                </c:pt>
                <c:pt idx="160">
                  <c:v>8.3640000000000008</c:v>
                </c:pt>
                <c:pt idx="161">
                  <c:v>6.6040000000000001</c:v>
                </c:pt>
                <c:pt idx="162">
                  <c:v>5.0009999999999994</c:v>
                </c:pt>
                <c:pt idx="163">
                  <c:v>5.968</c:v>
                </c:pt>
                <c:pt idx="164">
                  <c:v>7.0389999999999997</c:v>
                </c:pt>
                <c:pt idx="165">
                  <c:v>6.3339999999999996</c:v>
                </c:pt>
                <c:pt idx="166">
                  <c:v>5.6509999999999998</c:v>
                </c:pt>
                <c:pt idx="167">
                  <c:v>6.5169999999999995</c:v>
                </c:pt>
                <c:pt idx="168">
                  <c:v>6.2229999999999999</c:v>
                </c:pt>
                <c:pt idx="169">
                  <c:v>7.0589999999999993</c:v>
                </c:pt>
                <c:pt idx="170">
                  <c:v>5.8360000000000003</c:v>
                </c:pt>
                <c:pt idx="171">
                  <c:v>8.9209999999999994</c:v>
                </c:pt>
                <c:pt idx="172">
                  <c:v>6.0139999999999993</c:v>
                </c:pt>
                <c:pt idx="173">
                  <c:v>6.2839999999999998</c:v>
                </c:pt>
                <c:pt idx="174">
                  <c:v>6.202</c:v>
                </c:pt>
                <c:pt idx="175">
                  <c:v>5.8289999999999997</c:v>
                </c:pt>
                <c:pt idx="176">
                  <c:v>6.4809999999999999</c:v>
                </c:pt>
                <c:pt idx="177">
                  <c:v>4.867</c:v>
                </c:pt>
                <c:pt idx="178">
                  <c:v>5.9849999999999994</c:v>
                </c:pt>
                <c:pt idx="179">
                  <c:v>6.415</c:v>
                </c:pt>
                <c:pt idx="180">
                  <c:v>6.149</c:v>
                </c:pt>
                <c:pt idx="181">
                  <c:v>6.9049999999999994</c:v>
                </c:pt>
                <c:pt idx="182">
                  <c:v>11.071999999999999</c:v>
                </c:pt>
                <c:pt idx="183">
                  <c:v>7.1400000000000006</c:v>
                </c:pt>
                <c:pt idx="184">
                  <c:v>6.2969999999999997</c:v>
                </c:pt>
                <c:pt idx="185">
                  <c:v>6.0170000000000003</c:v>
                </c:pt>
                <c:pt idx="186">
                  <c:v>6.4939999999999998</c:v>
                </c:pt>
                <c:pt idx="187">
                  <c:v>6.2949999999999999</c:v>
                </c:pt>
                <c:pt idx="188">
                  <c:v>7.2680000000000007</c:v>
                </c:pt>
                <c:pt idx="189">
                  <c:v>6.58</c:v>
                </c:pt>
                <c:pt idx="190">
                  <c:v>5.9260000000000002</c:v>
                </c:pt>
                <c:pt idx="191">
                  <c:v>6.423</c:v>
                </c:pt>
                <c:pt idx="192">
                  <c:v>9.6440000000000001</c:v>
                </c:pt>
                <c:pt idx="193">
                  <c:v>5.17</c:v>
                </c:pt>
                <c:pt idx="194">
                  <c:v>6.2810000000000006</c:v>
                </c:pt>
                <c:pt idx="195">
                  <c:v>6.3810000000000002</c:v>
                </c:pt>
                <c:pt idx="196">
                  <c:v>5.3169999999999993</c:v>
                </c:pt>
                <c:pt idx="197">
                  <c:v>6.6909999999999998</c:v>
                </c:pt>
                <c:pt idx="198">
                  <c:v>4.9390000000000001</c:v>
                </c:pt>
                <c:pt idx="199">
                  <c:v>6.6080000000000005</c:v>
                </c:pt>
                <c:pt idx="200">
                  <c:v>6.4539999999999997</c:v>
                </c:pt>
                <c:pt idx="201">
                  <c:v>6.57</c:v>
                </c:pt>
                <c:pt idx="202">
                  <c:v>6.4430000000000005</c:v>
                </c:pt>
                <c:pt idx="203">
                  <c:v>6.0569999999999995</c:v>
                </c:pt>
                <c:pt idx="204">
                  <c:v>5.4459999999999997</c:v>
                </c:pt>
                <c:pt idx="205">
                  <c:v>4.9980000000000002</c:v>
                </c:pt>
                <c:pt idx="206">
                  <c:v>6.343</c:v>
                </c:pt>
                <c:pt idx="207">
                  <c:v>4.5060000000000002</c:v>
                </c:pt>
                <c:pt idx="208">
                  <c:v>5.6970000000000001</c:v>
                </c:pt>
                <c:pt idx="209">
                  <c:v>6.0629999999999997</c:v>
                </c:pt>
                <c:pt idx="210">
                  <c:v>6.7959999999999994</c:v>
                </c:pt>
                <c:pt idx="211">
                  <c:v>5.0529999999999999</c:v>
                </c:pt>
                <c:pt idx="212">
                  <c:v>6.9889999999999999</c:v>
                </c:pt>
                <c:pt idx="213">
                  <c:v>6.6560000000000006</c:v>
                </c:pt>
                <c:pt idx="214">
                  <c:v>8.0830000000000002</c:v>
                </c:pt>
                <c:pt idx="215">
                  <c:v>6.0820000000000007</c:v>
                </c:pt>
                <c:pt idx="216">
                  <c:v>6.9576999999999991</c:v>
                </c:pt>
                <c:pt idx="217">
                  <c:v>6.7949999999999999</c:v>
                </c:pt>
                <c:pt idx="218">
                  <c:v>6.3659999999999997</c:v>
                </c:pt>
                <c:pt idx="219">
                  <c:v>6.4529999999999994</c:v>
                </c:pt>
                <c:pt idx="220">
                  <c:v>6.1940000000000008</c:v>
                </c:pt>
                <c:pt idx="221">
                  <c:v>6.484</c:v>
                </c:pt>
                <c:pt idx="222">
                  <c:v>5.23</c:v>
                </c:pt>
                <c:pt idx="223">
                  <c:v>5.327</c:v>
                </c:pt>
                <c:pt idx="224">
                  <c:v>4.8390000000000004</c:v>
                </c:pt>
                <c:pt idx="225">
                  <c:v>8.4830000000000005</c:v>
                </c:pt>
                <c:pt idx="226">
                  <c:v>6.7439999999999998</c:v>
                </c:pt>
                <c:pt idx="227">
                  <c:v>6.1840000000000011</c:v>
                </c:pt>
                <c:pt idx="228">
                  <c:v>6.6579999999999995</c:v>
                </c:pt>
                <c:pt idx="229">
                  <c:v>6.681</c:v>
                </c:pt>
                <c:pt idx="230">
                  <c:v>6.2749999999999995</c:v>
                </c:pt>
                <c:pt idx="231">
                  <c:v>5.1750000000000007</c:v>
                </c:pt>
                <c:pt idx="232">
                  <c:v>6.01</c:v>
                </c:pt>
                <c:pt idx="233">
                  <c:v>6.4470000000000001</c:v>
                </c:pt>
                <c:pt idx="234">
                  <c:v>5.9390000000000001</c:v>
                </c:pt>
                <c:pt idx="235">
                  <c:v>14.101000000000001</c:v>
                </c:pt>
                <c:pt idx="236">
                  <c:v>5.7290000000000001</c:v>
                </c:pt>
                <c:pt idx="237">
                  <c:v>6.4870000000000001</c:v>
                </c:pt>
                <c:pt idx="238">
                  <c:v>5.0659999999999998</c:v>
                </c:pt>
                <c:pt idx="239">
                  <c:v>6.3090000000000002</c:v>
                </c:pt>
                <c:pt idx="240">
                  <c:v>5.7450000000000001</c:v>
                </c:pt>
                <c:pt idx="241">
                  <c:v>5.8010000000000002</c:v>
                </c:pt>
                <c:pt idx="242">
                  <c:v>5.2571000000000003</c:v>
                </c:pt>
                <c:pt idx="243">
                  <c:v>6.2009999999999996</c:v>
                </c:pt>
                <c:pt idx="244">
                  <c:v>9.5879999999999992</c:v>
                </c:pt>
                <c:pt idx="245">
                  <c:v>6.0370000000000008</c:v>
                </c:pt>
                <c:pt idx="246">
                  <c:v>4.7450000000000001</c:v>
                </c:pt>
                <c:pt idx="247">
                  <c:v>5.2969999999999997</c:v>
                </c:pt>
                <c:pt idx="248">
                  <c:v>6.0359999999999996</c:v>
                </c:pt>
                <c:pt idx="249">
                  <c:v>6.1710000000000003</c:v>
                </c:pt>
                <c:pt idx="250">
                  <c:v>6.6879999999999997</c:v>
                </c:pt>
                <c:pt idx="251">
                  <c:v>6.399</c:v>
                </c:pt>
                <c:pt idx="252">
                  <c:v>6.1840000000000002</c:v>
                </c:pt>
                <c:pt idx="253">
                  <c:v>19.385999999999999</c:v>
                </c:pt>
                <c:pt idx="254">
                  <c:v>5.13</c:v>
                </c:pt>
                <c:pt idx="255">
                  <c:v>6.5820000000000007</c:v>
                </c:pt>
                <c:pt idx="256">
                  <c:v>5.1470000000000002</c:v>
                </c:pt>
                <c:pt idx="257">
                  <c:v>4.9939999999999998</c:v>
                </c:pt>
                <c:pt idx="258">
                  <c:v>5.9939999999999998</c:v>
                </c:pt>
                <c:pt idx="259">
                  <c:v>5.8129999999999997</c:v>
                </c:pt>
                <c:pt idx="260">
                  <c:v>5.9550000000000001</c:v>
                </c:pt>
                <c:pt idx="261">
                  <c:v>6.6849999999999996</c:v>
                </c:pt>
                <c:pt idx="262">
                  <c:v>6.2519999999999998</c:v>
                </c:pt>
                <c:pt idx="263">
                  <c:v>19.138999999999999</c:v>
                </c:pt>
                <c:pt idx="264">
                  <c:v>5.5949999999999998</c:v>
                </c:pt>
                <c:pt idx="265">
                  <c:v>5.4489999999999998</c:v>
                </c:pt>
                <c:pt idx="266">
                  <c:v>5.726</c:v>
                </c:pt>
                <c:pt idx="267">
                  <c:v>4.5979999999999999</c:v>
                </c:pt>
                <c:pt idx="268">
                  <c:v>6.6929999999999996</c:v>
                </c:pt>
                <c:pt idx="269">
                  <c:v>5.5949999999999998</c:v>
                </c:pt>
                <c:pt idx="270">
                  <c:v>5.8860000000000001</c:v>
                </c:pt>
                <c:pt idx="271">
                  <c:v>6.71</c:v>
                </c:pt>
                <c:pt idx="272">
                  <c:v>6.7050000000000001</c:v>
                </c:pt>
                <c:pt idx="273">
                  <c:v>6.5990000000000002</c:v>
                </c:pt>
                <c:pt idx="274">
                  <c:v>8.57</c:v>
                </c:pt>
                <c:pt idx="275">
                  <c:v>6.0519999999999996</c:v>
                </c:pt>
                <c:pt idx="276">
                  <c:v>6.4539999999999997</c:v>
                </c:pt>
                <c:pt idx="277">
                  <c:v>6.2039999999999997</c:v>
                </c:pt>
                <c:pt idx="278">
                  <c:v>5.5170000000000003</c:v>
                </c:pt>
                <c:pt idx="279">
                  <c:v>6.0259999999999998</c:v>
                </c:pt>
                <c:pt idx="280">
                  <c:v>5.89</c:v>
                </c:pt>
                <c:pt idx="281">
                  <c:v>6.226</c:v>
                </c:pt>
                <c:pt idx="282">
                  <c:v>5.96</c:v>
                </c:pt>
                <c:pt idx="283">
                  <c:v>6.2460000000000004</c:v>
                </c:pt>
                <c:pt idx="284">
                  <c:v>8.6210000000000004</c:v>
                </c:pt>
                <c:pt idx="285">
                  <c:v>6.4640000000000004</c:v>
                </c:pt>
                <c:pt idx="286">
                  <c:v>6.6189999999999998</c:v>
                </c:pt>
                <c:pt idx="287">
                  <c:v>11.132</c:v>
                </c:pt>
                <c:pt idx="288">
                  <c:v>6.5339999999999998</c:v>
                </c:pt>
                <c:pt idx="289">
                  <c:v>6.2080000000000002</c:v>
                </c:pt>
                <c:pt idx="290">
                  <c:v>7.1879999999999997</c:v>
                </c:pt>
                <c:pt idx="291">
                  <c:v>6.0640000000000001</c:v>
                </c:pt>
                <c:pt idx="292">
                  <c:v>6.2039999999999997</c:v>
                </c:pt>
                <c:pt idx="293">
                  <c:v>6.4889999999999999</c:v>
                </c:pt>
                <c:pt idx="294">
                  <c:v>11.031000000000001</c:v>
                </c:pt>
                <c:pt idx="295">
                  <c:v>14.012</c:v>
                </c:pt>
                <c:pt idx="296">
                  <c:v>5.8090000000000002</c:v>
                </c:pt>
                <c:pt idx="297">
                  <c:v>5.9939999999999998</c:v>
                </c:pt>
                <c:pt idx="298">
                  <c:v>6.0339999999999998</c:v>
                </c:pt>
                <c:pt idx="299">
                  <c:v>5.7569999999999997</c:v>
                </c:pt>
                <c:pt idx="300">
                  <c:v>5.78</c:v>
                </c:pt>
                <c:pt idx="301">
                  <c:v>6.3250000000000002</c:v>
                </c:pt>
                <c:pt idx="302">
                  <c:v>6.2910000000000004</c:v>
                </c:pt>
                <c:pt idx="303">
                  <c:v>7.6440000000000001</c:v>
                </c:pt>
                <c:pt idx="304">
                  <c:v>22.013000000000002</c:v>
                </c:pt>
                <c:pt idx="305">
                  <c:v>8.7119999999999997</c:v>
                </c:pt>
                <c:pt idx="306">
                  <c:v>6.68</c:v>
                </c:pt>
                <c:pt idx="307">
                  <c:v>7.0609999999999999</c:v>
                </c:pt>
                <c:pt idx="308">
                  <c:v>5.3259999999999996</c:v>
                </c:pt>
                <c:pt idx="309">
                  <c:v>6.7549999999999999</c:v>
                </c:pt>
                <c:pt idx="310">
                  <c:v>6.6440000000000001</c:v>
                </c:pt>
                <c:pt idx="311">
                  <c:v>6.6749999999999998</c:v>
                </c:pt>
                <c:pt idx="312">
                  <c:v>6.4539999999999997</c:v>
                </c:pt>
                <c:pt idx="313">
                  <c:v>6.9939999999999998</c:v>
                </c:pt>
                <c:pt idx="314">
                  <c:v>13.387</c:v>
                </c:pt>
                <c:pt idx="315">
                  <c:v>5.6189999999999998</c:v>
                </c:pt>
                <c:pt idx="316">
                  <c:v>7.85</c:v>
                </c:pt>
                <c:pt idx="317">
                  <c:v>7.593</c:v>
                </c:pt>
                <c:pt idx="318">
                  <c:v>6.718</c:v>
                </c:pt>
                <c:pt idx="319">
                  <c:v>6.4210000000000003</c:v>
                </c:pt>
                <c:pt idx="320">
                  <c:v>6.77</c:v>
                </c:pt>
                <c:pt idx="321">
                  <c:v>7.5439999999999996</c:v>
                </c:pt>
                <c:pt idx="322">
                  <c:v>7.1950000000000003</c:v>
                </c:pt>
                <c:pt idx="323">
                  <c:v>5.3639999999999999</c:v>
                </c:pt>
                <c:pt idx="324">
                  <c:v>9.2560000000000002</c:v>
                </c:pt>
                <c:pt idx="325">
                  <c:v>6.4160000000000004</c:v>
                </c:pt>
                <c:pt idx="326">
                  <c:v>5.7210000000000001</c:v>
                </c:pt>
                <c:pt idx="327">
                  <c:v>7.827</c:v>
                </c:pt>
                <c:pt idx="328">
                  <c:v>8.23</c:v>
                </c:pt>
                <c:pt idx="329">
                  <c:v>5.4480000000000004</c:v>
                </c:pt>
                <c:pt idx="330">
                  <c:v>7.4249999999999998</c:v>
                </c:pt>
                <c:pt idx="331">
                  <c:v>6.2839999999999998</c:v>
                </c:pt>
                <c:pt idx="332">
                  <c:v>6.1520000000000001</c:v>
                </c:pt>
                <c:pt idx="333">
                  <c:v>5.7480000000000002</c:v>
                </c:pt>
                <c:pt idx="334">
                  <c:v>6.0919999999999996</c:v>
                </c:pt>
                <c:pt idx="335">
                  <c:v>8.8640000000000008</c:v>
                </c:pt>
                <c:pt idx="336">
                  <c:v>7.6550000000000002</c:v>
                </c:pt>
                <c:pt idx="337">
                  <c:v>5.2709999999999999</c:v>
                </c:pt>
                <c:pt idx="338">
                  <c:v>6.8479999999999999</c:v>
                </c:pt>
                <c:pt idx="339">
                  <c:v>5.702</c:v>
                </c:pt>
                <c:pt idx="340">
                  <c:v>5.6120000000000001</c:v>
                </c:pt>
                <c:pt idx="341">
                  <c:v>13.284000000000001</c:v>
                </c:pt>
                <c:pt idx="342">
                  <c:v>18.111999999999998</c:v>
                </c:pt>
                <c:pt idx="343">
                  <c:v>20.059999999999999</c:v>
                </c:pt>
                <c:pt idx="344">
                  <c:v>16.483000000000001</c:v>
                </c:pt>
                <c:pt idx="345">
                  <c:v>10.272</c:v>
                </c:pt>
                <c:pt idx="346">
                  <c:v>16.472999999999999</c:v>
                </c:pt>
                <c:pt idx="347">
                  <c:v>18.989999999999998</c:v>
                </c:pt>
                <c:pt idx="348">
                  <c:v>19.533999999999999</c:v>
                </c:pt>
                <c:pt idx="349">
                  <c:v>15.356</c:v>
                </c:pt>
                <c:pt idx="350">
                  <c:v>16.385999999999999</c:v>
                </c:pt>
                <c:pt idx="351">
                  <c:v>11.285</c:v>
                </c:pt>
                <c:pt idx="352">
                  <c:v>9.1470000000000002</c:v>
                </c:pt>
                <c:pt idx="353">
                  <c:v>10.018000000000001</c:v>
                </c:pt>
                <c:pt idx="354">
                  <c:v>18.385000000000002</c:v>
                </c:pt>
                <c:pt idx="355">
                  <c:v>9.7959999999999994</c:v>
                </c:pt>
                <c:pt idx="356">
                  <c:v>7.3159999999999998</c:v>
                </c:pt>
                <c:pt idx="357">
                  <c:v>8.8309999999999995</c:v>
                </c:pt>
                <c:pt idx="358">
                  <c:v>9.7479999999999993</c:v>
                </c:pt>
                <c:pt idx="359">
                  <c:v>10.554</c:v>
                </c:pt>
                <c:pt idx="360">
                  <c:v>4.8339999999999996</c:v>
                </c:pt>
                <c:pt idx="361">
                  <c:v>10.199</c:v>
                </c:pt>
                <c:pt idx="362">
                  <c:v>6.4779999999999998</c:v>
                </c:pt>
                <c:pt idx="363">
                  <c:v>8.2799999999999994</c:v>
                </c:pt>
                <c:pt idx="364">
                  <c:v>9.9169999999999998</c:v>
                </c:pt>
                <c:pt idx="365">
                  <c:v>7.0449999999999999</c:v>
                </c:pt>
                <c:pt idx="366">
                  <c:v>6.7640000000000002</c:v>
                </c:pt>
                <c:pt idx="367">
                  <c:v>5.68</c:v>
                </c:pt>
                <c:pt idx="368">
                  <c:v>7.7910000000000004</c:v>
                </c:pt>
                <c:pt idx="369">
                  <c:v>6.91</c:v>
                </c:pt>
                <c:pt idx="370">
                  <c:v>6.641</c:v>
                </c:pt>
                <c:pt idx="371">
                  <c:v>6.681</c:v>
                </c:pt>
                <c:pt idx="372">
                  <c:v>8.3629999999999995</c:v>
                </c:pt>
                <c:pt idx="373">
                  <c:v>11.105</c:v>
                </c:pt>
                <c:pt idx="374">
                  <c:v>6.508</c:v>
                </c:pt>
                <c:pt idx="375">
                  <c:v>10.795999999999999</c:v>
                </c:pt>
                <c:pt idx="376">
                  <c:v>8.0410000000000004</c:v>
                </c:pt>
                <c:pt idx="377">
                  <c:v>6.2930000000000001</c:v>
                </c:pt>
                <c:pt idx="378">
                  <c:v>7.681</c:v>
                </c:pt>
                <c:pt idx="379">
                  <c:v>8.2560000000000002</c:v>
                </c:pt>
                <c:pt idx="380">
                  <c:v>6.9779999999999998</c:v>
                </c:pt>
                <c:pt idx="381">
                  <c:v>6.9130000000000003</c:v>
                </c:pt>
                <c:pt idx="382">
                  <c:v>9.8940000000000001</c:v>
                </c:pt>
                <c:pt idx="383">
                  <c:v>6.7670000000000003</c:v>
                </c:pt>
                <c:pt idx="384">
                  <c:v>6.8520000000000003</c:v>
                </c:pt>
                <c:pt idx="385">
                  <c:v>10.59</c:v>
                </c:pt>
                <c:pt idx="386">
                  <c:v>9.9930000000000003</c:v>
                </c:pt>
                <c:pt idx="387">
                  <c:v>6.2590000000000003</c:v>
                </c:pt>
                <c:pt idx="388">
                  <c:v>6.9390000000000001</c:v>
                </c:pt>
                <c:pt idx="389">
                  <c:v>11.72</c:v>
                </c:pt>
                <c:pt idx="390">
                  <c:v>11.587</c:v>
                </c:pt>
                <c:pt idx="391">
                  <c:v>5.7009999999999996</c:v>
                </c:pt>
                <c:pt idx="392">
                  <c:v>9.8740000000000006</c:v>
                </c:pt>
                <c:pt idx="393">
                  <c:v>11.215</c:v>
                </c:pt>
                <c:pt idx="394">
                  <c:v>7.1020000000000003</c:v>
                </c:pt>
                <c:pt idx="395">
                  <c:v>7.3680000000000003</c:v>
                </c:pt>
                <c:pt idx="396">
                  <c:v>6.2030000000000003</c:v>
                </c:pt>
                <c:pt idx="397">
                  <c:v>12.414999999999999</c:v>
                </c:pt>
                <c:pt idx="398">
                  <c:v>11.102</c:v>
                </c:pt>
                <c:pt idx="399">
                  <c:v>13.137</c:v>
                </c:pt>
                <c:pt idx="400">
                  <c:v>8.0730000000000004</c:v>
                </c:pt>
                <c:pt idx="401">
                  <c:v>11.231999999999999</c:v>
                </c:pt>
                <c:pt idx="402">
                  <c:v>11.362</c:v>
                </c:pt>
                <c:pt idx="403">
                  <c:v>8.9090000000000007</c:v>
                </c:pt>
                <c:pt idx="404">
                  <c:v>6.5369999999999999</c:v>
                </c:pt>
                <c:pt idx="405">
                  <c:v>7.0720000000000001</c:v>
                </c:pt>
                <c:pt idx="406">
                  <c:v>13.755000000000001</c:v>
                </c:pt>
                <c:pt idx="407">
                  <c:v>15.914</c:v>
                </c:pt>
                <c:pt idx="408">
                  <c:v>5.1740000000000004</c:v>
                </c:pt>
                <c:pt idx="409">
                  <c:v>11.638</c:v>
                </c:pt>
                <c:pt idx="410">
                  <c:v>4.835</c:v>
                </c:pt>
                <c:pt idx="411">
                  <c:v>6.62</c:v>
                </c:pt>
                <c:pt idx="412">
                  <c:v>5.2859999999999996</c:v>
                </c:pt>
                <c:pt idx="413">
                  <c:v>4.3440000000000003</c:v>
                </c:pt>
                <c:pt idx="414">
                  <c:v>6.907</c:v>
                </c:pt>
                <c:pt idx="415">
                  <c:v>7.0839999999999996</c:v>
                </c:pt>
                <c:pt idx="416">
                  <c:v>4.4989999999999997</c:v>
                </c:pt>
                <c:pt idx="417">
                  <c:v>5.3810000000000002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8-49BC-AE79-8040F8B0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78304"/>
        <c:axId val="303678696"/>
      </c:scatterChart>
      <c:valAx>
        <c:axId val="3036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78696"/>
        <c:crosses val="autoZero"/>
        <c:crossBetween val="midCat"/>
      </c:valAx>
      <c:valAx>
        <c:axId val="30367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593397</xdr:colOff>
      <xdr:row>1</xdr:row>
      <xdr:rowOff>13355</xdr:rowOff>
    </xdr:from>
    <xdr:to>
      <xdr:col>39</xdr:col>
      <xdr:colOff>120431</xdr:colOff>
      <xdr:row>28</xdr:row>
      <xdr:rowOff>65688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78"/>
  <sheetViews>
    <sheetView topLeftCell="A1060" zoomScale="98" zoomScaleNormal="100" workbookViewId="0">
      <selection activeCell="A1079" sqref="A1079"/>
    </sheetView>
  </sheetViews>
  <sheetFormatPr baseColWidth="10" defaultColWidth="10.83203125" defaultRowHeight="15"/>
  <cols>
    <col min="2" max="2" width="11.83203125" bestFit="1" customWidth="1"/>
    <col min="3" max="3" width="9.1640625" bestFit="1" customWidth="1"/>
    <col min="4" max="4" width="9.1640625" customWidth="1"/>
    <col min="5" max="5" width="17" bestFit="1" customWidth="1"/>
    <col min="6" max="6" width="10.1640625" bestFit="1" customWidth="1"/>
    <col min="7" max="7" width="11.1640625" bestFit="1" customWidth="1"/>
    <col min="8" max="8" width="10.33203125" style="111" bestFit="1" customWidth="1"/>
    <col min="9" max="9" width="9.5" bestFit="1" customWidth="1"/>
    <col min="11" max="11" width="12.6640625" bestFit="1" customWidth="1"/>
    <col min="12" max="12" width="11.1640625" bestFit="1" customWidth="1"/>
    <col min="13" max="13" width="11.6640625" bestFit="1" customWidth="1"/>
    <col min="14" max="14" width="11.5" bestFit="1" customWidth="1"/>
    <col min="15" max="15" width="15.33203125" bestFit="1" customWidth="1"/>
    <col min="16" max="16" width="14.1640625" bestFit="1" customWidth="1"/>
    <col min="17" max="17" width="12.83203125" bestFit="1" customWidth="1"/>
    <col min="18" max="18" width="9.83203125" bestFit="1" customWidth="1"/>
    <col min="19" max="19" width="8.33203125" bestFit="1" customWidth="1"/>
    <col min="20" max="20" width="8.5" bestFit="1" customWidth="1"/>
    <col min="22" max="22" width="6.1640625" bestFit="1" customWidth="1"/>
    <col min="23" max="23" width="7.1640625" bestFit="1" customWidth="1"/>
  </cols>
  <sheetData>
    <row r="1" spans="1:24" s="112" customFormat="1" ht="15" customHeight="1" thickBot="1">
      <c r="A1" s="113" t="s">
        <v>2411</v>
      </c>
      <c r="B1" s="113" t="s">
        <v>0</v>
      </c>
      <c r="C1" s="113" t="s">
        <v>2225</v>
      </c>
      <c r="D1" s="113" t="s">
        <v>413</v>
      </c>
      <c r="E1" s="113" t="s">
        <v>1</v>
      </c>
      <c r="F1" s="113" t="s">
        <v>345</v>
      </c>
      <c r="G1" s="113" t="s">
        <v>344</v>
      </c>
      <c r="H1" s="114" t="s">
        <v>349</v>
      </c>
      <c r="I1" s="115" t="s">
        <v>409</v>
      </c>
      <c r="J1" s="113" t="s">
        <v>3</v>
      </c>
      <c r="K1" s="113" t="s">
        <v>3186</v>
      </c>
      <c r="L1" s="113" t="s">
        <v>346</v>
      </c>
      <c r="M1" s="113" t="s">
        <v>2560</v>
      </c>
      <c r="N1" s="113" t="s">
        <v>347</v>
      </c>
      <c r="O1" s="113" t="s">
        <v>348</v>
      </c>
      <c r="P1" s="113" t="s">
        <v>2718</v>
      </c>
      <c r="Q1" s="113" t="s">
        <v>5</v>
      </c>
      <c r="R1" s="113" t="s">
        <v>2101</v>
      </c>
      <c r="S1" s="113" t="s">
        <v>7</v>
      </c>
      <c r="T1" s="113" t="s">
        <v>1748</v>
      </c>
      <c r="U1" s="116" t="s">
        <v>1749</v>
      </c>
      <c r="V1" s="113" t="s">
        <v>9</v>
      </c>
      <c r="W1" s="113" t="s">
        <v>10</v>
      </c>
      <c r="X1" s="113" t="s">
        <v>2553</v>
      </c>
    </row>
    <row r="2" spans="1:24" ht="17" thickTop="1">
      <c r="A2" s="117" t="s">
        <v>3570</v>
      </c>
      <c r="B2" s="118" t="s">
        <v>1696</v>
      </c>
      <c r="C2" s="118" t="s">
        <v>2663</v>
      </c>
      <c r="D2" s="118" t="s">
        <v>3569</v>
      </c>
      <c r="E2" s="117" t="s">
        <v>1685</v>
      </c>
      <c r="F2" s="119">
        <v>51.458010999999999</v>
      </c>
      <c r="G2" s="119">
        <v>-2.6018520000000001</v>
      </c>
      <c r="H2" s="120">
        <v>0</v>
      </c>
      <c r="I2" s="121">
        <v>42951</v>
      </c>
      <c r="J2" s="121" t="s">
        <v>36</v>
      </c>
      <c r="K2" s="121" t="s">
        <v>831</v>
      </c>
      <c r="L2" s="117" t="s">
        <v>1687</v>
      </c>
      <c r="M2" s="117" t="s">
        <v>2563</v>
      </c>
      <c r="N2" s="117" t="s">
        <v>2814</v>
      </c>
      <c r="O2" s="117" t="s">
        <v>907</v>
      </c>
      <c r="P2" s="117" t="s">
        <v>3187</v>
      </c>
      <c r="Q2" s="117" t="s">
        <v>1688</v>
      </c>
      <c r="R2" s="118" t="s">
        <v>2713</v>
      </c>
      <c r="S2" s="122">
        <v>8.7099999999999997E-2</v>
      </c>
      <c r="T2" s="118">
        <v>5.8999999999999997E-2</v>
      </c>
      <c r="U2" s="122">
        <f t="shared" ref="U2:U65" si="0">S2-T2</f>
        <v>2.81E-2</v>
      </c>
      <c r="V2" s="118">
        <v>5.0599999999999996</v>
      </c>
      <c r="W2" s="118">
        <v>17.127000000000002</v>
      </c>
      <c r="X2" s="118">
        <f>W2*V2</f>
        <v>86.662620000000004</v>
      </c>
    </row>
    <row r="3" spans="1:24" ht="16">
      <c r="A3" s="117" t="s">
        <v>3570</v>
      </c>
      <c r="B3" s="118" t="s">
        <v>1686</v>
      </c>
      <c r="C3" s="118" t="s">
        <v>2663</v>
      </c>
      <c r="D3" s="118" t="s">
        <v>3569</v>
      </c>
      <c r="E3" s="117" t="s">
        <v>1685</v>
      </c>
      <c r="F3" s="119">
        <v>51.458010999999999</v>
      </c>
      <c r="G3" s="119">
        <v>-2.6018520000000001</v>
      </c>
      <c r="H3" s="120">
        <v>0</v>
      </c>
      <c r="I3" s="121">
        <v>42951</v>
      </c>
      <c r="J3" s="121" t="s">
        <v>36</v>
      </c>
      <c r="K3" s="121" t="s">
        <v>831</v>
      </c>
      <c r="L3" s="117" t="s">
        <v>1687</v>
      </c>
      <c r="M3" s="117" t="s">
        <v>2563</v>
      </c>
      <c r="N3" s="117" t="s">
        <v>2814</v>
      </c>
      <c r="O3" s="117" t="s">
        <v>907</v>
      </c>
      <c r="P3" s="117" t="s">
        <v>3187</v>
      </c>
      <c r="Q3" s="117" t="s">
        <v>1688</v>
      </c>
      <c r="R3" s="118" t="s">
        <v>2712</v>
      </c>
      <c r="S3" s="122">
        <v>0.1148</v>
      </c>
      <c r="T3" s="118">
        <v>5.8999999999999997E-2</v>
      </c>
      <c r="U3" s="122">
        <f t="shared" si="0"/>
        <v>5.5800000000000002E-2</v>
      </c>
      <c r="V3" s="118">
        <v>6.8419999999999996</v>
      </c>
      <c r="W3" s="118">
        <v>22.500999999999998</v>
      </c>
      <c r="X3" s="118">
        <f t="shared" ref="X3:X66" si="1">W3*V3</f>
        <v>153.95184199999997</v>
      </c>
    </row>
    <row r="4" spans="1:24" ht="16">
      <c r="A4" s="117" t="s">
        <v>3570</v>
      </c>
      <c r="B4" s="118" t="s">
        <v>1721</v>
      </c>
      <c r="C4" s="118" t="s">
        <v>2663</v>
      </c>
      <c r="D4" s="118" t="s">
        <v>3569</v>
      </c>
      <c r="E4" s="117" t="s">
        <v>1685</v>
      </c>
      <c r="F4" s="119">
        <v>51.458010999999999</v>
      </c>
      <c r="G4" s="119">
        <v>-2.6018520000000001</v>
      </c>
      <c r="H4" s="120">
        <v>0</v>
      </c>
      <c r="I4" s="121">
        <v>42951</v>
      </c>
      <c r="J4" s="121" t="s">
        <v>36</v>
      </c>
      <c r="K4" s="121" t="s">
        <v>831</v>
      </c>
      <c r="L4" s="117" t="s">
        <v>1687</v>
      </c>
      <c r="M4" s="117" t="s">
        <v>2563</v>
      </c>
      <c r="N4" s="117" t="s">
        <v>2814</v>
      </c>
      <c r="O4" s="117" t="s">
        <v>907</v>
      </c>
      <c r="P4" s="117" t="s">
        <v>907</v>
      </c>
      <c r="Q4" s="118" t="s">
        <v>1722</v>
      </c>
      <c r="R4" s="118" t="s">
        <v>2713</v>
      </c>
      <c r="S4" s="122">
        <v>0.1545</v>
      </c>
      <c r="T4" s="118">
        <v>0.06</v>
      </c>
      <c r="U4" s="122">
        <f t="shared" si="0"/>
        <v>9.4500000000000001E-2</v>
      </c>
      <c r="V4" s="118">
        <v>7.3780000000000001</v>
      </c>
      <c r="W4" s="118">
        <v>22.832000000000001</v>
      </c>
      <c r="X4" s="118">
        <f t="shared" si="1"/>
        <v>168.45449600000001</v>
      </c>
    </row>
    <row r="5" spans="1:24" ht="16">
      <c r="A5" s="117" t="s">
        <v>3570</v>
      </c>
      <c r="B5" s="118" t="s">
        <v>1697</v>
      </c>
      <c r="C5" s="118" t="s">
        <v>2663</v>
      </c>
      <c r="D5" s="118" t="s">
        <v>3569</v>
      </c>
      <c r="E5" s="117" t="s">
        <v>1685</v>
      </c>
      <c r="F5" s="119">
        <v>51.458010999999999</v>
      </c>
      <c r="G5" s="119">
        <v>-2.6018520000000001</v>
      </c>
      <c r="H5" s="120">
        <v>0</v>
      </c>
      <c r="I5" s="121">
        <v>42951</v>
      </c>
      <c r="J5" s="121" t="s">
        <v>36</v>
      </c>
      <c r="K5" s="121" t="s">
        <v>831</v>
      </c>
      <c r="L5" s="117" t="s">
        <v>1687</v>
      </c>
      <c r="M5" s="117" t="s">
        <v>2563</v>
      </c>
      <c r="N5" s="117" t="s">
        <v>2814</v>
      </c>
      <c r="O5" s="117" t="s">
        <v>907</v>
      </c>
      <c r="P5" s="117" t="s">
        <v>3187</v>
      </c>
      <c r="Q5" s="117" t="s">
        <v>1688</v>
      </c>
      <c r="R5" s="118" t="s">
        <v>2713</v>
      </c>
      <c r="S5" s="122">
        <v>9.5399999999999999E-2</v>
      </c>
      <c r="T5" s="118">
        <v>5.8999999999999997E-2</v>
      </c>
      <c r="U5" s="122">
        <f t="shared" si="0"/>
        <v>3.6400000000000002E-2</v>
      </c>
      <c r="V5" s="118">
        <v>5.5220000000000002</v>
      </c>
      <c r="W5" s="118">
        <v>17.865000000000002</v>
      </c>
      <c r="X5" s="118">
        <f t="shared" si="1"/>
        <v>98.650530000000018</v>
      </c>
    </row>
    <row r="6" spans="1:24" ht="16">
      <c r="A6" s="117" t="s">
        <v>3570</v>
      </c>
      <c r="B6" s="118" t="s">
        <v>1698</v>
      </c>
      <c r="C6" s="118" t="s">
        <v>2663</v>
      </c>
      <c r="D6" s="118" t="s">
        <v>3569</v>
      </c>
      <c r="E6" s="117" t="s">
        <v>1685</v>
      </c>
      <c r="F6" s="119">
        <v>51.458010999999999</v>
      </c>
      <c r="G6" s="119">
        <v>-2.6018520000000001</v>
      </c>
      <c r="H6" s="120">
        <v>0</v>
      </c>
      <c r="I6" s="121">
        <v>42951</v>
      </c>
      <c r="J6" s="121" t="s">
        <v>36</v>
      </c>
      <c r="K6" s="121" t="s">
        <v>831</v>
      </c>
      <c r="L6" s="117" t="s">
        <v>1687</v>
      </c>
      <c r="M6" s="117" t="s">
        <v>2563</v>
      </c>
      <c r="N6" s="117" t="s">
        <v>2814</v>
      </c>
      <c r="O6" s="117" t="s">
        <v>907</v>
      </c>
      <c r="P6" s="117" t="s">
        <v>3187</v>
      </c>
      <c r="Q6" s="117" t="s">
        <v>1688</v>
      </c>
      <c r="R6" s="118" t="s">
        <v>2713</v>
      </c>
      <c r="S6" s="122">
        <v>8.9499999999999996E-2</v>
      </c>
      <c r="T6" s="118">
        <v>5.7000000000000002E-2</v>
      </c>
      <c r="U6" s="122">
        <f t="shared" si="0"/>
        <v>3.2499999999999994E-2</v>
      </c>
      <c r="V6" s="118">
        <v>5.4029999999999996</v>
      </c>
      <c r="W6" s="118">
        <v>18.163</v>
      </c>
      <c r="X6" s="118">
        <f t="shared" si="1"/>
        <v>98.134688999999995</v>
      </c>
    </row>
    <row r="7" spans="1:24" ht="16">
      <c r="A7" s="117" t="s">
        <v>3570</v>
      </c>
      <c r="B7" s="123" t="s">
        <v>1699</v>
      </c>
      <c r="C7" s="118" t="s">
        <v>2663</v>
      </c>
      <c r="D7" s="118" t="s">
        <v>3569</v>
      </c>
      <c r="E7" s="117" t="s">
        <v>1685</v>
      </c>
      <c r="F7" s="119">
        <v>51.458010999999999</v>
      </c>
      <c r="G7" s="119">
        <v>-2.6018520000000001</v>
      </c>
      <c r="H7" s="120">
        <v>0</v>
      </c>
      <c r="I7" s="121">
        <v>42951</v>
      </c>
      <c r="J7" s="121" t="s">
        <v>36</v>
      </c>
      <c r="K7" s="121" t="s">
        <v>831</v>
      </c>
      <c r="L7" s="117" t="s">
        <v>1687</v>
      </c>
      <c r="M7" s="117" t="s">
        <v>2563</v>
      </c>
      <c r="N7" s="117" t="s">
        <v>2814</v>
      </c>
      <c r="O7" s="117" t="s">
        <v>907</v>
      </c>
      <c r="P7" s="117" t="s">
        <v>3187</v>
      </c>
      <c r="Q7" s="117" t="s">
        <v>1688</v>
      </c>
      <c r="R7" s="118" t="s">
        <v>2713</v>
      </c>
      <c r="S7" s="122">
        <v>9.3100000000000002E-2</v>
      </c>
      <c r="T7" s="118">
        <v>5.8000000000000003E-2</v>
      </c>
      <c r="U7" s="122">
        <f t="shared" si="0"/>
        <v>3.5099999999999999E-2</v>
      </c>
      <c r="V7" s="118">
        <v>5.452</v>
      </c>
      <c r="W7" s="118">
        <v>16.143000000000001</v>
      </c>
      <c r="X7" s="118">
        <f t="shared" si="1"/>
        <v>88.01163600000001</v>
      </c>
    </row>
    <row r="8" spans="1:24" ht="16">
      <c r="A8" s="117" t="s">
        <v>3570</v>
      </c>
      <c r="B8" s="118" t="s">
        <v>1689</v>
      </c>
      <c r="C8" s="118" t="s">
        <v>2663</v>
      </c>
      <c r="D8" s="118" t="s">
        <v>3569</v>
      </c>
      <c r="E8" s="117" t="s">
        <v>1685</v>
      </c>
      <c r="F8" s="119">
        <v>51.458010999999999</v>
      </c>
      <c r="G8" s="119">
        <v>-2.6018520000000001</v>
      </c>
      <c r="H8" s="120">
        <v>0</v>
      </c>
      <c r="I8" s="121">
        <v>42951</v>
      </c>
      <c r="J8" s="121" t="s">
        <v>36</v>
      </c>
      <c r="K8" s="121" t="s">
        <v>831</v>
      </c>
      <c r="L8" s="117" t="s">
        <v>1687</v>
      </c>
      <c r="M8" s="117" t="s">
        <v>2563</v>
      </c>
      <c r="N8" s="117" t="s">
        <v>2814</v>
      </c>
      <c r="O8" s="117" t="s">
        <v>907</v>
      </c>
      <c r="P8" s="117" t="s">
        <v>3187</v>
      </c>
      <c r="Q8" s="117" t="s">
        <v>1688</v>
      </c>
      <c r="R8" s="118" t="s">
        <v>2712</v>
      </c>
      <c r="S8" s="122">
        <v>0.10539999999999999</v>
      </c>
      <c r="T8" s="118">
        <v>5.8000000000000003E-2</v>
      </c>
      <c r="U8" s="122">
        <f t="shared" si="0"/>
        <v>4.7399999999999991E-2</v>
      </c>
      <c r="V8" s="118">
        <v>6.2519999999999998</v>
      </c>
      <c r="W8" s="118">
        <v>20.067999999999998</v>
      </c>
      <c r="X8" s="118">
        <f t="shared" si="1"/>
        <v>125.46513599999999</v>
      </c>
    </row>
    <row r="9" spans="1:24" ht="16">
      <c r="A9" s="117" t="s">
        <v>3570</v>
      </c>
      <c r="B9" s="118" t="s">
        <v>1700</v>
      </c>
      <c r="C9" s="118" t="s">
        <v>2663</v>
      </c>
      <c r="D9" s="118" t="s">
        <v>3569</v>
      </c>
      <c r="E9" s="117" t="s">
        <v>1685</v>
      </c>
      <c r="F9" s="119">
        <v>51.458010999999999</v>
      </c>
      <c r="G9" s="119">
        <v>-2.6018520000000001</v>
      </c>
      <c r="H9" s="120">
        <v>0</v>
      </c>
      <c r="I9" s="121">
        <v>42951</v>
      </c>
      <c r="J9" s="121" t="s">
        <v>36</v>
      </c>
      <c r="K9" s="121" t="s">
        <v>831</v>
      </c>
      <c r="L9" s="117" t="s">
        <v>1687</v>
      </c>
      <c r="M9" s="117" t="s">
        <v>2563</v>
      </c>
      <c r="N9" s="117" t="s">
        <v>2814</v>
      </c>
      <c r="O9" s="117" t="s">
        <v>907</v>
      </c>
      <c r="P9" s="117" t="s">
        <v>3187</v>
      </c>
      <c r="Q9" s="117" t="s">
        <v>1688</v>
      </c>
      <c r="R9" s="118" t="s">
        <v>2713</v>
      </c>
      <c r="S9" s="122">
        <v>9.5699999999999993E-2</v>
      </c>
      <c r="T9" s="118">
        <v>5.8999999999999997E-2</v>
      </c>
      <c r="U9" s="122">
        <f t="shared" si="0"/>
        <v>3.6699999999999997E-2</v>
      </c>
      <c r="V9" s="118">
        <v>5.1470000000000002</v>
      </c>
      <c r="W9" s="118">
        <v>16.832000000000001</v>
      </c>
      <c r="X9" s="118">
        <f t="shared" si="1"/>
        <v>86.634304000000014</v>
      </c>
    </row>
    <row r="10" spans="1:24" ht="16">
      <c r="A10" s="117" t="s">
        <v>3570</v>
      </c>
      <c r="B10" s="118" t="s">
        <v>1723</v>
      </c>
      <c r="C10" s="118" t="s">
        <v>2663</v>
      </c>
      <c r="D10" s="118" t="s">
        <v>3569</v>
      </c>
      <c r="E10" s="117" t="s">
        <v>1685</v>
      </c>
      <c r="F10" s="119">
        <v>51.458010999999999</v>
      </c>
      <c r="G10" s="119">
        <v>-2.6018520000000001</v>
      </c>
      <c r="H10" s="120">
        <v>0</v>
      </c>
      <c r="I10" s="121">
        <v>42951</v>
      </c>
      <c r="J10" s="121" t="s">
        <v>36</v>
      </c>
      <c r="K10" s="121" t="s">
        <v>831</v>
      </c>
      <c r="L10" s="117" t="s">
        <v>1687</v>
      </c>
      <c r="M10" s="117" t="s">
        <v>2563</v>
      </c>
      <c r="N10" s="117" t="s">
        <v>2814</v>
      </c>
      <c r="O10" s="117" t="s">
        <v>907</v>
      </c>
      <c r="P10" s="117" t="s">
        <v>907</v>
      </c>
      <c r="Q10" s="118" t="s">
        <v>1722</v>
      </c>
      <c r="R10" s="118" t="s">
        <v>2713</v>
      </c>
      <c r="S10" s="122">
        <v>0.1497</v>
      </c>
      <c r="T10" s="118">
        <v>5.7000000000000002E-2</v>
      </c>
      <c r="U10" s="122">
        <f t="shared" si="0"/>
        <v>9.2700000000000005E-2</v>
      </c>
      <c r="V10" s="118">
        <v>7.3869999999999996</v>
      </c>
      <c r="W10" s="118">
        <v>23.386000000000003</v>
      </c>
      <c r="X10" s="118">
        <f t="shared" si="1"/>
        <v>172.75238200000001</v>
      </c>
    </row>
    <row r="11" spans="1:24" ht="16">
      <c r="A11" s="117" t="s">
        <v>3570</v>
      </c>
      <c r="B11" s="118" t="s">
        <v>1701</v>
      </c>
      <c r="C11" s="118" t="s">
        <v>2663</v>
      </c>
      <c r="D11" s="118" t="s">
        <v>3569</v>
      </c>
      <c r="E11" s="117" t="s">
        <v>1685</v>
      </c>
      <c r="F11" s="119">
        <v>51.458010999999999</v>
      </c>
      <c r="G11" s="119">
        <v>-2.6018520000000001</v>
      </c>
      <c r="H11" s="120">
        <v>0</v>
      </c>
      <c r="I11" s="121">
        <v>42951</v>
      </c>
      <c r="J11" s="121" t="s">
        <v>36</v>
      </c>
      <c r="K11" s="121" t="s">
        <v>831</v>
      </c>
      <c r="L11" s="117" t="s">
        <v>1687</v>
      </c>
      <c r="M11" s="117" t="s">
        <v>2563</v>
      </c>
      <c r="N11" s="117" t="s">
        <v>2814</v>
      </c>
      <c r="O11" s="117" t="s">
        <v>907</v>
      </c>
      <c r="P11" s="117" t="s">
        <v>3187</v>
      </c>
      <c r="Q11" s="117" t="s">
        <v>1688</v>
      </c>
      <c r="R11" s="118" t="s">
        <v>2713</v>
      </c>
      <c r="S11" s="122">
        <v>9.9500000000000005E-2</v>
      </c>
      <c r="T11" s="118">
        <v>0.06</v>
      </c>
      <c r="U11" s="122">
        <f t="shared" si="0"/>
        <v>3.9500000000000007E-2</v>
      </c>
      <c r="V11" s="118">
        <v>5.6719999999999997</v>
      </c>
      <c r="W11" s="118">
        <v>17.116</v>
      </c>
      <c r="X11" s="118">
        <f t="shared" si="1"/>
        <v>97.081951999999987</v>
      </c>
    </row>
    <row r="12" spans="1:24" ht="16">
      <c r="A12" s="117" t="s">
        <v>3570</v>
      </c>
      <c r="B12" s="118" t="s">
        <v>1702</v>
      </c>
      <c r="C12" s="118" t="s">
        <v>2663</v>
      </c>
      <c r="D12" s="118" t="s">
        <v>3569</v>
      </c>
      <c r="E12" s="117" t="s">
        <v>1685</v>
      </c>
      <c r="F12" s="119">
        <v>51.458010999999999</v>
      </c>
      <c r="G12" s="119">
        <v>-2.6018520000000001</v>
      </c>
      <c r="H12" s="120">
        <v>0</v>
      </c>
      <c r="I12" s="121">
        <v>42951</v>
      </c>
      <c r="J12" s="121" t="s">
        <v>36</v>
      </c>
      <c r="K12" s="121" t="s">
        <v>831</v>
      </c>
      <c r="L12" s="117" t="s">
        <v>1687</v>
      </c>
      <c r="M12" s="117" t="s">
        <v>2563</v>
      </c>
      <c r="N12" s="117" t="s">
        <v>2814</v>
      </c>
      <c r="O12" s="117" t="s">
        <v>907</v>
      </c>
      <c r="P12" s="117" t="s">
        <v>3187</v>
      </c>
      <c r="Q12" s="117" t="s">
        <v>1688</v>
      </c>
      <c r="R12" s="118" t="s">
        <v>2713</v>
      </c>
      <c r="S12" s="122">
        <v>9.1300000000000006E-2</v>
      </c>
      <c r="T12" s="118">
        <v>5.8000000000000003E-2</v>
      </c>
      <c r="U12" s="122">
        <f t="shared" si="0"/>
        <v>3.3300000000000003E-2</v>
      </c>
      <c r="V12" s="118">
        <v>5.4859999999999998</v>
      </c>
      <c r="W12" s="118">
        <v>17.742999999999999</v>
      </c>
      <c r="X12" s="118">
        <f t="shared" si="1"/>
        <v>97.338097999999988</v>
      </c>
    </row>
    <row r="13" spans="1:24" ht="16">
      <c r="A13" s="117" t="s">
        <v>3570</v>
      </c>
      <c r="B13" s="118" t="s">
        <v>1690</v>
      </c>
      <c r="C13" s="118" t="s">
        <v>2663</v>
      </c>
      <c r="D13" s="118" t="s">
        <v>3569</v>
      </c>
      <c r="E13" s="117" t="s">
        <v>1685</v>
      </c>
      <c r="F13" s="119">
        <v>51.458010999999999</v>
      </c>
      <c r="G13" s="119">
        <v>-2.6018520000000001</v>
      </c>
      <c r="H13" s="120">
        <v>0</v>
      </c>
      <c r="I13" s="121">
        <v>42951</v>
      </c>
      <c r="J13" s="121" t="s">
        <v>36</v>
      </c>
      <c r="K13" s="121" t="s">
        <v>831</v>
      </c>
      <c r="L13" s="117" t="s">
        <v>1687</v>
      </c>
      <c r="M13" s="117" t="s">
        <v>2563</v>
      </c>
      <c r="N13" s="117" t="s">
        <v>2814</v>
      </c>
      <c r="O13" s="117" t="s">
        <v>907</v>
      </c>
      <c r="P13" s="117" t="s">
        <v>3187</v>
      </c>
      <c r="Q13" s="117" t="s">
        <v>1688</v>
      </c>
      <c r="R13" s="118" t="s">
        <v>2712</v>
      </c>
      <c r="S13" s="122">
        <v>9.9599999999999994E-2</v>
      </c>
      <c r="T13" s="118">
        <v>5.7000000000000002E-2</v>
      </c>
      <c r="U13" s="122">
        <f t="shared" si="0"/>
        <v>4.2599999999999992E-2</v>
      </c>
      <c r="V13" s="118">
        <v>5.37</v>
      </c>
      <c r="W13" s="118">
        <v>18.552</v>
      </c>
      <c r="X13" s="118">
        <f t="shared" si="1"/>
        <v>99.62424</v>
      </c>
    </row>
    <row r="14" spans="1:24" ht="16">
      <c r="A14" s="117" t="s">
        <v>3570</v>
      </c>
      <c r="B14" s="118" t="s">
        <v>1724</v>
      </c>
      <c r="C14" s="118" t="s">
        <v>2663</v>
      </c>
      <c r="D14" s="118" t="s">
        <v>3569</v>
      </c>
      <c r="E14" s="117" t="s">
        <v>1685</v>
      </c>
      <c r="F14" s="119">
        <v>51.458010999999999</v>
      </c>
      <c r="G14" s="119">
        <v>-2.6018520000000001</v>
      </c>
      <c r="H14" s="120">
        <v>0</v>
      </c>
      <c r="I14" s="121">
        <v>42951</v>
      </c>
      <c r="J14" s="121" t="s">
        <v>36</v>
      </c>
      <c r="K14" s="121" t="s">
        <v>831</v>
      </c>
      <c r="L14" s="118" t="s">
        <v>1687</v>
      </c>
      <c r="M14" s="117" t="s">
        <v>2563</v>
      </c>
      <c r="N14" s="117" t="s">
        <v>2814</v>
      </c>
      <c r="O14" s="118" t="s">
        <v>907</v>
      </c>
      <c r="P14" s="117" t="s">
        <v>907</v>
      </c>
      <c r="Q14" s="118" t="s">
        <v>1722</v>
      </c>
      <c r="R14" s="118" t="s">
        <v>2713</v>
      </c>
      <c r="S14" s="122">
        <v>0.151</v>
      </c>
      <c r="T14" s="118">
        <v>5.8000000000000003E-2</v>
      </c>
      <c r="U14" s="122">
        <f t="shared" si="0"/>
        <v>9.2999999999999999E-2</v>
      </c>
      <c r="V14" s="118">
        <v>7.6079999999999997</v>
      </c>
      <c r="W14" s="118">
        <v>22.006999999999998</v>
      </c>
      <c r="X14" s="118">
        <f t="shared" si="1"/>
        <v>167.42925599999998</v>
      </c>
    </row>
    <row r="15" spans="1:24" ht="16">
      <c r="A15" s="117" t="s">
        <v>3570</v>
      </c>
      <c r="B15" s="118" t="s">
        <v>1725</v>
      </c>
      <c r="C15" s="118" t="s">
        <v>2663</v>
      </c>
      <c r="D15" s="118" t="s">
        <v>3569</v>
      </c>
      <c r="E15" s="117" t="s">
        <v>1685</v>
      </c>
      <c r="F15" s="119">
        <v>51.458010999999999</v>
      </c>
      <c r="G15" s="119">
        <v>-2.6018520000000001</v>
      </c>
      <c r="H15" s="120">
        <v>0</v>
      </c>
      <c r="I15" s="121">
        <v>42951</v>
      </c>
      <c r="J15" s="121" t="s">
        <v>36</v>
      </c>
      <c r="K15" s="121" t="s">
        <v>831</v>
      </c>
      <c r="L15" s="117" t="s">
        <v>1687</v>
      </c>
      <c r="M15" s="117" t="s">
        <v>2563</v>
      </c>
      <c r="N15" s="117" t="s">
        <v>2814</v>
      </c>
      <c r="O15" s="117" t="s">
        <v>907</v>
      </c>
      <c r="P15" s="117" t="s">
        <v>907</v>
      </c>
      <c r="Q15" s="118" t="s">
        <v>1722</v>
      </c>
      <c r="R15" s="118" t="s">
        <v>2713</v>
      </c>
      <c r="S15" s="122">
        <v>0.15939999999999999</v>
      </c>
      <c r="T15" s="118">
        <v>5.8000000000000003E-2</v>
      </c>
      <c r="U15" s="122">
        <f t="shared" si="0"/>
        <v>0.10139999999999999</v>
      </c>
      <c r="V15" s="118">
        <v>7.8220000000000001</v>
      </c>
      <c r="W15" s="118">
        <v>22.936</v>
      </c>
      <c r="X15" s="118">
        <f t="shared" si="1"/>
        <v>179.40539200000001</v>
      </c>
    </row>
    <row r="16" spans="1:24" ht="16">
      <c r="A16" s="117" t="s">
        <v>3570</v>
      </c>
      <c r="B16" s="118" t="s">
        <v>1726</v>
      </c>
      <c r="C16" s="118" t="s">
        <v>2663</v>
      </c>
      <c r="D16" s="118" t="s">
        <v>3569</v>
      </c>
      <c r="E16" s="117" t="s">
        <v>1685</v>
      </c>
      <c r="F16" s="119">
        <v>51.458010999999999</v>
      </c>
      <c r="G16" s="119">
        <v>-2.6018520000000001</v>
      </c>
      <c r="H16" s="120">
        <v>0</v>
      </c>
      <c r="I16" s="121">
        <v>42951</v>
      </c>
      <c r="J16" s="121" t="s">
        <v>36</v>
      </c>
      <c r="K16" s="121" t="s">
        <v>831</v>
      </c>
      <c r="L16" s="117" t="s">
        <v>1687</v>
      </c>
      <c r="M16" s="117" t="s">
        <v>2563</v>
      </c>
      <c r="N16" s="117" t="s">
        <v>2814</v>
      </c>
      <c r="O16" s="117" t="s">
        <v>907</v>
      </c>
      <c r="P16" s="117" t="s">
        <v>907</v>
      </c>
      <c r="Q16" s="118" t="s">
        <v>1722</v>
      </c>
      <c r="R16" s="118" t="s">
        <v>2713</v>
      </c>
      <c r="S16" s="122">
        <v>0.10440000000000001</v>
      </c>
      <c r="T16" s="118">
        <v>5.8000000000000003E-2</v>
      </c>
      <c r="U16" s="122">
        <f t="shared" si="0"/>
        <v>4.6400000000000004E-2</v>
      </c>
      <c r="V16" s="118">
        <v>6.0049999999999999</v>
      </c>
      <c r="W16" s="118">
        <v>17.814999999999998</v>
      </c>
      <c r="X16" s="118">
        <f t="shared" si="1"/>
        <v>106.97907499999998</v>
      </c>
    </row>
    <row r="17" spans="1:24" ht="16">
      <c r="A17" s="117" t="s">
        <v>3570</v>
      </c>
      <c r="B17" s="118" t="s">
        <v>1727</v>
      </c>
      <c r="C17" s="118" t="s">
        <v>2663</v>
      </c>
      <c r="D17" s="118" t="s">
        <v>3569</v>
      </c>
      <c r="E17" s="117" t="s">
        <v>1685</v>
      </c>
      <c r="F17" s="119">
        <v>51.458010999999999</v>
      </c>
      <c r="G17" s="119">
        <v>-2.6018520000000001</v>
      </c>
      <c r="H17" s="120">
        <v>0</v>
      </c>
      <c r="I17" s="121">
        <v>42951</v>
      </c>
      <c r="J17" s="121" t="s">
        <v>36</v>
      </c>
      <c r="K17" s="121" t="s">
        <v>831</v>
      </c>
      <c r="L17" s="117" t="s">
        <v>1687</v>
      </c>
      <c r="M17" s="117" t="s">
        <v>2563</v>
      </c>
      <c r="N17" s="117" t="s">
        <v>2814</v>
      </c>
      <c r="O17" s="117" t="s">
        <v>907</v>
      </c>
      <c r="P17" s="117" t="s">
        <v>907</v>
      </c>
      <c r="Q17" s="118" t="s">
        <v>1722</v>
      </c>
      <c r="R17" s="118" t="s">
        <v>2713</v>
      </c>
      <c r="S17" s="122">
        <v>9.1399999999999995E-2</v>
      </c>
      <c r="T17" s="118">
        <v>5.8999999999999997E-2</v>
      </c>
      <c r="U17" s="122">
        <f t="shared" si="0"/>
        <v>3.2399999999999998E-2</v>
      </c>
      <c r="V17" s="118">
        <v>5.2770000000000001</v>
      </c>
      <c r="W17" s="118">
        <v>17.347000000000001</v>
      </c>
      <c r="X17" s="118">
        <f t="shared" si="1"/>
        <v>91.540119000000004</v>
      </c>
    </row>
    <row r="18" spans="1:24" ht="16">
      <c r="A18" s="117" t="s">
        <v>3570</v>
      </c>
      <c r="B18" s="118" t="s">
        <v>1728</v>
      </c>
      <c r="C18" s="118" t="s">
        <v>2663</v>
      </c>
      <c r="D18" s="118" t="s">
        <v>3569</v>
      </c>
      <c r="E18" s="117" t="s">
        <v>1685</v>
      </c>
      <c r="F18" s="119">
        <v>51.458010999999999</v>
      </c>
      <c r="G18" s="119">
        <v>-2.6018520000000001</v>
      </c>
      <c r="H18" s="120">
        <v>0</v>
      </c>
      <c r="I18" s="121">
        <v>42951</v>
      </c>
      <c r="J18" s="121" t="s">
        <v>36</v>
      </c>
      <c r="K18" s="121" t="s">
        <v>831</v>
      </c>
      <c r="L18" s="117" t="s">
        <v>1687</v>
      </c>
      <c r="M18" s="117" t="s">
        <v>2563</v>
      </c>
      <c r="N18" s="117" t="s">
        <v>2814</v>
      </c>
      <c r="O18" s="117" t="s">
        <v>907</v>
      </c>
      <c r="P18" s="117" t="s">
        <v>907</v>
      </c>
      <c r="Q18" s="118" t="s">
        <v>1722</v>
      </c>
      <c r="R18" s="118" t="s">
        <v>2713</v>
      </c>
      <c r="S18" s="122">
        <v>0.1595</v>
      </c>
      <c r="T18" s="118">
        <v>5.8999999999999997E-2</v>
      </c>
      <c r="U18" s="122">
        <f t="shared" si="0"/>
        <v>0.10050000000000001</v>
      </c>
      <c r="V18" s="118">
        <v>7.7640000000000002</v>
      </c>
      <c r="W18" s="118">
        <v>23.116999999999997</v>
      </c>
      <c r="X18" s="118">
        <f t="shared" si="1"/>
        <v>179.48038799999998</v>
      </c>
    </row>
    <row r="19" spans="1:24" ht="16">
      <c r="A19" s="117" t="s">
        <v>3570</v>
      </c>
      <c r="B19" s="118" t="s">
        <v>1729</v>
      </c>
      <c r="C19" s="118" t="s">
        <v>2663</v>
      </c>
      <c r="D19" s="118" t="s">
        <v>3569</v>
      </c>
      <c r="E19" s="117" t="s">
        <v>1685</v>
      </c>
      <c r="F19" s="119">
        <v>51.457596000000002</v>
      </c>
      <c r="G19" s="119">
        <v>-2.601337</v>
      </c>
      <c r="H19" s="120">
        <v>0</v>
      </c>
      <c r="I19" s="124">
        <v>42958</v>
      </c>
      <c r="J19" s="121" t="s">
        <v>36</v>
      </c>
      <c r="K19" s="121" t="s">
        <v>831</v>
      </c>
      <c r="L19" s="118" t="s">
        <v>1687</v>
      </c>
      <c r="M19" s="117" t="s">
        <v>2563</v>
      </c>
      <c r="N19" s="117" t="s">
        <v>2814</v>
      </c>
      <c r="O19" s="118" t="s">
        <v>907</v>
      </c>
      <c r="P19" s="117" t="s">
        <v>907</v>
      </c>
      <c r="Q19" s="118" t="s">
        <v>1722</v>
      </c>
      <c r="R19" s="118" t="s">
        <v>2713</v>
      </c>
      <c r="S19" s="122">
        <v>0.1234</v>
      </c>
      <c r="T19" s="118">
        <v>5.8000000000000003E-2</v>
      </c>
      <c r="U19" s="122">
        <f t="shared" si="0"/>
        <v>6.5399999999999986E-2</v>
      </c>
      <c r="V19" s="118">
        <v>7.327</v>
      </c>
      <c r="W19" s="118">
        <v>21.612000000000002</v>
      </c>
      <c r="X19" s="118">
        <f t="shared" si="1"/>
        <v>158.351124</v>
      </c>
    </row>
    <row r="20" spans="1:24" ht="16">
      <c r="A20" s="117" t="s">
        <v>3570</v>
      </c>
      <c r="B20" s="118" t="s">
        <v>1730</v>
      </c>
      <c r="C20" s="118" t="s">
        <v>2663</v>
      </c>
      <c r="D20" s="118" t="s">
        <v>3569</v>
      </c>
      <c r="E20" s="117" t="s">
        <v>1685</v>
      </c>
      <c r="F20" s="119">
        <v>51.458010999999999</v>
      </c>
      <c r="G20" s="119">
        <v>-2.6018520000000001</v>
      </c>
      <c r="H20" s="120">
        <v>0</v>
      </c>
      <c r="I20" s="124">
        <v>42958</v>
      </c>
      <c r="J20" s="121" t="s">
        <v>36</v>
      </c>
      <c r="K20" s="121" t="s">
        <v>831</v>
      </c>
      <c r="L20" s="118" t="s">
        <v>1687</v>
      </c>
      <c r="M20" s="117" t="s">
        <v>2563</v>
      </c>
      <c r="N20" s="117" t="s">
        <v>2814</v>
      </c>
      <c r="O20" s="118" t="s">
        <v>907</v>
      </c>
      <c r="P20" s="117" t="s">
        <v>907</v>
      </c>
      <c r="Q20" s="118" t="s">
        <v>1722</v>
      </c>
      <c r="R20" s="118" t="s">
        <v>2713</v>
      </c>
      <c r="S20" s="122">
        <v>0.11600000000000001</v>
      </c>
      <c r="T20" s="118">
        <v>5.8000000000000003E-2</v>
      </c>
      <c r="U20" s="122">
        <f t="shared" si="0"/>
        <v>5.8000000000000003E-2</v>
      </c>
      <c r="V20" s="118">
        <v>7.0410000000000004</v>
      </c>
      <c r="W20" s="118">
        <v>22.558</v>
      </c>
      <c r="X20" s="118">
        <f t="shared" si="1"/>
        <v>158.83087800000001</v>
      </c>
    </row>
    <row r="21" spans="1:24" ht="16">
      <c r="A21" s="117" t="s">
        <v>3570</v>
      </c>
      <c r="B21" s="118" t="s">
        <v>1731</v>
      </c>
      <c r="C21" s="118" t="s">
        <v>2663</v>
      </c>
      <c r="D21" s="118" t="s">
        <v>3569</v>
      </c>
      <c r="E21" s="117" t="s">
        <v>1685</v>
      </c>
      <c r="F21" s="119">
        <v>51.458010999999999</v>
      </c>
      <c r="G21" s="119">
        <v>-2.6018520000000001</v>
      </c>
      <c r="H21" s="120">
        <v>0</v>
      </c>
      <c r="I21" s="124">
        <v>42958</v>
      </c>
      <c r="J21" s="121" t="s">
        <v>36</v>
      </c>
      <c r="K21" s="121" t="s">
        <v>831</v>
      </c>
      <c r="L21" s="118" t="s">
        <v>1687</v>
      </c>
      <c r="M21" s="117" t="s">
        <v>2563</v>
      </c>
      <c r="N21" s="117" t="s">
        <v>2814</v>
      </c>
      <c r="O21" s="118" t="s">
        <v>907</v>
      </c>
      <c r="P21" s="117" t="s">
        <v>907</v>
      </c>
      <c r="Q21" s="118" t="s">
        <v>1722</v>
      </c>
      <c r="R21" s="118" t="s">
        <v>2713</v>
      </c>
      <c r="S21" s="122">
        <v>0.1113</v>
      </c>
      <c r="T21" s="118">
        <v>5.8000000000000003E-2</v>
      </c>
      <c r="U21" s="122">
        <f t="shared" si="0"/>
        <v>5.3299999999999993E-2</v>
      </c>
      <c r="V21" s="118">
        <v>6.6310000000000002</v>
      </c>
      <c r="W21" s="118">
        <v>18.850000000000001</v>
      </c>
      <c r="X21" s="118">
        <f t="shared" si="1"/>
        <v>124.99435000000001</v>
      </c>
    </row>
    <row r="22" spans="1:24" ht="16">
      <c r="A22" s="117" t="s">
        <v>3570</v>
      </c>
      <c r="B22" s="118" t="s">
        <v>1691</v>
      </c>
      <c r="C22" s="118" t="s">
        <v>2663</v>
      </c>
      <c r="D22" s="118" t="s">
        <v>3569</v>
      </c>
      <c r="E22" s="117" t="s">
        <v>1685</v>
      </c>
      <c r="F22" s="119">
        <v>51.458010999999999</v>
      </c>
      <c r="G22" s="119">
        <v>-2.6018520000000001</v>
      </c>
      <c r="H22" s="120">
        <v>0</v>
      </c>
      <c r="I22" s="124">
        <v>42958</v>
      </c>
      <c r="J22" s="121" t="s">
        <v>36</v>
      </c>
      <c r="K22" s="121" t="s">
        <v>831</v>
      </c>
      <c r="L22" s="118" t="s">
        <v>1687</v>
      </c>
      <c r="M22" s="117" t="s">
        <v>2563</v>
      </c>
      <c r="N22" s="117" t="s">
        <v>2814</v>
      </c>
      <c r="O22" s="118" t="s">
        <v>907</v>
      </c>
      <c r="P22" s="117" t="s">
        <v>3187</v>
      </c>
      <c r="Q22" s="118" t="s">
        <v>1688</v>
      </c>
      <c r="R22" s="118" t="s">
        <v>2712</v>
      </c>
      <c r="S22" s="122">
        <v>0.1208</v>
      </c>
      <c r="T22" s="118">
        <v>0.06</v>
      </c>
      <c r="U22" s="122">
        <f t="shared" si="0"/>
        <v>6.0800000000000007E-2</v>
      </c>
      <c r="V22" s="118">
        <v>6.5170000000000003</v>
      </c>
      <c r="W22" s="118">
        <v>22.35</v>
      </c>
      <c r="X22" s="118">
        <f t="shared" si="1"/>
        <v>145.65495000000001</v>
      </c>
    </row>
    <row r="23" spans="1:24" ht="16">
      <c r="A23" s="117" t="s">
        <v>3570</v>
      </c>
      <c r="B23" s="118" t="s">
        <v>1712</v>
      </c>
      <c r="C23" s="118" t="s">
        <v>2663</v>
      </c>
      <c r="D23" s="118" t="s">
        <v>3569</v>
      </c>
      <c r="E23" s="117" t="s">
        <v>1685</v>
      </c>
      <c r="F23" s="119">
        <v>51.457596000000002</v>
      </c>
      <c r="G23" s="119">
        <v>-2.601337</v>
      </c>
      <c r="H23" s="120">
        <v>0</v>
      </c>
      <c r="I23" s="124">
        <v>42958</v>
      </c>
      <c r="J23" s="121" t="s">
        <v>36</v>
      </c>
      <c r="K23" s="121" t="s">
        <v>831</v>
      </c>
      <c r="L23" s="118" t="s">
        <v>1687</v>
      </c>
      <c r="M23" s="117" t="s">
        <v>2563</v>
      </c>
      <c r="N23" s="117" t="s">
        <v>2814</v>
      </c>
      <c r="O23" s="118" t="s">
        <v>907</v>
      </c>
      <c r="P23" s="118" t="s">
        <v>3188</v>
      </c>
      <c r="Q23" s="118" t="s">
        <v>1710</v>
      </c>
      <c r="R23" s="118" t="s">
        <v>2713</v>
      </c>
      <c r="S23" s="122">
        <v>8.7099999999999997E-2</v>
      </c>
      <c r="T23" s="118">
        <v>5.8000000000000003E-2</v>
      </c>
      <c r="U23" s="122">
        <f t="shared" si="0"/>
        <v>2.9099999999999994E-2</v>
      </c>
      <c r="V23" s="118">
        <v>4.7759999999999998</v>
      </c>
      <c r="W23" s="118">
        <v>16.615000000000002</v>
      </c>
      <c r="X23" s="118">
        <f t="shared" si="1"/>
        <v>79.35324</v>
      </c>
    </row>
    <row r="24" spans="1:24" ht="16">
      <c r="A24" s="117" t="s">
        <v>3570</v>
      </c>
      <c r="B24" s="118" t="s">
        <v>1732</v>
      </c>
      <c r="C24" s="118" t="s">
        <v>2663</v>
      </c>
      <c r="D24" s="118" t="s">
        <v>3569</v>
      </c>
      <c r="E24" s="117" t="s">
        <v>1685</v>
      </c>
      <c r="F24" s="119">
        <v>51.458010999999999</v>
      </c>
      <c r="G24" s="119">
        <v>-2.6018520000000001</v>
      </c>
      <c r="H24" s="120">
        <v>0</v>
      </c>
      <c r="I24" s="124">
        <v>42958</v>
      </c>
      <c r="J24" s="121" t="s">
        <v>36</v>
      </c>
      <c r="K24" s="121" t="s">
        <v>831</v>
      </c>
      <c r="L24" s="118" t="s">
        <v>1687</v>
      </c>
      <c r="M24" s="117" t="s">
        <v>2563</v>
      </c>
      <c r="N24" s="117" t="s">
        <v>2814</v>
      </c>
      <c r="O24" s="118" t="s">
        <v>907</v>
      </c>
      <c r="P24" s="117" t="s">
        <v>907</v>
      </c>
      <c r="Q24" s="118" t="s">
        <v>1722</v>
      </c>
      <c r="R24" s="118" t="s">
        <v>2713</v>
      </c>
      <c r="S24" s="122">
        <v>0.1303</v>
      </c>
      <c r="T24" s="118">
        <v>5.8000000000000003E-2</v>
      </c>
      <c r="U24" s="122">
        <f t="shared" si="0"/>
        <v>7.2300000000000003E-2</v>
      </c>
      <c r="V24" s="118">
        <v>7.0339999999999998</v>
      </c>
      <c r="W24" s="118">
        <v>21.222000000000001</v>
      </c>
      <c r="X24" s="118">
        <f t="shared" si="1"/>
        <v>149.27554800000001</v>
      </c>
    </row>
    <row r="25" spans="1:24" ht="16">
      <c r="A25" s="117" t="s">
        <v>3570</v>
      </c>
      <c r="B25" s="118" t="s">
        <v>1733</v>
      </c>
      <c r="C25" s="118" t="s">
        <v>2663</v>
      </c>
      <c r="D25" s="118" t="s">
        <v>3569</v>
      </c>
      <c r="E25" s="117" t="s">
        <v>1685</v>
      </c>
      <c r="F25" s="119">
        <v>51.458010999999999</v>
      </c>
      <c r="G25" s="119">
        <v>-2.6018520000000001</v>
      </c>
      <c r="H25" s="120">
        <v>0</v>
      </c>
      <c r="I25" s="124">
        <v>42958</v>
      </c>
      <c r="J25" s="121" t="s">
        <v>36</v>
      </c>
      <c r="K25" s="121" t="s">
        <v>831</v>
      </c>
      <c r="L25" s="118" t="s">
        <v>1687</v>
      </c>
      <c r="M25" s="117" t="s">
        <v>2563</v>
      </c>
      <c r="N25" s="117" t="s">
        <v>2814</v>
      </c>
      <c r="O25" s="118" t="s">
        <v>907</v>
      </c>
      <c r="P25" s="117" t="s">
        <v>907</v>
      </c>
      <c r="Q25" s="118" t="s">
        <v>1722</v>
      </c>
      <c r="R25" s="118" t="s">
        <v>2713</v>
      </c>
      <c r="S25" s="122">
        <v>0.13100000000000001</v>
      </c>
      <c r="T25" s="118">
        <v>5.8000000000000003E-2</v>
      </c>
      <c r="U25" s="122">
        <f t="shared" si="0"/>
        <v>7.3000000000000009E-2</v>
      </c>
      <c r="V25" s="118">
        <v>8.1820000000000004</v>
      </c>
      <c r="W25" s="118">
        <v>23.864000000000001</v>
      </c>
      <c r="X25" s="118">
        <f t="shared" si="1"/>
        <v>195.25524800000002</v>
      </c>
    </row>
    <row r="26" spans="1:24" ht="16">
      <c r="A26" s="117" t="s">
        <v>3570</v>
      </c>
      <c r="B26" s="118" t="s">
        <v>1703</v>
      </c>
      <c r="C26" s="118" t="s">
        <v>2663</v>
      </c>
      <c r="D26" s="118" t="s">
        <v>3569</v>
      </c>
      <c r="E26" s="117" t="s">
        <v>1685</v>
      </c>
      <c r="F26" s="119">
        <v>51.458010999999999</v>
      </c>
      <c r="G26" s="119">
        <v>-2.6018520000000001</v>
      </c>
      <c r="H26" s="120">
        <v>0</v>
      </c>
      <c r="I26" s="124">
        <v>42958</v>
      </c>
      <c r="J26" s="121" t="s">
        <v>36</v>
      </c>
      <c r="K26" s="121" t="s">
        <v>831</v>
      </c>
      <c r="L26" s="118" t="s">
        <v>1687</v>
      </c>
      <c r="M26" s="117" t="s">
        <v>2563</v>
      </c>
      <c r="N26" s="117" t="s">
        <v>2814</v>
      </c>
      <c r="O26" s="118" t="s">
        <v>907</v>
      </c>
      <c r="P26" s="117" t="s">
        <v>3187</v>
      </c>
      <c r="Q26" s="118" t="s">
        <v>1688</v>
      </c>
      <c r="R26" s="118" t="s">
        <v>2713</v>
      </c>
      <c r="S26" s="122">
        <v>9.3799999999999994E-2</v>
      </c>
      <c r="T26" s="118">
        <v>5.8999999999999997E-2</v>
      </c>
      <c r="U26" s="122">
        <f t="shared" si="0"/>
        <v>3.4799999999999998E-2</v>
      </c>
      <c r="V26" s="118">
        <v>5.024</v>
      </c>
      <c r="W26" s="118">
        <v>15.565</v>
      </c>
      <c r="X26" s="118">
        <f t="shared" si="1"/>
        <v>78.198560000000001</v>
      </c>
    </row>
    <row r="27" spans="1:24" ht="16">
      <c r="A27" s="117" t="s">
        <v>3570</v>
      </c>
      <c r="B27" s="118" t="s">
        <v>1692</v>
      </c>
      <c r="C27" s="118" t="s">
        <v>2663</v>
      </c>
      <c r="D27" s="118" t="s">
        <v>3569</v>
      </c>
      <c r="E27" s="117" t="s">
        <v>1685</v>
      </c>
      <c r="F27" s="119">
        <v>51.458010999999999</v>
      </c>
      <c r="G27" s="119">
        <v>-2.6018520000000001</v>
      </c>
      <c r="H27" s="120">
        <v>0</v>
      </c>
      <c r="I27" s="124">
        <v>42958</v>
      </c>
      <c r="J27" s="121" t="s">
        <v>36</v>
      </c>
      <c r="K27" s="121" t="s">
        <v>831</v>
      </c>
      <c r="L27" s="118" t="s">
        <v>1687</v>
      </c>
      <c r="M27" s="117" t="s">
        <v>2563</v>
      </c>
      <c r="N27" s="117" t="s">
        <v>2814</v>
      </c>
      <c r="O27" s="118" t="s">
        <v>907</v>
      </c>
      <c r="P27" s="117" t="s">
        <v>3187</v>
      </c>
      <c r="Q27" s="118" t="s">
        <v>1688</v>
      </c>
      <c r="R27" s="118" t="s">
        <v>2712</v>
      </c>
      <c r="S27" s="122">
        <v>9.9599999999999994E-2</v>
      </c>
      <c r="T27" s="118">
        <v>5.8000000000000003E-2</v>
      </c>
      <c r="U27" s="122">
        <f t="shared" si="0"/>
        <v>4.1599999999999991E-2</v>
      </c>
      <c r="V27" s="118">
        <v>6.1449999999999996</v>
      </c>
      <c r="W27" s="118">
        <v>18.956</v>
      </c>
      <c r="X27" s="118">
        <f t="shared" si="1"/>
        <v>116.48461999999999</v>
      </c>
    </row>
    <row r="28" spans="1:24" ht="16">
      <c r="A28" s="117" t="s">
        <v>3570</v>
      </c>
      <c r="B28" s="118" t="s">
        <v>1734</v>
      </c>
      <c r="C28" s="118" t="s">
        <v>2663</v>
      </c>
      <c r="D28" s="118" t="s">
        <v>3569</v>
      </c>
      <c r="E28" s="117" t="s">
        <v>1685</v>
      </c>
      <c r="F28" s="119">
        <v>51.458010999999999</v>
      </c>
      <c r="G28" s="119">
        <v>-2.6018520000000001</v>
      </c>
      <c r="H28" s="120">
        <v>0</v>
      </c>
      <c r="I28" s="124">
        <v>42958</v>
      </c>
      <c r="J28" s="121" t="s">
        <v>36</v>
      </c>
      <c r="K28" s="121" t="s">
        <v>831</v>
      </c>
      <c r="L28" s="118" t="s">
        <v>1687</v>
      </c>
      <c r="M28" s="117" t="s">
        <v>2563</v>
      </c>
      <c r="N28" s="117" t="s">
        <v>2814</v>
      </c>
      <c r="O28" s="118" t="s">
        <v>907</v>
      </c>
      <c r="P28" s="117" t="s">
        <v>907</v>
      </c>
      <c r="Q28" s="118" t="s">
        <v>1722</v>
      </c>
      <c r="R28" s="118" t="s">
        <v>2713</v>
      </c>
      <c r="S28" s="122">
        <v>0.1103</v>
      </c>
      <c r="T28" s="118">
        <v>5.7000000000000002E-2</v>
      </c>
      <c r="U28" s="122">
        <f t="shared" si="0"/>
        <v>5.3299999999999993E-2</v>
      </c>
      <c r="V28" s="118">
        <v>6.7670000000000003</v>
      </c>
      <c r="W28" s="118">
        <v>20.152000000000001</v>
      </c>
      <c r="X28" s="118">
        <f t="shared" si="1"/>
        <v>136.36858400000003</v>
      </c>
    </row>
    <row r="29" spans="1:24" ht="16">
      <c r="A29" s="117" t="s">
        <v>3570</v>
      </c>
      <c r="B29" s="118" t="s">
        <v>1735</v>
      </c>
      <c r="C29" s="118" t="s">
        <v>2663</v>
      </c>
      <c r="D29" s="118" t="s">
        <v>3569</v>
      </c>
      <c r="E29" s="117" t="s">
        <v>1685</v>
      </c>
      <c r="F29" s="119">
        <v>51.457596000000002</v>
      </c>
      <c r="G29" s="119">
        <v>-2.601337</v>
      </c>
      <c r="H29" s="120">
        <v>0</v>
      </c>
      <c r="I29" s="124">
        <v>42958</v>
      </c>
      <c r="J29" s="121" t="s">
        <v>36</v>
      </c>
      <c r="K29" s="121" t="s">
        <v>831</v>
      </c>
      <c r="L29" s="118" t="s">
        <v>1687</v>
      </c>
      <c r="M29" s="117" t="s">
        <v>2563</v>
      </c>
      <c r="N29" s="117" t="s">
        <v>2814</v>
      </c>
      <c r="O29" s="118" t="s">
        <v>907</v>
      </c>
      <c r="P29" s="117" t="s">
        <v>907</v>
      </c>
      <c r="Q29" s="118" t="s">
        <v>1722</v>
      </c>
      <c r="R29" s="118" t="s">
        <v>2713</v>
      </c>
      <c r="S29" s="122">
        <v>0.16589999999999999</v>
      </c>
      <c r="T29" s="118">
        <v>0.06</v>
      </c>
      <c r="U29" s="122">
        <f t="shared" si="0"/>
        <v>0.10589999999999999</v>
      </c>
      <c r="V29" s="118">
        <v>8.1760000000000002</v>
      </c>
      <c r="W29" s="118">
        <v>24.164000000000001</v>
      </c>
      <c r="X29" s="118">
        <f t="shared" si="1"/>
        <v>197.56486400000003</v>
      </c>
    </row>
    <row r="30" spans="1:24" ht="16">
      <c r="A30" s="117" t="s">
        <v>3570</v>
      </c>
      <c r="B30" s="118" t="s">
        <v>1736</v>
      </c>
      <c r="C30" s="118" t="s">
        <v>2663</v>
      </c>
      <c r="D30" s="118" t="s">
        <v>3569</v>
      </c>
      <c r="E30" s="117" t="s">
        <v>1685</v>
      </c>
      <c r="F30" s="119">
        <v>51.458010999999999</v>
      </c>
      <c r="G30" s="119">
        <v>-2.6018520000000001</v>
      </c>
      <c r="H30" s="120">
        <v>0</v>
      </c>
      <c r="I30" s="124">
        <v>42958</v>
      </c>
      <c r="J30" s="121" t="s">
        <v>36</v>
      </c>
      <c r="K30" s="121" t="s">
        <v>831</v>
      </c>
      <c r="L30" s="118" t="s">
        <v>1687</v>
      </c>
      <c r="M30" s="117" t="s">
        <v>2563</v>
      </c>
      <c r="N30" s="117" t="s">
        <v>2814</v>
      </c>
      <c r="O30" s="118" t="s">
        <v>907</v>
      </c>
      <c r="P30" s="117" t="s">
        <v>907</v>
      </c>
      <c r="Q30" s="118" t="s">
        <v>1722</v>
      </c>
      <c r="R30" s="118" t="s">
        <v>2713</v>
      </c>
      <c r="S30" s="122">
        <v>0.125</v>
      </c>
      <c r="T30" s="118">
        <v>5.8000000000000003E-2</v>
      </c>
      <c r="U30" s="122">
        <f t="shared" si="0"/>
        <v>6.7000000000000004E-2</v>
      </c>
      <c r="V30" s="118">
        <v>7.3689999999999998</v>
      </c>
      <c r="W30" s="118">
        <v>23.309000000000001</v>
      </c>
      <c r="X30" s="118">
        <f t="shared" si="1"/>
        <v>171.76402100000001</v>
      </c>
    </row>
    <row r="31" spans="1:24" ht="16">
      <c r="A31" s="117" t="s">
        <v>3570</v>
      </c>
      <c r="B31" s="118" t="s">
        <v>1737</v>
      </c>
      <c r="C31" s="118" t="s">
        <v>2663</v>
      </c>
      <c r="D31" s="118" t="s">
        <v>3569</v>
      </c>
      <c r="E31" s="117" t="s">
        <v>1685</v>
      </c>
      <c r="F31" s="119">
        <v>51.458010999999999</v>
      </c>
      <c r="G31" s="119">
        <v>-2.6018520000000001</v>
      </c>
      <c r="H31" s="120">
        <v>0</v>
      </c>
      <c r="I31" s="124">
        <v>42958</v>
      </c>
      <c r="J31" s="121" t="s">
        <v>36</v>
      </c>
      <c r="K31" s="121" t="s">
        <v>831</v>
      </c>
      <c r="L31" s="118" t="s">
        <v>1687</v>
      </c>
      <c r="M31" s="117" t="s">
        <v>2563</v>
      </c>
      <c r="N31" s="117" t="s">
        <v>2814</v>
      </c>
      <c r="O31" s="118" t="s">
        <v>907</v>
      </c>
      <c r="P31" s="117" t="s">
        <v>907</v>
      </c>
      <c r="Q31" s="118" t="s">
        <v>1722</v>
      </c>
      <c r="R31" s="118" t="s">
        <v>2713</v>
      </c>
      <c r="S31" s="122">
        <v>0.156</v>
      </c>
      <c r="T31" s="118">
        <v>0.06</v>
      </c>
      <c r="U31" s="122">
        <f t="shared" si="0"/>
        <v>9.6000000000000002E-2</v>
      </c>
      <c r="V31" s="118">
        <v>8.1820000000000004</v>
      </c>
      <c r="W31" s="118">
        <v>23.908000000000001</v>
      </c>
      <c r="X31" s="118">
        <f t="shared" si="1"/>
        <v>195.61525600000002</v>
      </c>
    </row>
    <row r="32" spans="1:24" ht="16">
      <c r="A32" s="117" t="s">
        <v>3570</v>
      </c>
      <c r="B32" s="118" t="s">
        <v>1693</v>
      </c>
      <c r="C32" s="118" t="s">
        <v>2663</v>
      </c>
      <c r="D32" s="118" t="s">
        <v>3569</v>
      </c>
      <c r="E32" s="117" t="s">
        <v>1685</v>
      </c>
      <c r="F32" s="119">
        <v>51.457596000000002</v>
      </c>
      <c r="G32" s="119">
        <v>-2.601337</v>
      </c>
      <c r="H32" s="120">
        <v>0</v>
      </c>
      <c r="I32" s="124">
        <v>42958</v>
      </c>
      <c r="J32" s="121" t="s">
        <v>36</v>
      </c>
      <c r="K32" s="121" t="s">
        <v>831</v>
      </c>
      <c r="L32" s="118" t="s">
        <v>1687</v>
      </c>
      <c r="M32" s="117" t="s">
        <v>2563</v>
      </c>
      <c r="N32" s="117" t="s">
        <v>2814</v>
      </c>
      <c r="O32" s="118" t="s">
        <v>907</v>
      </c>
      <c r="P32" s="117" t="s">
        <v>3187</v>
      </c>
      <c r="Q32" s="118" t="s">
        <v>1688</v>
      </c>
      <c r="R32" s="118" t="s">
        <v>2712</v>
      </c>
      <c r="S32" s="122">
        <v>0.105</v>
      </c>
      <c r="T32" s="118">
        <v>0.06</v>
      </c>
      <c r="U32" s="122">
        <f t="shared" si="0"/>
        <v>4.4999999999999998E-2</v>
      </c>
      <c r="V32" s="118">
        <v>5.9930000000000003</v>
      </c>
      <c r="W32" s="118">
        <v>20.747</v>
      </c>
      <c r="X32" s="118">
        <f t="shared" si="1"/>
        <v>124.33677100000001</v>
      </c>
    </row>
    <row r="33" spans="1:24" ht="16">
      <c r="A33" s="117" t="s">
        <v>3570</v>
      </c>
      <c r="B33" s="118" t="s">
        <v>1707</v>
      </c>
      <c r="C33" s="118" t="s">
        <v>2663</v>
      </c>
      <c r="D33" s="118" t="s">
        <v>3569</v>
      </c>
      <c r="E33" s="117" t="s">
        <v>1685</v>
      </c>
      <c r="F33" s="119">
        <v>51.458010999999999</v>
      </c>
      <c r="G33" s="119">
        <v>-2.6018520000000001</v>
      </c>
      <c r="H33" s="120">
        <v>0</v>
      </c>
      <c r="I33" s="124">
        <v>42958</v>
      </c>
      <c r="J33" s="121" t="s">
        <v>36</v>
      </c>
      <c r="K33" s="121" t="s">
        <v>831</v>
      </c>
      <c r="L33" s="118" t="s">
        <v>1687</v>
      </c>
      <c r="M33" s="117" t="s">
        <v>2563</v>
      </c>
      <c r="N33" s="117" t="s">
        <v>2814</v>
      </c>
      <c r="O33" s="118" t="s">
        <v>907</v>
      </c>
      <c r="P33" s="118" t="s">
        <v>907</v>
      </c>
      <c r="Q33" s="118" t="s">
        <v>1705</v>
      </c>
      <c r="R33" s="118" t="s">
        <v>2712</v>
      </c>
      <c r="S33" s="122">
        <v>0.11940000000000001</v>
      </c>
      <c r="T33" s="118">
        <v>5.8000000000000003E-2</v>
      </c>
      <c r="U33" s="122">
        <f t="shared" si="0"/>
        <v>6.1400000000000003E-2</v>
      </c>
      <c r="V33" s="118">
        <v>6.8109999999999999</v>
      </c>
      <c r="W33" s="118">
        <v>22.384999999999998</v>
      </c>
      <c r="X33" s="118">
        <f t="shared" si="1"/>
        <v>152.46423499999997</v>
      </c>
    </row>
    <row r="34" spans="1:24" ht="16">
      <c r="A34" s="117" t="s">
        <v>3570</v>
      </c>
      <c r="B34" s="118" t="s">
        <v>1709</v>
      </c>
      <c r="C34" s="118" t="s">
        <v>2663</v>
      </c>
      <c r="D34" s="118" t="s">
        <v>3569</v>
      </c>
      <c r="E34" s="117" t="s">
        <v>1685</v>
      </c>
      <c r="F34" s="119">
        <v>51.458010999999999</v>
      </c>
      <c r="G34" s="119">
        <v>-2.6018520000000001</v>
      </c>
      <c r="H34" s="120">
        <v>0</v>
      </c>
      <c r="I34" s="124">
        <v>42958</v>
      </c>
      <c r="J34" s="121" t="s">
        <v>36</v>
      </c>
      <c r="K34" s="121" t="s">
        <v>831</v>
      </c>
      <c r="L34" s="118" t="s">
        <v>1687</v>
      </c>
      <c r="M34" s="117" t="s">
        <v>2563</v>
      </c>
      <c r="N34" s="117" t="s">
        <v>2814</v>
      </c>
      <c r="O34" s="118" t="s">
        <v>907</v>
      </c>
      <c r="P34" s="118" t="s">
        <v>3188</v>
      </c>
      <c r="Q34" s="118" t="s">
        <v>1710</v>
      </c>
      <c r="R34" s="118" t="s">
        <v>2712</v>
      </c>
      <c r="S34" s="122">
        <v>8.72E-2</v>
      </c>
      <c r="T34" s="118">
        <v>0.06</v>
      </c>
      <c r="U34" s="122">
        <f t="shared" si="0"/>
        <v>2.7200000000000002E-2</v>
      </c>
      <c r="V34" s="118">
        <v>5.0940000000000003</v>
      </c>
      <c r="W34" s="118">
        <v>14.888</v>
      </c>
      <c r="X34" s="118">
        <f t="shared" si="1"/>
        <v>75.839472000000001</v>
      </c>
    </row>
    <row r="35" spans="1:24" ht="16">
      <c r="A35" s="117" t="s">
        <v>3570</v>
      </c>
      <c r="B35" s="118" t="s">
        <v>1713</v>
      </c>
      <c r="C35" s="118" t="s">
        <v>2663</v>
      </c>
      <c r="D35" s="118" t="s">
        <v>3569</v>
      </c>
      <c r="E35" s="117" t="s">
        <v>1685</v>
      </c>
      <c r="F35" s="119">
        <v>51.457596000000002</v>
      </c>
      <c r="G35" s="119">
        <v>-2.601337</v>
      </c>
      <c r="H35" s="120">
        <v>0</v>
      </c>
      <c r="I35" s="124">
        <v>42958</v>
      </c>
      <c r="J35" s="121" t="s">
        <v>36</v>
      </c>
      <c r="K35" s="121" t="s">
        <v>831</v>
      </c>
      <c r="L35" s="118" t="s">
        <v>1687</v>
      </c>
      <c r="M35" s="117" t="s">
        <v>2563</v>
      </c>
      <c r="N35" s="117" t="s">
        <v>2814</v>
      </c>
      <c r="O35" s="118" t="s">
        <v>907</v>
      </c>
      <c r="P35" s="118" t="s">
        <v>3188</v>
      </c>
      <c r="Q35" s="118" t="s">
        <v>1710</v>
      </c>
      <c r="R35" s="118" t="s">
        <v>2713</v>
      </c>
      <c r="S35" s="122">
        <v>9.0300000000000005E-2</v>
      </c>
      <c r="T35" s="118">
        <v>5.8999999999999997E-2</v>
      </c>
      <c r="U35" s="122">
        <f t="shared" si="0"/>
        <v>3.1300000000000008E-2</v>
      </c>
      <c r="V35" s="118">
        <v>5.1909999999999998</v>
      </c>
      <c r="W35" s="118">
        <v>15.617000000000001</v>
      </c>
      <c r="X35" s="118">
        <f t="shared" si="1"/>
        <v>81.067847</v>
      </c>
    </row>
    <row r="36" spans="1:24" ht="16">
      <c r="A36" s="117" t="s">
        <v>3570</v>
      </c>
      <c r="B36" s="118" t="s">
        <v>1714</v>
      </c>
      <c r="C36" s="118" t="s">
        <v>2663</v>
      </c>
      <c r="D36" s="118" t="s">
        <v>3569</v>
      </c>
      <c r="E36" s="117" t="s">
        <v>1685</v>
      </c>
      <c r="F36" s="119">
        <v>51.457596000000002</v>
      </c>
      <c r="G36" s="119">
        <v>-2.601337</v>
      </c>
      <c r="H36" s="120">
        <v>0</v>
      </c>
      <c r="I36" s="124">
        <v>42958</v>
      </c>
      <c r="J36" s="121" t="s">
        <v>36</v>
      </c>
      <c r="K36" s="121" t="s">
        <v>831</v>
      </c>
      <c r="L36" s="118" t="s">
        <v>1687</v>
      </c>
      <c r="M36" s="117" t="s">
        <v>2563</v>
      </c>
      <c r="N36" s="117" t="s">
        <v>2814</v>
      </c>
      <c r="O36" s="118" t="s">
        <v>907</v>
      </c>
      <c r="P36" s="118" t="s">
        <v>3188</v>
      </c>
      <c r="Q36" s="118" t="s">
        <v>1710</v>
      </c>
      <c r="R36" s="118" t="s">
        <v>2713</v>
      </c>
      <c r="S36" s="122">
        <v>9.8599999999999993E-2</v>
      </c>
      <c r="T36" s="118">
        <v>0.06</v>
      </c>
      <c r="U36" s="122">
        <f t="shared" si="0"/>
        <v>3.8599999999999995E-2</v>
      </c>
      <c r="V36" s="118">
        <v>5.383</v>
      </c>
      <c r="W36" s="118">
        <v>17.939</v>
      </c>
      <c r="X36" s="118">
        <f t="shared" si="1"/>
        <v>96.565636999999995</v>
      </c>
    </row>
    <row r="37" spans="1:24" ht="16">
      <c r="A37" s="117" t="s">
        <v>3570</v>
      </c>
      <c r="B37" s="118" t="s">
        <v>1704</v>
      </c>
      <c r="C37" s="118" t="s">
        <v>2663</v>
      </c>
      <c r="D37" s="118" t="s">
        <v>3569</v>
      </c>
      <c r="E37" s="117" t="s">
        <v>1685</v>
      </c>
      <c r="F37" s="119">
        <v>51.457596000000002</v>
      </c>
      <c r="G37" s="119">
        <v>-2.601337</v>
      </c>
      <c r="H37" s="120">
        <v>0</v>
      </c>
      <c r="I37" s="124">
        <v>42958</v>
      </c>
      <c r="J37" s="121" t="s">
        <v>36</v>
      </c>
      <c r="K37" s="121" t="s">
        <v>831</v>
      </c>
      <c r="L37" s="118" t="s">
        <v>1687</v>
      </c>
      <c r="M37" s="117" t="s">
        <v>2563</v>
      </c>
      <c r="N37" s="117" t="s">
        <v>2814</v>
      </c>
      <c r="O37" s="118" t="s">
        <v>907</v>
      </c>
      <c r="P37" s="118" t="s">
        <v>907</v>
      </c>
      <c r="Q37" s="118" t="s">
        <v>1705</v>
      </c>
      <c r="R37" s="118" t="s">
        <v>2712</v>
      </c>
      <c r="S37" s="122">
        <v>0.11650000000000001</v>
      </c>
      <c r="T37" s="118">
        <v>5.8999999999999997E-2</v>
      </c>
      <c r="U37" s="122">
        <f t="shared" si="0"/>
        <v>5.7500000000000009E-2</v>
      </c>
      <c r="V37" s="118">
        <v>7.63</v>
      </c>
      <c r="W37" s="118">
        <v>23.152000000000001</v>
      </c>
      <c r="X37" s="118">
        <f t="shared" si="1"/>
        <v>176.64976000000001</v>
      </c>
    </row>
    <row r="38" spans="1:24" ht="16">
      <c r="A38" s="117" t="s">
        <v>3570</v>
      </c>
      <c r="B38" s="118" t="s">
        <v>1706</v>
      </c>
      <c r="C38" s="118" t="s">
        <v>2663</v>
      </c>
      <c r="D38" s="118" t="s">
        <v>3569</v>
      </c>
      <c r="E38" s="117" t="s">
        <v>1685</v>
      </c>
      <c r="F38" s="119">
        <v>51.457596000000002</v>
      </c>
      <c r="G38" s="119">
        <v>-2.601337</v>
      </c>
      <c r="H38" s="120">
        <v>0</v>
      </c>
      <c r="I38" s="124">
        <v>42958</v>
      </c>
      <c r="J38" s="121" t="s">
        <v>36</v>
      </c>
      <c r="K38" s="121" t="s">
        <v>831</v>
      </c>
      <c r="L38" s="118" t="s">
        <v>1687</v>
      </c>
      <c r="M38" s="117" t="s">
        <v>2563</v>
      </c>
      <c r="N38" s="117" t="s">
        <v>2814</v>
      </c>
      <c r="O38" s="118" t="s">
        <v>907</v>
      </c>
      <c r="P38" s="118" t="s">
        <v>907</v>
      </c>
      <c r="Q38" s="118" t="s">
        <v>1705</v>
      </c>
      <c r="R38" s="118" t="s">
        <v>2712</v>
      </c>
      <c r="S38" s="122">
        <v>0.11509999999999999</v>
      </c>
      <c r="T38" s="118">
        <v>5.8999999999999997E-2</v>
      </c>
      <c r="U38" s="122">
        <f t="shared" si="0"/>
        <v>5.6099999999999997E-2</v>
      </c>
      <c r="V38" s="118">
        <v>7.37</v>
      </c>
      <c r="W38" s="118">
        <v>22.554000000000002</v>
      </c>
      <c r="X38" s="118">
        <f t="shared" si="1"/>
        <v>166.22298000000001</v>
      </c>
    </row>
    <row r="39" spans="1:24" ht="16">
      <c r="A39" s="117" t="s">
        <v>3570</v>
      </c>
      <c r="B39" s="118" t="s">
        <v>1708</v>
      </c>
      <c r="C39" s="118" t="s">
        <v>2663</v>
      </c>
      <c r="D39" s="118" t="s">
        <v>3569</v>
      </c>
      <c r="E39" s="118" t="s">
        <v>1694</v>
      </c>
      <c r="F39" s="118">
        <v>51.479655999999999</v>
      </c>
      <c r="G39" s="118">
        <v>-2.6235019999999998</v>
      </c>
      <c r="H39" s="120">
        <v>0</v>
      </c>
      <c r="I39" s="124">
        <v>42962</v>
      </c>
      <c r="J39" s="121" t="s">
        <v>36</v>
      </c>
      <c r="K39" s="121" t="s">
        <v>831</v>
      </c>
      <c r="L39" s="118" t="s">
        <v>1687</v>
      </c>
      <c r="M39" s="117" t="s">
        <v>2563</v>
      </c>
      <c r="N39" s="117" t="s">
        <v>2814</v>
      </c>
      <c r="O39" s="118" t="s">
        <v>907</v>
      </c>
      <c r="P39" s="118" t="s">
        <v>907</v>
      </c>
      <c r="Q39" s="118" t="s">
        <v>1705</v>
      </c>
      <c r="R39" s="118" t="s">
        <v>2712</v>
      </c>
      <c r="S39" s="122">
        <v>0.1234</v>
      </c>
      <c r="T39" s="118">
        <v>5.8999999999999997E-2</v>
      </c>
      <c r="U39" s="122">
        <f t="shared" si="0"/>
        <v>6.4399999999999999E-2</v>
      </c>
      <c r="V39" s="118">
        <v>7.335</v>
      </c>
      <c r="W39" s="118">
        <v>23.277000000000001</v>
      </c>
      <c r="X39" s="118">
        <f t="shared" si="1"/>
        <v>170.736795</v>
      </c>
    </row>
    <row r="40" spans="1:24" ht="16">
      <c r="A40" s="117" t="s">
        <v>3570</v>
      </c>
      <c r="B40" s="118" t="s">
        <v>1711</v>
      </c>
      <c r="C40" s="118" t="s">
        <v>2663</v>
      </c>
      <c r="D40" s="118" t="s">
        <v>3569</v>
      </c>
      <c r="E40" s="118" t="s">
        <v>1694</v>
      </c>
      <c r="F40" s="118">
        <v>51.479655999999999</v>
      </c>
      <c r="G40" s="118">
        <v>-2.6235019999999998</v>
      </c>
      <c r="H40" s="120">
        <v>0</v>
      </c>
      <c r="I40" s="124">
        <v>42962</v>
      </c>
      <c r="J40" s="121" t="s">
        <v>36</v>
      </c>
      <c r="K40" s="121" t="s">
        <v>831</v>
      </c>
      <c r="L40" s="118" t="s">
        <v>1687</v>
      </c>
      <c r="M40" s="117" t="s">
        <v>2563</v>
      </c>
      <c r="N40" s="117" t="s">
        <v>2814</v>
      </c>
      <c r="O40" s="118" t="s">
        <v>907</v>
      </c>
      <c r="P40" s="118" t="s">
        <v>3188</v>
      </c>
      <c r="Q40" s="118" t="s">
        <v>1710</v>
      </c>
      <c r="R40" s="118" t="s">
        <v>2712</v>
      </c>
      <c r="S40" s="122">
        <v>0.1043</v>
      </c>
      <c r="T40" s="118">
        <v>5.8999999999999997E-2</v>
      </c>
      <c r="U40" s="122">
        <f t="shared" si="0"/>
        <v>4.5300000000000007E-2</v>
      </c>
      <c r="V40" s="118">
        <v>5.9109999999999996</v>
      </c>
      <c r="W40" s="118">
        <v>16.337</v>
      </c>
      <c r="X40" s="118">
        <f t="shared" si="1"/>
        <v>96.568006999999994</v>
      </c>
    </row>
    <row r="41" spans="1:24" ht="16">
      <c r="A41" s="117" t="s">
        <v>3570</v>
      </c>
      <c r="B41" s="118" t="s">
        <v>1715</v>
      </c>
      <c r="C41" s="118" t="s">
        <v>2663</v>
      </c>
      <c r="D41" s="118" t="s">
        <v>3569</v>
      </c>
      <c r="E41" s="118" t="s">
        <v>1694</v>
      </c>
      <c r="F41" s="118">
        <v>51.479655999999999</v>
      </c>
      <c r="G41" s="118">
        <v>-2.6235019999999998</v>
      </c>
      <c r="H41" s="120">
        <v>0</v>
      </c>
      <c r="I41" s="124">
        <v>42962</v>
      </c>
      <c r="J41" s="121" t="s">
        <v>36</v>
      </c>
      <c r="K41" s="121" t="s">
        <v>831</v>
      </c>
      <c r="L41" s="118" t="s">
        <v>1687</v>
      </c>
      <c r="M41" s="117" t="s">
        <v>2563</v>
      </c>
      <c r="N41" s="117" t="s">
        <v>2814</v>
      </c>
      <c r="O41" s="118" t="s">
        <v>907</v>
      </c>
      <c r="P41" s="118" t="s">
        <v>3188</v>
      </c>
      <c r="Q41" s="118" t="s">
        <v>1710</v>
      </c>
      <c r="R41" s="118" t="s">
        <v>2713</v>
      </c>
      <c r="S41" s="122">
        <v>9.9400000000000002E-2</v>
      </c>
      <c r="T41" s="118">
        <v>5.8999999999999997E-2</v>
      </c>
      <c r="U41" s="122">
        <f t="shared" si="0"/>
        <v>4.0400000000000005E-2</v>
      </c>
      <c r="V41" s="118">
        <v>5.4720000000000004</v>
      </c>
      <c r="W41" s="118">
        <v>18.22</v>
      </c>
      <c r="X41" s="118">
        <f t="shared" si="1"/>
        <v>99.699839999999995</v>
      </c>
    </row>
    <row r="42" spans="1:24" ht="16">
      <c r="A42" s="117" t="s">
        <v>3570</v>
      </c>
      <c r="B42" s="118" t="s">
        <v>1716</v>
      </c>
      <c r="C42" s="118" t="s">
        <v>2663</v>
      </c>
      <c r="D42" s="118" t="s">
        <v>3569</v>
      </c>
      <c r="E42" s="118" t="s">
        <v>1694</v>
      </c>
      <c r="F42" s="118">
        <v>51.479655999999999</v>
      </c>
      <c r="G42" s="118">
        <v>-2.6235019999999998</v>
      </c>
      <c r="H42" s="120">
        <v>0</v>
      </c>
      <c r="I42" s="124">
        <v>42962</v>
      </c>
      <c r="J42" s="121" t="s">
        <v>36</v>
      </c>
      <c r="K42" s="121" t="s">
        <v>831</v>
      </c>
      <c r="L42" s="118" t="s">
        <v>1687</v>
      </c>
      <c r="M42" s="117" t="s">
        <v>2563</v>
      </c>
      <c r="N42" s="117" t="s">
        <v>2814</v>
      </c>
      <c r="O42" s="118" t="s">
        <v>907</v>
      </c>
      <c r="P42" s="118" t="s">
        <v>3188</v>
      </c>
      <c r="Q42" s="118" t="s">
        <v>1710</v>
      </c>
      <c r="R42" s="118" t="s">
        <v>2713</v>
      </c>
      <c r="S42" s="122">
        <v>0.1361</v>
      </c>
      <c r="T42" s="118">
        <v>0.06</v>
      </c>
      <c r="U42" s="122">
        <f t="shared" si="0"/>
        <v>7.6100000000000001E-2</v>
      </c>
      <c r="V42" s="118">
        <v>7.1239999999999997</v>
      </c>
      <c r="W42" s="118">
        <v>23.716999999999999</v>
      </c>
      <c r="X42" s="118">
        <f t="shared" si="1"/>
        <v>168.95990799999998</v>
      </c>
    </row>
    <row r="43" spans="1:24" ht="16">
      <c r="A43" s="117" t="s">
        <v>3570</v>
      </c>
      <c r="B43" s="118" t="s">
        <v>1717</v>
      </c>
      <c r="C43" s="118" t="s">
        <v>2663</v>
      </c>
      <c r="D43" s="118" t="s">
        <v>3569</v>
      </c>
      <c r="E43" s="118" t="s">
        <v>1694</v>
      </c>
      <c r="F43" s="118">
        <v>51.479655999999999</v>
      </c>
      <c r="G43" s="118">
        <v>-2.6235019999999998</v>
      </c>
      <c r="H43" s="120">
        <v>0</v>
      </c>
      <c r="I43" s="124">
        <v>42962</v>
      </c>
      <c r="J43" s="121" t="s">
        <v>36</v>
      </c>
      <c r="K43" s="121" t="s">
        <v>831</v>
      </c>
      <c r="L43" s="118" t="s">
        <v>1687</v>
      </c>
      <c r="M43" s="117" t="s">
        <v>2563</v>
      </c>
      <c r="N43" s="117" t="s">
        <v>2814</v>
      </c>
      <c r="O43" s="118" t="s">
        <v>907</v>
      </c>
      <c r="P43" s="118" t="s">
        <v>3188</v>
      </c>
      <c r="Q43" s="118" t="s">
        <v>1710</v>
      </c>
      <c r="R43" s="118" t="s">
        <v>2713</v>
      </c>
      <c r="S43" s="122">
        <v>9.2100000000000001E-2</v>
      </c>
      <c r="T43" s="118">
        <v>5.7000000000000002E-2</v>
      </c>
      <c r="U43" s="122">
        <f t="shared" si="0"/>
        <v>3.5099999999999999E-2</v>
      </c>
      <c r="V43" s="118">
        <v>5.3920000000000003</v>
      </c>
      <c r="W43" s="118">
        <v>15.608000000000001</v>
      </c>
      <c r="X43" s="118">
        <f t="shared" si="1"/>
        <v>84.158336000000006</v>
      </c>
    </row>
    <row r="44" spans="1:24" ht="16">
      <c r="A44" s="117" t="s">
        <v>3570</v>
      </c>
      <c r="B44" s="118" t="s">
        <v>1718</v>
      </c>
      <c r="C44" s="118" t="s">
        <v>2663</v>
      </c>
      <c r="D44" s="118" t="s">
        <v>3569</v>
      </c>
      <c r="E44" s="118" t="s">
        <v>1694</v>
      </c>
      <c r="F44" s="118">
        <v>51.479655999999999</v>
      </c>
      <c r="G44" s="118">
        <v>-2.6235019999999998</v>
      </c>
      <c r="H44" s="120">
        <v>0</v>
      </c>
      <c r="I44" s="124">
        <v>42962</v>
      </c>
      <c r="J44" s="121" t="s">
        <v>36</v>
      </c>
      <c r="K44" s="121" t="s">
        <v>831</v>
      </c>
      <c r="L44" s="118" t="s">
        <v>1687</v>
      </c>
      <c r="M44" s="117" t="s">
        <v>2563</v>
      </c>
      <c r="N44" s="117" t="s">
        <v>2814</v>
      </c>
      <c r="O44" s="118" t="s">
        <v>907</v>
      </c>
      <c r="P44" s="118" t="s">
        <v>3188</v>
      </c>
      <c r="Q44" s="118" t="s">
        <v>1710</v>
      </c>
      <c r="R44" s="118" t="s">
        <v>2713</v>
      </c>
      <c r="S44" s="122">
        <v>9.3899999999999997E-2</v>
      </c>
      <c r="T44" s="118">
        <v>5.8999999999999997E-2</v>
      </c>
      <c r="U44" s="122">
        <f t="shared" si="0"/>
        <v>3.49E-2</v>
      </c>
      <c r="V44" s="118">
        <v>4.859</v>
      </c>
      <c r="W44" s="118">
        <v>16.86</v>
      </c>
      <c r="X44" s="118">
        <f t="shared" si="1"/>
        <v>81.92273999999999</v>
      </c>
    </row>
    <row r="45" spans="1:24" ht="16">
      <c r="A45" s="117" t="s">
        <v>3570</v>
      </c>
      <c r="B45" s="118" t="s">
        <v>1719</v>
      </c>
      <c r="C45" s="118" t="s">
        <v>2663</v>
      </c>
      <c r="D45" s="118" t="s">
        <v>3569</v>
      </c>
      <c r="E45" s="118" t="s">
        <v>1694</v>
      </c>
      <c r="F45" s="118">
        <v>51.479655999999999</v>
      </c>
      <c r="G45" s="118">
        <v>-2.6235019999999998</v>
      </c>
      <c r="H45" s="120">
        <v>0</v>
      </c>
      <c r="I45" s="124">
        <v>42962</v>
      </c>
      <c r="J45" s="121" t="s">
        <v>36</v>
      </c>
      <c r="K45" s="121" t="s">
        <v>831</v>
      </c>
      <c r="L45" s="118" t="s">
        <v>1687</v>
      </c>
      <c r="M45" s="117" t="s">
        <v>2563</v>
      </c>
      <c r="N45" s="117" t="s">
        <v>2814</v>
      </c>
      <c r="O45" s="118" t="s">
        <v>907</v>
      </c>
      <c r="P45" s="118" t="s">
        <v>3188</v>
      </c>
      <c r="Q45" s="118" t="s">
        <v>1710</v>
      </c>
      <c r="R45" s="118" t="s">
        <v>2713</v>
      </c>
      <c r="S45" s="122">
        <v>0.1132</v>
      </c>
      <c r="T45" s="118">
        <v>5.8999999999999997E-2</v>
      </c>
      <c r="U45" s="122">
        <f t="shared" si="0"/>
        <v>5.4199999999999998E-2</v>
      </c>
      <c r="V45" s="118">
        <v>6.0250000000000004</v>
      </c>
      <c r="W45" s="118">
        <v>19.184000000000001</v>
      </c>
      <c r="X45" s="118">
        <f t="shared" si="1"/>
        <v>115.58360000000002</v>
      </c>
    </row>
    <row r="46" spans="1:24" ht="16">
      <c r="A46" s="117" t="s">
        <v>3570</v>
      </c>
      <c r="B46" s="118" t="s">
        <v>1720</v>
      </c>
      <c r="C46" s="118" t="s">
        <v>2663</v>
      </c>
      <c r="D46" s="118" t="s">
        <v>3569</v>
      </c>
      <c r="E46" s="118" t="s">
        <v>1694</v>
      </c>
      <c r="F46" s="118">
        <v>51.479655999999999</v>
      </c>
      <c r="G46" s="118">
        <v>-2.6235019999999998</v>
      </c>
      <c r="H46" s="120">
        <v>0</v>
      </c>
      <c r="I46" s="124">
        <v>42962</v>
      </c>
      <c r="J46" s="121" t="s">
        <v>36</v>
      </c>
      <c r="K46" s="121" t="s">
        <v>831</v>
      </c>
      <c r="L46" s="118" t="s">
        <v>1687</v>
      </c>
      <c r="M46" s="117" t="s">
        <v>2563</v>
      </c>
      <c r="N46" s="117" t="s">
        <v>2814</v>
      </c>
      <c r="O46" s="118" t="s">
        <v>907</v>
      </c>
      <c r="P46" s="118" t="s">
        <v>3188</v>
      </c>
      <c r="Q46" s="118" t="s">
        <v>1710</v>
      </c>
      <c r="R46" s="118" t="s">
        <v>2713</v>
      </c>
      <c r="S46" s="122">
        <v>0.1036</v>
      </c>
      <c r="T46" s="118">
        <v>0.06</v>
      </c>
      <c r="U46" s="122">
        <f t="shared" si="0"/>
        <v>4.36E-2</v>
      </c>
      <c r="V46" s="118">
        <v>5.5330000000000004</v>
      </c>
      <c r="W46" s="118">
        <v>17.664000000000001</v>
      </c>
      <c r="X46" s="118">
        <f t="shared" si="1"/>
        <v>97.734912000000008</v>
      </c>
    </row>
    <row r="47" spans="1:24" ht="16">
      <c r="A47" s="117" t="s">
        <v>3570</v>
      </c>
      <c r="B47" s="118" t="s">
        <v>1695</v>
      </c>
      <c r="C47" s="118" t="s">
        <v>2663</v>
      </c>
      <c r="D47" s="118" t="s">
        <v>3569</v>
      </c>
      <c r="E47" s="118" t="s">
        <v>1694</v>
      </c>
      <c r="F47" s="118">
        <v>51.479655999999999</v>
      </c>
      <c r="G47" s="118">
        <v>-2.6235019999999998</v>
      </c>
      <c r="H47" s="120">
        <v>0</v>
      </c>
      <c r="I47" s="124">
        <v>42962</v>
      </c>
      <c r="J47" s="121" t="s">
        <v>36</v>
      </c>
      <c r="K47" s="121" t="s">
        <v>831</v>
      </c>
      <c r="L47" s="118" t="s">
        <v>1687</v>
      </c>
      <c r="M47" s="117" t="s">
        <v>2563</v>
      </c>
      <c r="N47" s="117" t="s">
        <v>2814</v>
      </c>
      <c r="O47" s="118" t="s">
        <v>907</v>
      </c>
      <c r="P47" s="117" t="s">
        <v>3187</v>
      </c>
      <c r="Q47" s="118" t="s">
        <v>1688</v>
      </c>
      <c r="R47" s="118" t="s">
        <v>2712</v>
      </c>
      <c r="S47" s="122">
        <v>0.1016</v>
      </c>
      <c r="T47" s="118">
        <v>5.8000000000000003E-2</v>
      </c>
      <c r="U47" s="122">
        <f t="shared" si="0"/>
        <v>4.3599999999999993E-2</v>
      </c>
      <c r="V47" s="118">
        <v>5.9870000000000001</v>
      </c>
      <c r="W47" s="118">
        <v>20.691000000000003</v>
      </c>
      <c r="X47" s="118">
        <f t="shared" si="1"/>
        <v>123.87701700000002</v>
      </c>
    </row>
    <row r="48" spans="1:24" ht="16">
      <c r="A48" s="117" t="s">
        <v>3570</v>
      </c>
      <c r="B48" s="125" t="s">
        <v>3095</v>
      </c>
      <c r="C48" s="125" t="s">
        <v>2578</v>
      </c>
      <c r="D48" s="125" t="s">
        <v>3566</v>
      </c>
      <c r="E48" s="125" t="s">
        <v>2624</v>
      </c>
      <c r="F48" s="126">
        <v>53.306629999999998</v>
      </c>
      <c r="G48" s="127">
        <v>-6.2330800000000002</v>
      </c>
      <c r="H48" s="125">
        <v>0</v>
      </c>
      <c r="I48" s="128">
        <v>42950</v>
      </c>
      <c r="J48" s="129" t="s">
        <v>2626</v>
      </c>
      <c r="K48" s="125" t="s">
        <v>36</v>
      </c>
      <c r="L48" s="125" t="s">
        <v>2625</v>
      </c>
      <c r="M48" s="125" t="s">
        <v>2806</v>
      </c>
      <c r="N48" s="125" t="s">
        <v>2807</v>
      </c>
      <c r="O48" s="125" t="s">
        <v>2602</v>
      </c>
      <c r="P48" s="125"/>
      <c r="Q48" s="125" t="s">
        <v>2381</v>
      </c>
      <c r="R48" s="125" t="s">
        <v>2713</v>
      </c>
      <c r="S48" s="125">
        <v>6.0699999999999997E-2</v>
      </c>
      <c r="T48" s="125">
        <v>4.6966666999999997E-2</v>
      </c>
      <c r="U48" s="125">
        <f t="shared" si="0"/>
        <v>1.3733333E-2</v>
      </c>
      <c r="V48" s="125">
        <v>2.4</v>
      </c>
      <c r="W48" s="125">
        <v>10.5</v>
      </c>
      <c r="X48" s="125">
        <f t="shared" si="1"/>
        <v>25.2</v>
      </c>
    </row>
    <row r="49" spans="1:24" ht="16">
      <c r="A49" s="117" t="s">
        <v>3570</v>
      </c>
      <c r="B49" s="125" t="s">
        <v>3096</v>
      </c>
      <c r="C49" s="125" t="s">
        <v>2578</v>
      </c>
      <c r="D49" s="125" t="s">
        <v>3566</v>
      </c>
      <c r="E49" s="125" t="s">
        <v>2624</v>
      </c>
      <c r="F49" s="127">
        <v>53.306629999999998</v>
      </c>
      <c r="G49" s="127">
        <v>-6.2330800000000002</v>
      </c>
      <c r="H49" s="125">
        <v>0</v>
      </c>
      <c r="I49" s="128">
        <v>42941</v>
      </c>
      <c r="J49" s="129" t="s">
        <v>2626</v>
      </c>
      <c r="K49" s="125" t="s">
        <v>36</v>
      </c>
      <c r="L49" s="125" t="s">
        <v>2625</v>
      </c>
      <c r="M49" s="125" t="s">
        <v>2806</v>
      </c>
      <c r="N49" s="125" t="s">
        <v>2807</v>
      </c>
      <c r="O49" s="125" t="s">
        <v>2602</v>
      </c>
      <c r="P49" s="125"/>
      <c r="Q49" s="125" t="s">
        <v>2381</v>
      </c>
      <c r="R49" s="125" t="s">
        <v>2713</v>
      </c>
      <c r="S49" s="125">
        <v>4.87E-2</v>
      </c>
      <c r="T49" s="125">
        <v>3.7233333E-2</v>
      </c>
      <c r="U49" s="125">
        <f t="shared" si="0"/>
        <v>1.1466667E-2</v>
      </c>
      <c r="V49" s="125">
        <v>2.1</v>
      </c>
      <c r="W49" s="125">
        <v>8.6999999999999993</v>
      </c>
      <c r="X49" s="125">
        <f t="shared" si="1"/>
        <v>18.27</v>
      </c>
    </row>
    <row r="50" spans="1:24" ht="16">
      <c r="A50" s="117" t="s">
        <v>3570</v>
      </c>
      <c r="B50" s="125" t="s">
        <v>3097</v>
      </c>
      <c r="C50" s="125" t="s">
        <v>2578</v>
      </c>
      <c r="D50" s="125" t="s">
        <v>3566</v>
      </c>
      <c r="E50" s="125" t="s">
        <v>2621</v>
      </c>
      <c r="F50" s="127">
        <v>53.306150000000002</v>
      </c>
      <c r="G50" s="127">
        <v>-6.2338800000000001</v>
      </c>
      <c r="H50" s="125">
        <v>0</v>
      </c>
      <c r="I50" s="130">
        <v>42941</v>
      </c>
      <c r="J50" s="129" t="s">
        <v>2626</v>
      </c>
      <c r="K50" s="125" t="s">
        <v>36</v>
      </c>
      <c r="L50" s="125" t="s">
        <v>2625</v>
      </c>
      <c r="M50" s="125" t="s">
        <v>2806</v>
      </c>
      <c r="N50" s="125" t="s">
        <v>2807</v>
      </c>
      <c r="O50" s="125" t="s">
        <v>2602</v>
      </c>
      <c r="P50" s="125"/>
      <c r="Q50" s="125" t="s">
        <v>2381</v>
      </c>
      <c r="R50" s="125" t="s">
        <v>2713</v>
      </c>
      <c r="S50" s="125">
        <v>4.6100000000000002E-2</v>
      </c>
      <c r="T50" s="125">
        <v>3.7233333E-2</v>
      </c>
      <c r="U50" s="125">
        <f t="shared" si="0"/>
        <v>8.8666670000000017E-3</v>
      </c>
      <c r="V50" s="125">
        <v>2.2000000000000002</v>
      </c>
      <c r="W50" s="125">
        <v>9</v>
      </c>
      <c r="X50" s="125">
        <f t="shared" si="1"/>
        <v>19.8</v>
      </c>
    </row>
    <row r="51" spans="1:24" ht="16">
      <c r="A51" s="117" t="s">
        <v>3570</v>
      </c>
      <c r="B51" s="125" t="s">
        <v>3098</v>
      </c>
      <c r="C51" s="125" t="s">
        <v>2578</v>
      </c>
      <c r="D51" s="125" t="s">
        <v>3566</v>
      </c>
      <c r="E51" s="125" t="s">
        <v>2622</v>
      </c>
      <c r="F51" s="127">
        <v>53.306449999999998</v>
      </c>
      <c r="G51" s="127">
        <v>-6.2336600000000004</v>
      </c>
      <c r="H51" s="125">
        <v>0</v>
      </c>
      <c r="I51" s="130">
        <v>42936</v>
      </c>
      <c r="J51" s="129" t="s">
        <v>2626</v>
      </c>
      <c r="K51" s="125" t="s">
        <v>36</v>
      </c>
      <c r="L51" s="125" t="s">
        <v>2625</v>
      </c>
      <c r="M51" s="125" t="s">
        <v>2806</v>
      </c>
      <c r="N51" s="125" t="s">
        <v>2807</v>
      </c>
      <c r="O51" s="125" t="s">
        <v>2602</v>
      </c>
      <c r="P51" s="125"/>
      <c r="Q51" s="125" t="s">
        <v>2661</v>
      </c>
      <c r="R51" s="125" t="s">
        <v>2712</v>
      </c>
      <c r="S51" s="125">
        <v>3.8899999999999997E-2</v>
      </c>
      <c r="T51" s="125">
        <v>3.7233333E-2</v>
      </c>
      <c r="U51" s="125">
        <f t="shared" si="0"/>
        <v>1.6666669999999967E-3</v>
      </c>
      <c r="V51" s="125">
        <v>1.4</v>
      </c>
      <c r="W51" s="125">
        <v>5.0999999999999996</v>
      </c>
      <c r="X51" s="125">
        <f t="shared" si="1"/>
        <v>7.1399999999999988</v>
      </c>
    </row>
    <row r="52" spans="1:24" ht="16">
      <c r="A52" s="117" t="s">
        <v>3570</v>
      </c>
      <c r="B52" s="125" t="s">
        <v>3099</v>
      </c>
      <c r="C52" s="125" t="s">
        <v>2578</v>
      </c>
      <c r="D52" s="125" t="s">
        <v>3566</v>
      </c>
      <c r="E52" s="125" t="s">
        <v>2615</v>
      </c>
      <c r="F52" s="126">
        <v>53.314720000000001</v>
      </c>
      <c r="G52" s="127">
        <v>-6.2213000000000003</v>
      </c>
      <c r="H52" s="125">
        <v>0</v>
      </c>
      <c r="I52" s="130">
        <v>42928</v>
      </c>
      <c r="J52" s="125" t="s">
        <v>2628</v>
      </c>
      <c r="K52" s="125" t="s">
        <v>36</v>
      </c>
      <c r="L52" s="125" t="s">
        <v>1687</v>
      </c>
      <c r="M52" s="125" t="s">
        <v>2563</v>
      </c>
      <c r="N52" s="125" t="s">
        <v>2814</v>
      </c>
      <c r="O52" s="125" t="s">
        <v>907</v>
      </c>
      <c r="P52" s="125" t="s">
        <v>907</v>
      </c>
      <c r="Q52" s="125" t="s">
        <v>2586</v>
      </c>
      <c r="R52" s="125" t="s">
        <v>2713</v>
      </c>
      <c r="S52" s="125">
        <v>0.1356</v>
      </c>
      <c r="T52" s="125">
        <v>4.6966666999999997E-2</v>
      </c>
      <c r="U52" s="125">
        <f t="shared" si="0"/>
        <v>8.8633333000000009E-2</v>
      </c>
      <c r="V52" s="125">
        <v>5.4</v>
      </c>
      <c r="W52" s="125">
        <v>15</v>
      </c>
      <c r="X52" s="125">
        <f t="shared" si="1"/>
        <v>81</v>
      </c>
    </row>
    <row r="53" spans="1:24" ht="16">
      <c r="A53" s="117" t="s">
        <v>3570</v>
      </c>
      <c r="B53" s="125" t="s">
        <v>3100</v>
      </c>
      <c r="C53" s="125" t="s">
        <v>2578</v>
      </c>
      <c r="D53" s="125" t="s">
        <v>3566</v>
      </c>
      <c r="E53" s="125" t="s">
        <v>2622</v>
      </c>
      <c r="F53" s="126">
        <v>53.306449999999998</v>
      </c>
      <c r="G53" s="127">
        <v>-6.2336600000000004</v>
      </c>
      <c r="H53" s="125">
        <v>0</v>
      </c>
      <c r="I53" s="128">
        <v>42928</v>
      </c>
      <c r="J53" s="129" t="s">
        <v>2626</v>
      </c>
      <c r="K53" s="125" t="s">
        <v>36</v>
      </c>
      <c r="L53" s="125" t="s">
        <v>1687</v>
      </c>
      <c r="M53" s="125" t="s">
        <v>2563</v>
      </c>
      <c r="N53" s="125" t="s">
        <v>2814</v>
      </c>
      <c r="O53" s="125" t="s">
        <v>907</v>
      </c>
      <c r="P53" s="125" t="s">
        <v>907</v>
      </c>
      <c r="Q53" s="125" t="s">
        <v>2586</v>
      </c>
      <c r="R53" s="125" t="s">
        <v>2712</v>
      </c>
      <c r="S53" s="125">
        <v>0.1053</v>
      </c>
      <c r="T53" s="125">
        <v>4.6966666999999997E-2</v>
      </c>
      <c r="U53" s="125">
        <f t="shared" si="0"/>
        <v>5.8333333000000008E-2</v>
      </c>
      <c r="V53" s="125">
        <v>4.2</v>
      </c>
      <c r="W53" s="125">
        <v>12.9</v>
      </c>
      <c r="X53" s="125">
        <f t="shared" si="1"/>
        <v>54.180000000000007</v>
      </c>
    </row>
    <row r="54" spans="1:24" ht="16">
      <c r="A54" s="117" t="s">
        <v>3570</v>
      </c>
      <c r="B54" s="125" t="s">
        <v>3101</v>
      </c>
      <c r="C54" s="125" t="s">
        <v>2578</v>
      </c>
      <c r="D54" s="125" t="s">
        <v>3566</v>
      </c>
      <c r="E54" s="125" t="s">
        <v>2616</v>
      </c>
      <c r="F54" s="126">
        <v>53.314680000000003</v>
      </c>
      <c r="G54" s="127">
        <v>-6.2230800000000004</v>
      </c>
      <c r="H54" s="125">
        <v>0</v>
      </c>
      <c r="I54" s="128">
        <v>42928</v>
      </c>
      <c r="J54" s="125" t="s">
        <v>2628</v>
      </c>
      <c r="K54" s="125" t="s">
        <v>36</v>
      </c>
      <c r="L54" s="125" t="s">
        <v>1687</v>
      </c>
      <c r="M54" s="125" t="s">
        <v>2563</v>
      </c>
      <c r="N54" s="125" t="s">
        <v>2814</v>
      </c>
      <c r="O54" s="125" t="s">
        <v>907</v>
      </c>
      <c r="P54" s="125" t="s">
        <v>907</v>
      </c>
      <c r="Q54" s="125" t="s">
        <v>2586</v>
      </c>
      <c r="R54" s="125" t="s">
        <v>2713</v>
      </c>
      <c r="S54" s="125">
        <v>0.1215</v>
      </c>
      <c r="T54" s="125">
        <v>4.6966666999999997E-2</v>
      </c>
      <c r="U54" s="125">
        <f t="shared" si="0"/>
        <v>7.4533333000000007E-2</v>
      </c>
      <c r="V54" s="125">
        <v>5.5</v>
      </c>
      <c r="W54" s="125">
        <v>14.7</v>
      </c>
      <c r="X54" s="125">
        <f t="shared" si="1"/>
        <v>80.849999999999994</v>
      </c>
    </row>
    <row r="55" spans="1:24" ht="16">
      <c r="A55" s="117" t="s">
        <v>3570</v>
      </c>
      <c r="B55" s="125" t="s">
        <v>3102</v>
      </c>
      <c r="C55" s="125" t="s">
        <v>2578</v>
      </c>
      <c r="D55" s="125" t="s">
        <v>3566</v>
      </c>
      <c r="E55" s="125" t="s">
        <v>2624</v>
      </c>
      <c r="F55" s="126">
        <v>53.306629999999998</v>
      </c>
      <c r="G55" s="127">
        <v>-6.2330800000000002</v>
      </c>
      <c r="H55" s="125">
        <v>0</v>
      </c>
      <c r="I55" s="128">
        <v>42950</v>
      </c>
      <c r="J55" s="129" t="s">
        <v>2628</v>
      </c>
      <c r="K55" s="125" t="s">
        <v>36</v>
      </c>
      <c r="L55" s="125" t="s">
        <v>1687</v>
      </c>
      <c r="M55" s="125" t="s">
        <v>2563</v>
      </c>
      <c r="N55" s="125" t="s">
        <v>2814</v>
      </c>
      <c r="O55" s="125" t="s">
        <v>907</v>
      </c>
      <c r="P55" s="125" t="s">
        <v>907</v>
      </c>
      <c r="Q55" s="125" t="s">
        <v>2586</v>
      </c>
      <c r="R55" s="125" t="s">
        <v>2713</v>
      </c>
      <c r="S55" s="125">
        <v>7.4499999999999997E-2</v>
      </c>
      <c r="T55" s="125">
        <v>4.6966666999999997E-2</v>
      </c>
      <c r="U55" s="125">
        <f t="shared" si="0"/>
        <v>2.7533333E-2</v>
      </c>
      <c r="V55" s="125">
        <v>3.8</v>
      </c>
      <c r="W55" s="125">
        <v>10.4</v>
      </c>
      <c r="X55" s="125">
        <f t="shared" si="1"/>
        <v>39.519999999999996</v>
      </c>
    </row>
    <row r="56" spans="1:24" ht="16">
      <c r="A56" s="117" t="s">
        <v>3570</v>
      </c>
      <c r="B56" s="125" t="s">
        <v>3103</v>
      </c>
      <c r="C56" s="125" t="s">
        <v>2578</v>
      </c>
      <c r="D56" s="125" t="s">
        <v>3566</v>
      </c>
      <c r="E56" s="125" t="s">
        <v>2615</v>
      </c>
      <c r="F56" s="126">
        <v>53.314720000000001</v>
      </c>
      <c r="G56" s="127">
        <v>-6.2213000000000003</v>
      </c>
      <c r="H56" s="125">
        <v>0</v>
      </c>
      <c r="I56" s="128">
        <v>42917</v>
      </c>
      <c r="J56" s="129" t="s">
        <v>2628</v>
      </c>
      <c r="K56" s="125" t="s">
        <v>36</v>
      </c>
      <c r="L56" s="125" t="s">
        <v>1687</v>
      </c>
      <c r="M56" s="125" t="s">
        <v>2563</v>
      </c>
      <c r="N56" s="125" t="s">
        <v>2814</v>
      </c>
      <c r="O56" s="125" t="s">
        <v>907</v>
      </c>
      <c r="P56" s="117" t="s">
        <v>3187</v>
      </c>
      <c r="Q56" s="125" t="s">
        <v>1688</v>
      </c>
      <c r="R56" s="125" t="s">
        <v>2713</v>
      </c>
      <c r="S56" s="125">
        <v>7.85E-2</v>
      </c>
      <c r="T56" s="125">
        <v>4.6966666999999997E-2</v>
      </c>
      <c r="U56" s="125">
        <f t="shared" si="0"/>
        <v>3.1533333000000004E-2</v>
      </c>
      <c r="V56" s="125">
        <v>4</v>
      </c>
      <c r="W56" s="125">
        <v>11</v>
      </c>
      <c r="X56" s="125">
        <f t="shared" si="1"/>
        <v>44</v>
      </c>
    </row>
    <row r="57" spans="1:24" ht="16">
      <c r="A57" s="117" t="s">
        <v>3570</v>
      </c>
      <c r="B57" s="125" t="s">
        <v>3104</v>
      </c>
      <c r="C57" s="125" t="s">
        <v>2578</v>
      </c>
      <c r="D57" s="125" t="s">
        <v>3566</v>
      </c>
      <c r="E57" s="125" t="s">
        <v>2621</v>
      </c>
      <c r="F57" s="126">
        <v>53.306150000000002</v>
      </c>
      <c r="G57" s="127">
        <v>-6.2338800000000001</v>
      </c>
      <c r="H57" s="125">
        <v>0</v>
      </c>
      <c r="I57" s="128">
        <v>42950</v>
      </c>
      <c r="J57" s="129" t="s">
        <v>2652</v>
      </c>
      <c r="K57" s="125" t="s">
        <v>36</v>
      </c>
      <c r="L57" s="125" t="s">
        <v>1687</v>
      </c>
      <c r="M57" s="125" t="s">
        <v>2563</v>
      </c>
      <c r="N57" s="125" t="s">
        <v>2814</v>
      </c>
      <c r="O57" s="125" t="s">
        <v>907</v>
      </c>
      <c r="P57" s="118" t="s">
        <v>3188</v>
      </c>
      <c r="Q57" s="125" t="s">
        <v>1710</v>
      </c>
      <c r="R57" s="125" t="s">
        <v>2712</v>
      </c>
      <c r="S57" s="125">
        <v>7.5700000000000003E-2</v>
      </c>
      <c r="T57" s="125">
        <v>4.6966666999999997E-2</v>
      </c>
      <c r="U57" s="125">
        <f t="shared" si="0"/>
        <v>2.8733333000000007E-2</v>
      </c>
      <c r="V57" s="125">
        <v>3.9</v>
      </c>
      <c r="W57" s="125">
        <v>9.8000000000000007</v>
      </c>
      <c r="X57" s="125">
        <f t="shared" si="1"/>
        <v>38.22</v>
      </c>
    </row>
    <row r="58" spans="1:24" ht="16">
      <c r="A58" s="117" t="s">
        <v>3570</v>
      </c>
      <c r="B58" s="125" t="s">
        <v>3105</v>
      </c>
      <c r="C58" s="125" t="s">
        <v>2578</v>
      </c>
      <c r="D58" s="125" t="s">
        <v>3566</v>
      </c>
      <c r="E58" s="125" t="s">
        <v>2623</v>
      </c>
      <c r="F58" s="126">
        <v>53.306789999999999</v>
      </c>
      <c r="G58" s="127">
        <v>-6.23339</v>
      </c>
      <c r="H58" s="125">
        <v>0</v>
      </c>
      <c r="I58" s="128">
        <v>42940</v>
      </c>
      <c r="J58" s="129" t="s">
        <v>2652</v>
      </c>
      <c r="K58" s="125" t="s">
        <v>36</v>
      </c>
      <c r="L58" s="125" t="s">
        <v>1687</v>
      </c>
      <c r="M58" s="125" t="s">
        <v>2563</v>
      </c>
      <c r="N58" s="125" t="s">
        <v>2814</v>
      </c>
      <c r="O58" s="125" t="s">
        <v>907</v>
      </c>
      <c r="P58" s="117" t="s">
        <v>3187</v>
      </c>
      <c r="Q58" s="125" t="s">
        <v>1688</v>
      </c>
      <c r="R58" s="125" t="s">
        <v>2712</v>
      </c>
      <c r="S58" s="125">
        <v>7.6799999999999993E-2</v>
      </c>
      <c r="T58" s="125">
        <v>3.7233333E-2</v>
      </c>
      <c r="U58" s="125">
        <f t="shared" si="0"/>
        <v>3.9566666999999993E-2</v>
      </c>
      <c r="V58" s="125">
        <v>4.0999999999999996</v>
      </c>
      <c r="W58" s="125">
        <v>11.5</v>
      </c>
      <c r="X58" s="125">
        <f t="shared" si="1"/>
        <v>47.15</v>
      </c>
    </row>
    <row r="59" spans="1:24" ht="16">
      <c r="A59" s="117" t="s">
        <v>3570</v>
      </c>
      <c r="B59" s="125" t="s">
        <v>3106</v>
      </c>
      <c r="C59" s="125" t="s">
        <v>2578</v>
      </c>
      <c r="D59" s="125" t="s">
        <v>3566</v>
      </c>
      <c r="E59" s="125" t="s">
        <v>2621</v>
      </c>
      <c r="F59" s="126">
        <v>53.306150000000002</v>
      </c>
      <c r="G59" s="127">
        <v>-6.2338800000000001</v>
      </c>
      <c r="H59" s="125">
        <v>0</v>
      </c>
      <c r="I59" s="130">
        <v>42940</v>
      </c>
      <c r="J59" s="129" t="s">
        <v>2652</v>
      </c>
      <c r="K59" s="125" t="s">
        <v>36</v>
      </c>
      <c r="L59" s="125" t="s">
        <v>1687</v>
      </c>
      <c r="M59" s="125" t="s">
        <v>2563</v>
      </c>
      <c r="N59" s="125" t="s">
        <v>2814</v>
      </c>
      <c r="O59" s="125" t="s">
        <v>907</v>
      </c>
      <c r="P59" s="125" t="s">
        <v>907</v>
      </c>
      <c r="Q59" s="125" t="s">
        <v>1722</v>
      </c>
      <c r="R59" s="125" t="s">
        <v>2712</v>
      </c>
      <c r="S59" s="125">
        <v>0.12</v>
      </c>
      <c r="T59" s="125">
        <v>3.7233333E-2</v>
      </c>
      <c r="U59" s="125">
        <f t="shared" si="0"/>
        <v>8.2766666999999988E-2</v>
      </c>
      <c r="V59" s="125">
        <v>5.5</v>
      </c>
      <c r="W59" s="125">
        <v>15.9</v>
      </c>
      <c r="X59" s="125">
        <f t="shared" si="1"/>
        <v>87.45</v>
      </c>
    </row>
    <row r="60" spans="1:24" ht="16">
      <c r="A60" s="117" t="s">
        <v>3570</v>
      </c>
      <c r="B60" s="125" t="s">
        <v>3107</v>
      </c>
      <c r="C60" s="125" t="s">
        <v>2578</v>
      </c>
      <c r="D60" s="125" t="s">
        <v>3566</v>
      </c>
      <c r="E60" s="125" t="s">
        <v>2614</v>
      </c>
      <c r="F60" s="126">
        <v>53.292760000000001</v>
      </c>
      <c r="G60" s="127">
        <v>-6.4189499999999997</v>
      </c>
      <c r="H60" s="125">
        <v>0</v>
      </c>
      <c r="I60" s="130">
        <v>42937</v>
      </c>
      <c r="J60" s="129" t="s">
        <v>2629</v>
      </c>
      <c r="K60" s="125" t="s">
        <v>36</v>
      </c>
      <c r="L60" s="125" t="s">
        <v>1687</v>
      </c>
      <c r="M60" s="125" t="s">
        <v>2563</v>
      </c>
      <c r="N60" s="125" t="s">
        <v>2814</v>
      </c>
      <c r="O60" s="125" t="s">
        <v>907</v>
      </c>
      <c r="P60" s="118" t="s">
        <v>3188</v>
      </c>
      <c r="Q60" s="125" t="s">
        <v>1710</v>
      </c>
      <c r="R60" s="125" t="s">
        <v>2713</v>
      </c>
      <c r="S60" s="125">
        <v>9.0200000000000002E-2</v>
      </c>
      <c r="T60" s="125">
        <v>4.6966666999999997E-2</v>
      </c>
      <c r="U60" s="125">
        <f t="shared" si="0"/>
        <v>4.3233333000000006E-2</v>
      </c>
      <c r="V60" s="125">
        <v>4.5</v>
      </c>
      <c r="W60" s="125">
        <v>12</v>
      </c>
      <c r="X60" s="125">
        <f t="shared" si="1"/>
        <v>54</v>
      </c>
    </row>
    <row r="61" spans="1:24" ht="16">
      <c r="A61" s="117" t="s">
        <v>3570</v>
      </c>
      <c r="B61" s="125" t="s">
        <v>3108</v>
      </c>
      <c r="C61" s="125" t="s">
        <v>2578</v>
      </c>
      <c r="D61" s="125" t="s">
        <v>3566</v>
      </c>
      <c r="E61" s="125" t="s">
        <v>2611</v>
      </c>
      <c r="F61" s="126">
        <v>53.29383</v>
      </c>
      <c r="G61" s="127">
        <v>-6.4200999999999997</v>
      </c>
      <c r="H61" s="125">
        <v>0</v>
      </c>
      <c r="I61" s="128">
        <v>42937</v>
      </c>
      <c r="J61" s="129" t="s">
        <v>2652</v>
      </c>
      <c r="K61" s="125" t="s">
        <v>36</v>
      </c>
      <c r="L61" s="125" t="s">
        <v>1687</v>
      </c>
      <c r="M61" s="125" t="s">
        <v>2563</v>
      </c>
      <c r="N61" s="125" t="s">
        <v>2814</v>
      </c>
      <c r="O61" s="125" t="s">
        <v>907</v>
      </c>
      <c r="P61" s="125" t="s">
        <v>907</v>
      </c>
      <c r="Q61" s="125" t="s">
        <v>2586</v>
      </c>
      <c r="R61" s="125" t="s">
        <v>2712</v>
      </c>
      <c r="S61" s="125">
        <v>0.12089999999999999</v>
      </c>
      <c r="T61" s="125">
        <v>4.6966666999999997E-2</v>
      </c>
      <c r="U61" s="125">
        <f t="shared" si="0"/>
        <v>7.393333299999999E-2</v>
      </c>
      <c r="V61" s="125">
        <v>5.5</v>
      </c>
      <c r="W61" s="125">
        <v>12</v>
      </c>
      <c r="X61" s="125">
        <f t="shared" si="1"/>
        <v>66</v>
      </c>
    </row>
    <row r="62" spans="1:24" ht="16">
      <c r="A62" s="117" t="s">
        <v>3570</v>
      </c>
      <c r="B62" s="125" t="s">
        <v>3109</v>
      </c>
      <c r="C62" s="125" t="s">
        <v>2578</v>
      </c>
      <c r="D62" s="125" t="s">
        <v>3566</v>
      </c>
      <c r="E62" s="125" t="s">
        <v>2620</v>
      </c>
      <c r="F62" s="126">
        <v>53.311360000000001</v>
      </c>
      <c r="G62" s="127">
        <v>-6.2593399999999999</v>
      </c>
      <c r="H62" s="125">
        <v>0</v>
      </c>
      <c r="I62" s="128">
        <v>42934</v>
      </c>
      <c r="J62" s="129" t="s">
        <v>2627</v>
      </c>
      <c r="K62" s="125" t="s">
        <v>36</v>
      </c>
      <c r="L62" s="125" t="s">
        <v>1687</v>
      </c>
      <c r="M62" s="125" t="s">
        <v>2563</v>
      </c>
      <c r="N62" s="125" t="s">
        <v>2814</v>
      </c>
      <c r="O62" s="125" t="s">
        <v>907</v>
      </c>
      <c r="P62" s="118" t="s">
        <v>3188</v>
      </c>
      <c r="Q62" s="125" t="s">
        <v>1710</v>
      </c>
      <c r="R62" s="125" t="s">
        <v>2713</v>
      </c>
      <c r="S62" s="125">
        <v>7.7399999999999997E-2</v>
      </c>
      <c r="T62" s="125">
        <v>4.6966666999999997E-2</v>
      </c>
      <c r="U62" s="125">
        <f t="shared" si="0"/>
        <v>3.0433333E-2</v>
      </c>
      <c r="V62" s="125">
        <v>3.9</v>
      </c>
      <c r="W62" s="125">
        <v>9.1999999999999993</v>
      </c>
      <c r="X62" s="125">
        <f t="shared" si="1"/>
        <v>35.879999999999995</v>
      </c>
    </row>
    <row r="63" spans="1:24" ht="16">
      <c r="A63" s="117" t="s">
        <v>3570</v>
      </c>
      <c r="B63" s="125" t="s">
        <v>3110</v>
      </c>
      <c r="C63" s="125" t="s">
        <v>2578</v>
      </c>
      <c r="D63" s="125" t="s">
        <v>3566</v>
      </c>
      <c r="E63" s="125" t="s">
        <v>2624</v>
      </c>
      <c r="F63" s="126">
        <v>53.306629999999998</v>
      </c>
      <c r="G63" s="127">
        <v>-6.2330800000000002</v>
      </c>
      <c r="H63" s="125">
        <v>0</v>
      </c>
      <c r="I63" s="128">
        <v>42950</v>
      </c>
      <c r="J63" s="129" t="s">
        <v>2626</v>
      </c>
      <c r="K63" s="125" t="s">
        <v>36</v>
      </c>
      <c r="L63" s="125" t="s">
        <v>1687</v>
      </c>
      <c r="M63" s="125" t="s">
        <v>2563</v>
      </c>
      <c r="N63" s="125" t="s">
        <v>2814</v>
      </c>
      <c r="O63" s="125" t="s">
        <v>907</v>
      </c>
      <c r="P63" s="117" t="s">
        <v>3187</v>
      </c>
      <c r="Q63" s="125" t="s">
        <v>1688</v>
      </c>
      <c r="R63" s="125" t="s">
        <v>2712</v>
      </c>
      <c r="S63" s="125">
        <v>9.7500000000000003E-2</v>
      </c>
      <c r="T63" s="125">
        <v>4.6966666999999997E-2</v>
      </c>
      <c r="U63" s="125">
        <f t="shared" si="0"/>
        <v>5.0533333000000007E-2</v>
      </c>
      <c r="V63" s="125">
        <v>4.8</v>
      </c>
      <c r="W63" s="125">
        <v>11.3</v>
      </c>
      <c r="X63" s="125">
        <f t="shared" si="1"/>
        <v>54.24</v>
      </c>
    </row>
    <row r="64" spans="1:24" ht="16">
      <c r="A64" s="117" t="s">
        <v>3570</v>
      </c>
      <c r="B64" s="125" t="s">
        <v>3111</v>
      </c>
      <c r="C64" s="125" t="s">
        <v>2578</v>
      </c>
      <c r="D64" s="125" t="s">
        <v>3566</v>
      </c>
      <c r="E64" s="125" t="s">
        <v>2617</v>
      </c>
      <c r="F64" s="126">
        <v>53.315019999999997</v>
      </c>
      <c r="G64" s="127">
        <v>-6.2239599999999999</v>
      </c>
      <c r="H64" s="125">
        <v>0</v>
      </c>
      <c r="I64" s="128">
        <v>42924</v>
      </c>
      <c r="J64" s="129" t="s">
        <v>2628</v>
      </c>
      <c r="K64" s="125" t="s">
        <v>36</v>
      </c>
      <c r="L64" s="125" t="s">
        <v>1687</v>
      </c>
      <c r="M64" s="125" t="s">
        <v>2563</v>
      </c>
      <c r="N64" s="125" t="s">
        <v>2814</v>
      </c>
      <c r="O64" s="125" t="s">
        <v>907</v>
      </c>
      <c r="P64" s="118" t="s">
        <v>3188</v>
      </c>
      <c r="Q64" s="125" t="s">
        <v>1710</v>
      </c>
      <c r="R64" s="125" t="s">
        <v>2713</v>
      </c>
      <c r="S64" s="125">
        <v>0.1007</v>
      </c>
      <c r="T64" s="125">
        <v>4.6966666999999997E-2</v>
      </c>
      <c r="U64" s="125">
        <f t="shared" si="0"/>
        <v>5.3733333000000001E-2</v>
      </c>
      <c r="V64" s="125">
        <v>4.5</v>
      </c>
      <c r="W64" s="125">
        <v>11.6</v>
      </c>
      <c r="X64" s="125">
        <f t="shared" si="1"/>
        <v>52.199999999999996</v>
      </c>
    </row>
    <row r="65" spans="1:24" ht="16">
      <c r="A65" s="117" t="s">
        <v>3570</v>
      </c>
      <c r="B65" s="125" t="s">
        <v>3112</v>
      </c>
      <c r="C65" s="125" t="s">
        <v>2578</v>
      </c>
      <c r="D65" s="125" t="s">
        <v>3566</v>
      </c>
      <c r="E65" s="125" t="s">
        <v>2621</v>
      </c>
      <c r="F65" s="126">
        <v>53.306150000000002</v>
      </c>
      <c r="G65" s="127">
        <v>-6.2338800000000001</v>
      </c>
      <c r="H65" s="125">
        <v>0</v>
      </c>
      <c r="I65" s="128">
        <v>42923</v>
      </c>
      <c r="J65" s="129" t="s">
        <v>2652</v>
      </c>
      <c r="K65" s="125" t="s">
        <v>36</v>
      </c>
      <c r="L65" s="125" t="s">
        <v>1687</v>
      </c>
      <c r="M65" s="125" t="s">
        <v>2563</v>
      </c>
      <c r="N65" s="125" t="s">
        <v>2814</v>
      </c>
      <c r="O65" s="125" t="s">
        <v>907</v>
      </c>
      <c r="P65" s="118" t="s">
        <v>907</v>
      </c>
      <c r="Q65" s="125" t="s">
        <v>1722</v>
      </c>
      <c r="R65" s="125" t="s">
        <v>2712</v>
      </c>
      <c r="S65" s="125">
        <v>0.13650000000000001</v>
      </c>
      <c r="T65" s="125">
        <v>4.6966666999999997E-2</v>
      </c>
      <c r="U65" s="125">
        <f t="shared" si="0"/>
        <v>8.953333300000002E-2</v>
      </c>
      <c r="V65" s="125">
        <v>6</v>
      </c>
      <c r="W65" s="125">
        <v>14</v>
      </c>
      <c r="X65" s="125">
        <f t="shared" si="1"/>
        <v>84</v>
      </c>
    </row>
    <row r="66" spans="1:24" ht="16">
      <c r="A66" s="117" t="s">
        <v>3570</v>
      </c>
      <c r="B66" s="125" t="s">
        <v>3113</v>
      </c>
      <c r="C66" s="125" t="s">
        <v>2578</v>
      </c>
      <c r="D66" s="125" t="s">
        <v>3566</v>
      </c>
      <c r="E66" s="125" t="s">
        <v>2612</v>
      </c>
      <c r="F66" s="126">
        <v>53.293469999999999</v>
      </c>
      <c r="G66" s="127">
        <v>-6.4196900000000001</v>
      </c>
      <c r="H66" s="125">
        <v>0</v>
      </c>
      <c r="I66" s="128">
        <v>42913</v>
      </c>
      <c r="J66" s="129" t="s">
        <v>2628</v>
      </c>
      <c r="K66" s="125" t="s">
        <v>36</v>
      </c>
      <c r="L66" s="125" t="s">
        <v>1687</v>
      </c>
      <c r="M66" s="125" t="s">
        <v>2563</v>
      </c>
      <c r="N66" s="125" t="s">
        <v>2814</v>
      </c>
      <c r="O66" s="125" t="s">
        <v>907</v>
      </c>
      <c r="P66" s="125" t="s">
        <v>3190</v>
      </c>
      <c r="Q66" s="125" t="s">
        <v>2582</v>
      </c>
      <c r="R66" s="125" t="s">
        <v>2712</v>
      </c>
      <c r="S66" s="125">
        <v>6.5699999999999995E-2</v>
      </c>
      <c r="T66" s="125">
        <v>4.6966666999999997E-2</v>
      </c>
      <c r="U66" s="125">
        <f t="shared" ref="U66:U99" si="2">S66-T66</f>
        <v>1.8733332999999998E-2</v>
      </c>
      <c r="V66" s="125">
        <v>3.1</v>
      </c>
      <c r="W66" s="125">
        <v>8.4</v>
      </c>
      <c r="X66" s="125">
        <f t="shared" si="1"/>
        <v>26.040000000000003</v>
      </c>
    </row>
    <row r="67" spans="1:24" ht="16">
      <c r="A67" s="117" t="s">
        <v>3570</v>
      </c>
      <c r="B67" s="125" t="s">
        <v>3114</v>
      </c>
      <c r="C67" s="125" t="s">
        <v>2578</v>
      </c>
      <c r="D67" s="125" t="s">
        <v>3566</v>
      </c>
      <c r="E67" s="125" t="s">
        <v>2617</v>
      </c>
      <c r="F67" s="126">
        <v>53.315019999999997</v>
      </c>
      <c r="G67" s="127">
        <v>-6.2239599999999999</v>
      </c>
      <c r="H67" s="125">
        <v>0</v>
      </c>
      <c r="I67" s="130">
        <v>42948</v>
      </c>
      <c r="J67" s="129" t="s">
        <v>2652</v>
      </c>
      <c r="K67" s="125" t="s">
        <v>36</v>
      </c>
      <c r="L67" s="125" t="s">
        <v>1687</v>
      </c>
      <c r="M67" s="125" t="s">
        <v>2563</v>
      </c>
      <c r="N67" s="125" t="s">
        <v>2814</v>
      </c>
      <c r="O67" s="125" t="s">
        <v>907</v>
      </c>
      <c r="P67" s="118" t="s">
        <v>3188</v>
      </c>
      <c r="Q67" s="125" t="s">
        <v>1710</v>
      </c>
      <c r="R67" s="125" t="s">
        <v>2712</v>
      </c>
      <c r="S67" s="125">
        <v>9.1399999999999995E-2</v>
      </c>
      <c r="T67" s="125">
        <v>4.6966666999999997E-2</v>
      </c>
      <c r="U67" s="125">
        <f t="shared" si="2"/>
        <v>4.4433332999999998E-2</v>
      </c>
      <c r="V67" s="125">
        <v>5</v>
      </c>
      <c r="W67" s="125">
        <v>12</v>
      </c>
      <c r="X67" s="125">
        <f t="shared" ref="X67:X99" si="3">W67*V67</f>
        <v>60</v>
      </c>
    </row>
    <row r="68" spans="1:24" ht="16">
      <c r="A68" s="117" t="s">
        <v>3570</v>
      </c>
      <c r="B68" s="125" t="s">
        <v>3115</v>
      </c>
      <c r="C68" s="125" t="s">
        <v>2578</v>
      </c>
      <c r="D68" s="125" t="s">
        <v>3566</v>
      </c>
      <c r="E68" s="125" t="s">
        <v>2624</v>
      </c>
      <c r="F68" s="126">
        <v>53.306629999999998</v>
      </c>
      <c r="G68" s="127">
        <v>-6.2330800000000002</v>
      </c>
      <c r="H68" s="125">
        <v>0</v>
      </c>
      <c r="I68" s="130">
        <v>42907</v>
      </c>
      <c r="J68" s="129" t="s">
        <v>2627</v>
      </c>
      <c r="K68" s="125" t="s">
        <v>36</v>
      </c>
      <c r="L68" s="125" t="s">
        <v>1687</v>
      </c>
      <c r="M68" s="125" t="s">
        <v>2563</v>
      </c>
      <c r="N68" s="125" t="s">
        <v>2814</v>
      </c>
      <c r="O68" s="125" t="s">
        <v>907</v>
      </c>
      <c r="P68" s="125" t="s">
        <v>3190</v>
      </c>
      <c r="Q68" s="125" t="s">
        <v>2582</v>
      </c>
      <c r="R68" s="125" t="s">
        <v>2713</v>
      </c>
      <c r="S68" s="125">
        <v>6.1800000000000001E-2</v>
      </c>
      <c r="T68" s="125">
        <v>3.7233333E-2</v>
      </c>
      <c r="U68" s="125">
        <f t="shared" si="2"/>
        <v>2.4566667E-2</v>
      </c>
      <c r="V68" s="125">
        <v>3.5</v>
      </c>
      <c r="W68" s="125">
        <v>9.5</v>
      </c>
      <c r="X68" s="125">
        <f t="shared" si="3"/>
        <v>33.25</v>
      </c>
    </row>
    <row r="69" spans="1:24" ht="16">
      <c r="A69" s="117" t="s">
        <v>3570</v>
      </c>
      <c r="B69" s="125" t="s">
        <v>3116</v>
      </c>
      <c r="C69" s="125" t="s">
        <v>2578</v>
      </c>
      <c r="D69" s="125" t="s">
        <v>3566</v>
      </c>
      <c r="E69" s="125" t="s">
        <v>2622</v>
      </c>
      <c r="F69" s="127">
        <v>53.306449999999998</v>
      </c>
      <c r="G69" s="127">
        <v>-6.2336600000000004</v>
      </c>
      <c r="H69" s="125">
        <v>0</v>
      </c>
      <c r="I69" s="130">
        <v>42941</v>
      </c>
      <c r="J69" s="129" t="s">
        <v>2629</v>
      </c>
      <c r="K69" s="125" t="s">
        <v>36</v>
      </c>
      <c r="L69" s="125" t="s">
        <v>1687</v>
      </c>
      <c r="M69" s="125" t="s">
        <v>2563</v>
      </c>
      <c r="N69" s="125" t="s">
        <v>2814</v>
      </c>
      <c r="O69" s="125" t="s">
        <v>907</v>
      </c>
      <c r="P69" s="125" t="s">
        <v>3190</v>
      </c>
      <c r="Q69" s="125" t="s">
        <v>2582</v>
      </c>
      <c r="R69" s="125" t="s">
        <v>2713</v>
      </c>
      <c r="S69" s="125">
        <v>6.6000000000000003E-2</v>
      </c>
      <c r="T69" s="125">
        <v>3.7233333E-2</v>
      </c>
      <c r="U69" s="125">
        <f t="shared" si="2"/>
        <v>2.8766667000000003E-2</v>
      </c>
      <c r="V69" s="125">
        <v>4</v>
      </c>
      <c r="W69" s="125">
        <v>9</v>
      </c>
      <c r="X69" s="125">
        <f t="shared" si="3"/>
        <v>36</v>
      </c>
    </row>
    <row r="70" spans="1:24" ht="16">
      <c r="A70" s="117" t="s">
        <v>3570</v>
      </c>
      <c r="B70" s="125" t="s">
        <v>3117</v>
      </c>
      <c r="C70" s="125" t="s">
        <v>2578</v>
      </c>
      <c r="D70" s="125" t="s">
        <v>3566</v>
      </c>
      <c r="E70" s="125" t="s">
        <v>2624</v>
      </c>
      <c r="F70" s="127">
        <v>53.306629999999998</v>
      </c>
      <c r="G70" s="127">
        <v>-6.2330800000000002</v>
      </c>
      <c r="H70" s="125">
        <v>0</v>
      </c>
      <c r="I70" s="130">
        <v>42983</v>
      </c>
      <c r="J70" s="129" t="s">
        <v>2626</v>
      </c>
      <c r="K70" s="125" t="s">
        <v>36</v>
      </c>
      <c r="L70" s="125" t="s">
        <v>1687</v>
      </c>
      <c r="M70" s="125" t="s">
        <v>2563</v>
      </c>
      <c r="N70" s="125" t="s">
        <v>2814</v>
      </c>
      <c r="O70" s="125" t="s">
        <v>907</v>
      </c>
      <c r="P70" s="118" t="s">
        <v>3188</v>
      </c>
      <c r="Q70" s="125" t="s">
        <v>1710</v>
      </c>
      <c r="R70" s="125" t="s">
        <v>2712</v>
      </c>
      <c r="S70" s="125">
        <v>6.88E-2</v>
      </c>
      <c r="T70" s="125">
        <v>4.6966666999999997E-2</v>
      </c>
      <c r="U70" s="125">
        <f t="shared" si="2"/>
        <v>2.1833333000000003E-2</v>
      </c>
      <c r="V70" s="125">
        <v>4.2</v>
      </c>
      <c r="W70" s="125">
        <v>10.1</v>
      </c>
      <c r="X70" s="125">
        <f t="shared" si="3"/>
        <v>42.42</v>
      </c>
    </row>
    <row r="71" spans="1:24" ht="16">
      <c r="A71" s="117" t="s">
        <v>3570</v>
      </c>
      <c r="B71" s="125" t="s">
        <v>3118</v>
      </c>
      <c r="C71" s="125" t="s">
        <v>2578</v>
      </c>
      <c r="D71" s="125" t="s">
        <v>3566</v>
      </c>
      <c r="E71" s="125" t="s">
        <v>2615</v>
      </c>
      <c r="F71" s="127">
        <v>53.314720000000001</v>
      </c>
      <c r="G71" s="127">
        <v>-6.2213000000000003</v>
      </c>
      <c r="H71" s="125">
        <v>0</v>
      </c>
      <c r="I71" s="130">
        <v>42907</v>
      </c>
      <c r="J71" s="129" t="s">
        <v>2628</v>
      </c>
      <c r="K71" s="125" t="s">
        <v>36</v>
      </c>
      <c r="L71" s="125" t="s">
        <v>1687</v>
      </c>
      <c r="M71" s="125" t="s">
        <v>2563</v>
      </c>
      <c r="N71" s="125" t="s">
        <v>2814</v>
      </c>
      <c r="O71" s="125" t="s">
        <v>907</v>
      </c>
      <c r="P71" s="125" t="s">
        <v>3190</v>
      </c>
      <c r="Q71" s="125" t="s">
        <v>2582</v>
      </c>
      <c r="R71" s="125" t="s">
        <v>2713</v>
      </c>
      <c r="S71" s="125">
        <v>6.13E-2</v>
      </c>
      <c r="T71" s="125">
        <v>3.7233333E-2</v>
      </c>
      <c r="U71" s="125">
        <f t="shared" si="2"/>
        <v>2.4066667E-2</v>
      </c>
      <c r="V71" s="125">
        <v>3.5</v>
      </c>
      <c r="W71" s="125">
        <v>9.4</v>
      </c>
      <c r="X71" s="125">
        <f t="shared" si="3"/>
        <v>32.9</v>
      </c>
    </row>
    <row r="72" spans="1:24" ht="16">
      <c r="A72" s="117" t="s">
        <v>3570</v>
      </c>
      <c r="B72" s="125" t="s">
        <v>3119</v>
      </c>
      <c r="C72" s="125" t="s">
        <v>2578</v>
      </c>
      <c r="D72" s="125" t="s">
        <v>3566</v>
      </c>
      <c r="E72" s="125" t="s">
        <v>2615</v>
      </c>
      <c r="F72" s="127">
        <v>53.314720000000001</v>
      </c>
      <c r="G72" s="127">
        <v>-6.2213000000000003</v>
      </c>
      <c r="H72" s="125">
        <v>0</v>
      </c>
      <c r="I72" s="130">
        <v>42928</v>
      </c>
      <c r="J72" s="129" t="s">
        <v>2626</v>
      </c>
      <c r="K72" s="125" t="s">
        <v>36</v>
      </c>
      <c r="L72" s="125" t="s">
        <v>1687</v>
      </c>
      <c r="M72" s="125" t="s">
        <v>2563</v>
      </c>
      <c r="N72" s="125" t="s">
        <v>2814</v>
      </c>
      <c r="O72" s="125" t="s">
        <v>907</v>
      </c>
      <c r="P72" s="117" t="s">
        <v>3187</v>
      </c>
      <c r="Q72" s="125" t="s">
        <v>1688</v>
      </c>
      <c r="R72" s="125" t="s">
        <v>2712</v>
      </c>
      <c r="S72" s="125">
        <v>8.3099999999999993E-2</v>
      </c>
      <c r="T72" s="125">
        <v>3.7233333E-2</v>
      </c>
      <c r="U72" s="125">
        <f t="shared" si="2"/>
        <v>4.5866666999999993E-2</v>
      </c>
      <c r="V72" s="125">
        <v>4.5</v>
      </c>
      <c r="W72" s="125">
        <v>11.8</v>
      </c>
      <c r="X72" s="125">
        <f t="shared" si="3"/>
        <v>53.1</v>
      </c>
    </row>
    <row r="73" spans="1:24" ht="16">
      <c r="A73" s="117" t="s">
        <v>3570</v>
      </c>
      <c r="B73" s="125" t="s">
        <v>3120</v>
      </c>
      <c r="C73" s="125" t="s">
        <v>2578</v>
      </c>
      <c r="D73" s="125" t="s">
        <v>3566</v>
      </c>
      <c r="E73" s="125" t="s">
        <v>2613</v>
      </c>
      <c r="F73" s="127">
        <v>53.29316</v>
      </c>
      <c r="G73" s="127">
        <v>-6.4193800000000003</v>
      </c>
      <c r="H73" s="125">
        <v>0</v>
      </c>
      <c r="I73" s="130">
        <v>42906</v>
      </c>
      <c r="J73" s="129" t="s">
        <v>2628</v>
      </c>
      <c r="K73" s="125" t="s">
        <v>36</v>
      </c>
      <c r="L73" s="125" t="s">
        <v>1687</v>
      </c>
      <c r="M73" s="125" t="s">
        <v>2563</v>
      </c>
      <c r="N73" s="125" t="s">
        <v>2814</v>
      </c>
      <c r="O73" s="125" t="s">
        <v>907</v>
      </c>
      <c r="P73" s="125" t="s">
        <v>3190</v>
      </c>
      <c r="Q73" s="125" t="s">
        <v>2582</v>
      </c>
      <c r="R73" s="125" t="s">
        <v>2712</v>
      </c>
      <c r="S73" s="125">
        <v>7.7700000000000005E-2</v>
      </c>
      <c r="T73" s="125">
        <v>3.7233333E-2</v>
      </c>
      <c r="U73" s="125">
        <f t="shared" si="2"/>
        <v>4.0466667000000005E-2</v>
      </c>
      <c r="V73" s="125">
        <v>4.2</v>
      </c>
      <c r="W73" s="125">
        <v>10.7</v>
      </c>
      <c r="X73" s="125">
        <f t="shared" si="3"/>
        <v>44.94</v>
      </c>
    </row>
    <row r="74" spans="1:24" ht="16">
      <c r="A74" s="117" t="s">
        <v>3570</v>
      </c>
      <c r="B74" s="125" t="s">
        <v>3121</v>
      </c>
      <c r="C74" s="125" t="s">
        <v>2578</v>
      </c>
      <c r="D74" s="125" t="s">
        <v>3566</v>
      </c>
      <c r="E74" s="125" t="s">
        <v>2622</v>
      </c>
      <c r="F74" s="127">
        <v>53.306449999999998</v>
      </c>
      <c r="G74" s="127">
        <v>-6.2336600000000004</v>
      </c>
      <c r="H74" s="125">
        <v>0</v>
      </c>
      <c r="I74" s="130">
        <v>42923</v>
      </c>
      <c r="J74" s="129" t="s">
        <v>2628</v>
      </c>
      <c r="K74" s="125" t="s">
        <v>36</v>
      </c>
      <c r="L74" s="125" t="s">
        <v>1687</v>
      </c>
      <c r="M74" s="125" t="s">
        <v>2563</v>
      </c>
      <c r="N74" s="125" t="s">
        <v>2814</v>
      </c>
      <c r="O74" s="125" t="s">
        <v>907</v>
      </c>
      <c r="P74" s="125" t="s">
        <v>907</v>
      </c>
      <c r="Q74" s="125" t="s">
        <v>1722</v>
      </c>
      <c r="R74" s="125" t="s">
        <v>2713</v>
      </c>
      <c r="S74" s="125">
        <v>0.10340000000000001</v>
      </c>
      <c r="T74" s="125">
        <v>3.7233333E-2</v>
      </c>
      <c r="U74" s="125">
        <f t="shared" si="2"/>
        <v>6.6166667000000012E-2</v>
      </c>
      <c r="V74" s="125">
        <v>4.5999999999999996</v>
      </c>
      <c r="W74" s="125">
        <v>13.4</v>
      </c>
      <c r="X74" s="125">
        <f t="shared" si="3"/>
        <v>61.639999999999993</v>
      </c>
    </row>
    <row r="75" spans="1:24" ht="16">
      <c r="A75" s="117" t="s">
        <v>3570</v>
      </c>
      <c r="B75" s="125" t="s">
        <v>3122</v>
      </c>
      <c r="C75" s="125" t="s">
        <v>2578</v>
      </c>
      <c r="D75" s="125" t="s">
        <v>3566</v>
      </c>
      <c r="E75" s="125" t="s">
        <v>2624</v>
      </c>
      <c r="F75" s="127">
        <v>53.306629999999998</v>
      </c>
      <c r="G75" s="127">
        <v>-6.2330800000000002</v>
      </c>
      <c r="H75" s="125">
        <v>0</v>
      </c>
      <c r="I75" s="130">
        <v>42921</v>
      </c>
      <c r="J75" s="129" t="s">
        <v>2628</v>
      </c>
      <c r="K75" s="125" t="s">
        <v>36</v>
      </c>
      <c r="L75" s="125" t="s">
        <v>1687</v>
      </c>
      <c r="M75" s="125" t="s">
        <v>2563</v>
      </c>
      <c r="N75" s="125" t="s">
        <v>2814</v>
      </c>
      <c r="O75" s="125" t="s">
        <v>907</v>
      </c>
      <c r="P75" s="125" t="s">
        <v>907</v>
      </c>
      <c r="Q75" s="125" t="s">
        <v>1722</v>
      </c>
      <c r="R75" s="125" t="s">
        <v>2713</v>
      </c>
      <c r="S75" s="125">
        <v>0.1071</v>
      </c>
      <c r="T75" s="125">
        <v>3.7233333E-2</v>
      </c>
      <c r="U75" s="125">
        <f t="shared" si="2"/>
        <v>6.9866666999999993E-2</v>
      </c>
      <c r="V75" s="125">
        <v>5.0999999999999996</v>
      </c>
      <c r="W75" s="125">
        <v>13.8</v>
      </c>
      <c r="X75" s="125">
        <f t="shared" si="3"/>
        <v>70.38</v>
      </c>
    </row>
    <row r="76" spans="1:24" ht="16">
      <c r="A76" s="117" t="s">
        <v>3570</v>
      </c>
      <c r="B76" s="125" t="s">
        <v>3123</v>
      </c>
      <c r="C76" s="125" t="s">
        <v>2578</v>
      </c>
      <c r="D76" s="125" t="s">
        <v>3566</v>
      </c>
      <c r="E76" s="125" t="s">
        <v>2621</v>
      </c>
      <c r="F76" s="127">
        <v>53.306150000000002</v>
      </c>
      <c r="G76" s="127">
        <v>-6.2338800000000001</v>
      </c>
      <c r="H76" s="125">
        <v>0</v>
      </c>
      <c r="I76" s="130">
        <v>42921</v>
      </c>
      <c r="J76" s="129" t="s">
        <v>2628</v>
      </c>
      <c r="K76" s="125" t="s">
        <v>36</v>
      </c>
      <c r="L76" s="125" t="s">
        <v>1687</v>
      </c>
      <c r="M76" s="125" t="s">
        <v>2563</v>
      </c>
      <c r="N76" s="125" t="s">
        <v>2814</v>
      </c>
      <c r="O76" s="125" t="s">
        <v>907</v>
      </c>
      <c r="P76" s="125" t="s">
        <v>907</v>
      </c>
      <c r="Q76" s="125" t="s">
        <v>1722</v>
      </c>
      <c r="R76" s="125" t="s">
        <v>2713</v>
      </c>
      <c r="S76" s="125">
        <v>0.1055</v>
      </c>
      <c r="T76" s="125">
        <v>3.7233333E-2</v>
      </c>
      <c r="U76" s="125">
        <f t="shared" si="2"/>
        <v>6.8266667000000003E-2</v>
      </c>
      <c r="V76" s="125">
        <v>5</v>
      </c>
      <c r="W76" s="125">
        <v>13.8</v>
      </c>
      <c r="X76" s="125">
        <f t="shared" si="3"/>
        <v>69</v>
      </c>
    </row>
    <row r="77" spans="1:24" ht="16">
      <c r="A77" s="117" t="s">
        <v>3570</v>
      </c>
      <c r="B77" s="125" t="s">
        <v>3124</v>
      </c>
      <c r="C77" s="125" t="s">
        <v>2578</v>
      </c>
      <c r="D77" s="125" t="s">
        <v>3566</v>
      </c>
      <c r="E77" s="125" t="s">
        <v>2651</v>
      </c>
      <c r="F77" s="127">
        <v>53.314369999999997</v>
      </c>
      <c r="G77" s="127">
        <v>-6.2222</v>
      </c>
      <c r="H77" s="125">
        <v>0</v>
      </c>
      <c r="I77" s="130">
        <v>42933</v>
      </c>
      <c r="J77" s="129" t="s">
        <v>2629</v>
      </c>
      <c r="K77" s="125" t="s">
        <v>36</v>
      </c>
      <c r="L77" s="125" t="s">
        <v>1687</v>
      </c>
      <c r="M77" s="125" t="s">
        <v>2563</v>
      </c>
      <c r="N77" s="125" t="s">
        <v>2814</v>
      </c>
      <c r="O77" s="125" t="s">
        <v>907</v>
      </c>
      <c r="P77" s="125" t="s">
        <v>3190</v>
      </c>
      <c r="Q77" s="125" t="s">
        <v>2582</v>
      </c>
      <c r="R77" s="125" t="s">
        <v>2712</v>
      </c>
      <c r="S77" s="125">
        <v>7.5499999999999998E-2</v>
      </c>
      <c r="T77" s="125">
        <v>3.7233333E-2</v>
      </c>
      <c r="U77" s="125">
        <f t="shared" si="2"/>
        <v>3.8266666999999997E-2</v>
      </c>
      <c r="V77" s="125">
        <v>4.4000000000000004</v>
      </c>
      <c r="W77" s="125">
        <v>11.3</v>
      </c>
      <c r="X77" s="125">
        <f t="shared" si="3"/>
        <v>49.720000000000006</v>
      </c>
    </row>
    <row r="78" spans="1:24" ht="16">
      <c r="A78" s="117" t="s">
        <v>3570</v>
      </c>
      <c r="B78" s="125" t="s">
        <v>3125</v>
      </c>
      <c r="C78" s="125" t="s">
        <v>2578</v>
      </c>
      <c r="D78" s="125" t="s">
        <v>3566</v>
      </c>
      <c r="E78" s="125" t="s">
        <v>2624</v>
      </c>
      <c r="F78" s="127">
        <v>53.306629999999998</v>
      </c>
      <c r="G78" s="127">
        <v>-6.2330800000000002</v>
      </c>
      <c r="H78" s="125">
        <v>0</v>
      </c>
      <c r="I78" s="130">
        <v>42933</v>
      </c>
      <c r="J78" s="129" t="s">
        <v>2628</v>
      </c>
      <c r="K78" s="125" t="s">
        <v>36</v>
      </c>
      <c r="L78" s="125" t="s">
        <v>1687</v>
      </c>
      <c r="M78" s="125" t="s">
        <v>2563</v>
      </c>
      <c r="N78" s="125" t="s">
        <v>2814</v>
      </c>
      <c r="O78" s="125" t="s">
        <v>907</v>
      </c>
      <c r="P78" s="125" t="s">
        <v>907</v>
      </c>
      <c r="Q78" s="125" t="s">
        <v>2586</v>
      </c>
      <c r="R78" s="125" t="s">
        <v>2712</v>
      </c>
      <c r="S78" s="125">
        <v>0.10539999999999999</v>
      </c>
      <c r="T78" s="125">
        <v>3.7233333E-2</v>
      </c>
      <c r="U78" s="125">
        <f t="shared" si="2"/>
        <v>6.8166666999999986E-2</v>
      </c>
      <c r="V78" s="125">
        <v>5.5</v>
      </c>
      <c r="W78" s="125">
        <v>15.1</v>
      </c>
      <c r="X78" s="125">
        <f t="shared" si="3"/>
        <v>83.05</v>
      </c>
    </row>
    <row r="79" spans="1:24" ht="16">
      <c r="A79" s="117" t="s">
        <v>3570</v>
      </c>
      <c r="B79" s="125" t="s">
        <v>3126</v>
      </c>
      <c r="C79" s="125" t="s">
        <v>2578</v>
      </c>
      <c r="D79" s="125" t="s">
        <v>3566</v>
      </c>
      <c r="E79" s="125" t="s">
        <v>2624</v>
      </c>
      <c r="F79" s="127">
        <v>53.306629999999998</v>
      </c>
      <c r="G79" s="127">
        <v>-6.2330800000000002</v>
      </c>
      <c r="H79" s="125">
        <v>0</v>
      </c>
      <c r="I79" s="130">
        <v>42941</v>
      </c>
      <c r="J79" s="129" t="s">
        <v>2628</v>
      </c>
      <c r="K79" s="125" t="s">
        <v>36</v>
      </c>
      <c r="L79" s="125" t="s">
        <v>1687</v>
      </c>
      <c r="M79" s="125" t="s">
        <v>2563</v>
      </c>
      <c r="N79" s="125" t="s">
        <v>2814</v>
      </c>
      <c r="O79" s="125" t="s">
        <v>907</v>
      </c>
      <c r="P79" s="125" t="s">
        <v>907</v>
      </c>
      <c r="Q79" s="125" t="s">
        <v>1722</v>
      </c>
      <c r="R79" s="125" t="s">
        <v>2712</v>
      </c>
      <c r="S79" s="125">
        <v>0.10539999999999999</v>
      </c>
      <c r="T79" s="125">
        <v>3.7233333E-2</v>
      </c>
      <c r="U79" s="125">
        <f t="shared" si="2"/>
        <v>6.8166666999999986E-2</v>
      </c>
      <c r="V79" s="125">
        <v>5.8</v>
      </c>
      <c r="W79" s="125">
        <v>14.2</v>
      </c>
      <c r="X79" s="125">
        <f t="shared" si="3"/>
        <v>82.36</v>
      </c>
    </row>
    <row r="80" spans="1:24" ht="16">
      <c r="A80" s="117" t="s">
        <v>3570</v>
      </c>
      <c r="B80" s="125" t="s">
        <v>3127</v>
      </c>
      <c r="C80" s="125" t="s">
        <v>2578</v>
      </c>
      <c r="D80" s="125" t="s">
        <v>3566</v>
      </c>
      <c r="E80" s="125" t="s">
        <v>2618</v>
      </c>
      <c r="F80" s="127">
        <v>53.312570000000001</v>
      </c>
      <c r="G80" s="127">
        <v>-6.2602500000000001</v>
      </c>
      <c r="H80" s="125">
        <v>0</v>
      </c>
      <c r="I80" s="130">
        <v>42938</v>
      </c>
      <c r="J80" s="129" t="s">
        <v>2652</v>
      </c>
      <c r="K80" s="125" t="s">
        <v>36</v>
      </c>
      <c r="L80" s="125" t="s">
        <v>1687</v>
      </c>
      <c r="M80" s="125" t="s">
        <v>2563</v>
      </c>
      <c r="N80" s="125" t="s">
        <v>2814</v>
      </c>
      <c r="O80" s="125" t="s">
        <v>907</v>
      </c>
      <c r="P80" s="125" t="s">
        <v>3189</v>
      </c>
      <c r="Q80" s="125" t="s">
        <v>2662</v>
      </c>
      <c r="R80" s="125" t="s">
        <v>2712</v>
      </c>
      <c r="S80" s="125">
        <v>9.4799999999999995E-2</v>
      </c>
      <c r="T80" s="125">
        <v>4.6966666999999997E-2</v>
      </c>
      <c r="U80" s="125">
        <f t="shared" si="2"/>
        <v>4.7833332999999999E-2</v>
      </c>
      <c r="V80" s="125">
        <v>5</v>
      </c>
      <c r="W80" s="125">
        <v>13</v>
      </c>
      <c r="X80" s="125">
        <f t="shared" si="3"/>
        <v>65</v>
      </c>
    </row>
    <row r="81" spans="1:24" ht="16">
      <c r="A81" s="117" t="s">
        <v>3570</v>
      </c>
      <c r="B81" s="125" t="s">
        <v>3143</v>
      </c>
      <c r="C81" s="125" t="s">
        <v>2578</v>
      </c>
      <c r="D81" s="125" t="s">
        <v>3566</v>
      </c>
      <c r="E81" s="125" t="s">
        <v>2624</v>
      </c>
      <c r="F81" s="126">
        <v>53.306629999999998</v>
      </c>
      <c r="G81" s="127">
        <v>-6.2330800000000002</v>
      </c>
      <c r="H81" s="125">
        <v>0</v>
      </c>
      <c r="I81" s="128">
        <v>42941</v>
      </c>
      <c r="J81" s="129" t="s">
        <v>2626</v>
      </c>
      <c r="K81" s="125" t="s">
        <v>36</v>
      </c>
      <c r="L81" s="125" t="s">
        <v>2566</v>
      </c>
      <c r="M81" s="125" t="s">
        <v>2567</v>
      </c>
      <c r="N81" s="125" t="s">
        <v>2668</v>
      </c>
      <c r="O81" s="125" t="s">
        <v>892</v>
      </c>
      <c r="P81" s="125"/>
      <c r="Q81" s="125" t="s">
        <v>2580</v>
      </c>
      <c r="R81" s="125" t="s">
        <v>2713</v>
      </c>
      <c r="S81" s="125">
        <v>5.1400000000000001E-2</v>
      </c>
      <c r="T81" s="125">
        <v>3.7233333E-2</v>
      </c>
      <c r="U81" s="125">
        <f t="shared" si="2"/>
        <v>1.4166667000000001E-2</v>
      </c>
      <c r="V81" s="125">
        <v>2.4</v>
      </c>
      <c r="W81" s="125">
        <v>10.3</v>
      </c>
      <c r="X81" s="125">
        <f t="shared" si="3"/>
        <v>24.720000000000002</v>
      </c>
    </row>
    <row r="82" spans="1:24" ht="16">
      <c r="A82" s="117" t="s">
        <v>3570</v>
      </c>
      <c r="B82" s="125" t="s">
        <v>3144</v>
      </c>
      <c r="C82" s="125" t="s">
        <v>2578</v>
      </c>
      <c r="D82" s="125" t="s">
        <v>3566</v>
      </c>
      <c r="E82" s="125" t="s">
        <v>2618</v>
      </c>
      <c r="F82" s="126">
        <v>53.312570000000001</v>
      </c>
      <c r="G82" s="127">
        <v>-6.2602500000000001</v>
      </c>
      <c r="H82" s="125">
        <v>0</v>
      </c>
      <c r="I82" s="128">
        <v>42928</v>
      </c>
      <c r="J82" s="129" t="s">
        <v>2628</v>
      </c>
      <c r="K82" s="125" t="s">
        <v>36</v>
      </c>
      <c r="L82" s="125" t="s">
        <v>2572</v>
      </c>
      <c r="M82" s="125" t="s">
        <v>2573</v>
      </c>
      <c r="N82" s="125" t="s">
        <v>36</v>
      </c>
      <c r="O82" s="125" t="s">
        <v>2606</v>
      </c>
      <c r="P82" s="125"/>
      <c r="Q82" s="125" t="s">
        <v>2590</v>
      </c>
      <c r="R82" s="125" t="s">
        <v>2713</v>
      </c>
      <c r="S82" s="125">
        <v>5.7099999999999998E-2</v>
      </c>
      <c r="T82" s="125">
        <v>4.6966666999999997E-2</v>
      </c>
      <c r="U82" s="125">
        <f t="shared" si="2"/>
        <v>1.0133333000000001E-2</v>
      </c>
      <c r="V82" s="125">
        <v>1.5</v>
      </c>
      <c r="W82" s="125">
        <v>5</v>
      </c>
      <c r="X82" s="125">
        <f t="shared" si="3"/>
        <v>7.5</v>
      </c>
    </row>
    <row r="83" spans="1:24" ht="16">
      <c r="A83" s="117" t="s">
        <v>3570</v>
      </c>
      <c r="B83" s="125" t="s">
        <v>3145</v>
      </c>
      <c r="C83" s="125" t="s">
        <v>2578</v>
      </c>
      <c r="D83" s="125" t="s">
        <v>3566</v>
      </c>
      <c r="E83" s="125" t="s">
        <v>2621</v>
      </c>
      <c r="F83" s="127">
        <v>53.306150000000002</v>
      </c>
      <c r="G83" s="127">
        <v>-6.2338800000000001</v>
      </c>
      <c r="H83" s="125">
        <v>0</v>
      </c>
      <c r="I83" s="130">
        <v>42923</v>
      </c>
      <c r="J83" s="129" t="s">
        <v>2628</v>
      </c>
      <c r="K83" s="125" t="s">
        <v>36</v>
      </c>
      <c r="L83" s="125" t="s">
        <v>2572</v>
      </c>
      <c r="M83" s="125" t="s">
        <v>2573</v>
      </c>
      <c r="N83" s="125" t="s">
        <v>36</v>
      </c>
      <c r="O83" s="125" t="s">
        <v>2606</v>
      </c>
      <c r="P83" s="125"/>
      <c r="Q83" s="125" t="s">
        <v>2590</v>
      </c>
      <c r="R83" s="125" t="s">
        <v>2713</v>
      </c>
      <c r="S83" s="125">
        <v>4.0300000000000002E-2</v>
      </c>
      <c r="T83" s="125">
        <v>3.7233333E-2</v>
      </c>
      <c r="U83" s="125">
        <f t="shared" si="2"/>
        <v>3.0666670000000021E-3</v>
      </c>
      <c r="V83" s="125">
        <v>1.7</v>
      </c>
      <c r="W83" s="125">
        <v>4.8</v>
      </c>
      <c r="X83" s="125">
        <f t="shared" si="3"/>
        <v>8.16</v>
      </c>
    </row>
    <row r="84" spans="1:24" ht="16">
      <c r="A84" s="117" t="s">
        <v>3570</v>
      </c>
      <c r="B84" s="125" t="s">
        <v>3146</v>
      </c>
      <c r="C84" s="125" t="s">
        <v>2578</v>
      </c>
      <c r="D84" s="125" t="s">
        <v>3566</v>
      </c>
      <c r="E84" s="125" t="s">
        <v>2621</v>
      </c>
      <c r="F84" s="127">
        <v>53.306150000000002</v>
      </c>
      <c r="G84" s="127">
        <v>-6.2338800000000001</v>
      </c>
      <c r="H84" s="125">
        <v>0</v>
      </c>
      <c r="I84" s="130">
        <v>42923</v>
      </c>
      <c r="J84" s="129" t="s">
        <v>2628</v>
      </c>
      <c r="K84" s="125" t="s">
        <v>36</v>
      </c>
      <c r="L84" s="125" t="s">
        <v>2572</v>
      </c>
      <c r="M84" s="125" t="s">
        <v>2573</v>
      </c>
      <c r="N84" s="125" t="s">
        <v>36</v>
      </c>
      <c r="O84" s="125" t="s">
        <v>2606</v>
      </c>
      <c r="P84" s="125"/>
      <c r="Q84" s="125" t="s">
        <v>2593</v>
      </c>
      <c r="R84" s="125" t="s">
        <v>2713</v>
      </c>
      <c r="S84" s="125">
        <v>3.9899999999999998E-2</v>
      </c>
      <c r="T84" s="125">
        <v>3.7233333E-2</v>
      </c>
      <c r="U84" s="125">
        <f t="shared" si="2"/>
        <v>2.6666669999999976E-3</v>
      </c>
      <c r="V84" s="125">
        <v>1.3</v>
      </c>
      <c r="W84" s="125">
        <v>4.5999999999999996</v>
      </c>
      <c r="X84" s="125">
        <f t="shared" si="3"/>
        <v>5.9799999999999995</v>
      </c>
    </row>
    <row r="85" spans="1:24" ht="16">
      <c r="A85" s="117" t="s">
        <v>3570</v>
      </c>
      <c r="B85" s="125" t="s">
        <v>3147</v>
      </c>
      <c r="C85" s="125" t="s">
        <v>2578</v>
      </c>
      <c r="D85" s="125" t="s">
        <v>3566</v>
      </c>
      <c r="E85" s="125" t="s">
        <v>2613</v>
      </c>
      <c r="F85" s="127">
        <v>53.29316</v>
      </c>
      <c r="G85" s="127">
        <v>-6.4193800000000003</v>
      </c>
      <c r="H85" s="125">
        <v>0</v>
      </c>
      <c r="I85" s="130">
        <v>42913</v>
      </c>
      <c r="J85" s="129" t="s">
        <v>2626</v>
      </c>
      <c r="K85" s="125" t="s">
        <v>36</v>
      </c>
      <c r="L85" s="125" t="s">
        <v>2572</v>
      </c>
      <c r="M85" s="125" t="s">
        <v>2573</v>
      </c>
      <c r="N85" s="125" t="s">
        <v>36</v>
      </c>
      <c r="O85" s="125" t="s">
        <v>2606</v>
      </c>
      <c r="P85" s="125"/>
      <c r="Q85" s="125" t="s">
        <v>2590</v>
      </c>
      <c r="R85" s="125" t="s">
        <v>2712</v>
      </c>
      <c r="S85" s="125">
        <v>0.04</v>
      </c>
      <c r="T85" s="125">
        <v>3.7233333E-2</v>
      </c>
      <c r="U85" s="125">
        <f t="shared" si="2"/>
        <v>2.7666670000000004E-3</v>
      </c>
      <c r="V85" s="125">
        <v>1.5</v>
      </c>
      <c r="W85" s="125">
        <v>5.0999999999999996</v>
      </c>
      <c r="X85" s="125">
        <f t="shared" si="3"/>
        <v>7.6499999999999995</v>
      </c>
    </row>
    <row r="86" spans="1:24" ht="16">
      <c r="A86" s="117" t="s">
        <v>3570</v>
      </c>
      <c r="B86" s="125" t="s">
        <v>3148</v>
      </c>
      <c r="C86" s="125" t="s">
        <v>2578</v>
      </c>
      <c r="D86" s="125" t="s">
        <v>3566</v>
      </c>
      <c r="E86" s="125" t="s">
        <v>2624</v>
      </c>
      <c r="F86" s="127">
        <v>53.306629999999998</v>
      </c>
      <c r="G86" s="127">
        <v>-6.2330800000000002</v>
      </c>
      <c r="H86" s="125">
        <v>0</v>
      </c>
      <c r="I86" s="130">
        <v>42933</v>
      </c>
      <c r="J86" s="129" t="s">
        <v>2628</v>
      </c>
      <c r="K86" s="125" t="s">
        <v>36</v>
      </c>
      <c r="L86" s="125" t="s">
        <v>2572</v>
      </c>
      <c r="M86" s="125" t="s">
        <v>2573</v>
      </c>
      <c r="N86" s="125" t="s">
        <v>36</v>
      </c>
      <c r="O86" s="125" t="s">
        <v>2606</v>
      </c>
      <c r="P86" s="125"/>
      <c r="Q86" s="125" t="s">
        <v>2590</v>
      </c>
      <c r="R86" s="125" t="s">
        <v>2713</v>
      </c>
      <c r="S86" s="125">
        <v>4.2500000000000003E-2</v>
      </c>
      <c r="T86" s="125">
        <v>3.7233333E-2</v>
      </c>
      <c r="U86" s="125">
        <f t="shared" si="2"/>
        <v>5.2666670000000027E-3</v>
      </c>
      <c r="V86" s="125">
        <v>1.6</v>
      </c>
      <c r="W86" s="125">
        <v>5.4</v>
      </c>
      <c r="X86" s="125">
        <f t="shared" si="3"/>
        <v>8.64</v>
      </c>
    </row>
    <row r="87" spans="1:24" ht="16">
      <c r="A87" s="117" t="s">
        <v>3570</v>
      </c>
      <c r="B87" s="125" t="s">
        <v>3149</v>
      </c>
      <c r="C87" s="125" t="s">
        <v>2578</v>
      </c>
      <c r="D87" s="125" t="s">
        <v>3566</v>
      </c>
      <c r="E87" s="125" t="s">
        <v>2614</v>
      </c>
      <c r="F87" s="126">
        <v>53.292760000000001</v>
      </c>
      <c r="G87" s="127">
        <v>-6.4189499999999997</v>
      </c>
      <c r="H87" s="125">
        <v>0</v>
      </c>
      <c r="I87" s="128">
        <v>42940</v>
      </c>
      <c r="J87" s="129" t="s">
        <v>2626</v>
      </c>
      <c r="K87" s="125" t="s">
        <v>36</v>
      </c>
      <c r="L87" s="125" t="s">
        <v>2566</v>
      </c>
      <c r="M87" s="125" t="s">
        <v>2567</v>
      </c>
      <c r="N87" s="125" t="s">
        <v>2668</v>
      </c>
      <c r="O87" s="125" t="s">
        <v>2600</v>
      </c>
      <c r="P87" s="125"/>
      <c r="Q87" s="125" t="s">
        <v>2631</v>
      </c>
      <c r="R87" s="125" t="s">
        <v>2713</v>
      </c>
      <c r="S87" s="125">
        <v>5.0099999999999999E-2</v>
      </c>
      <c r="T87" s="125">
        <v>4.6966666999999997E-2</v>
      </c>
      <c r="U87" s="125">
        <f t="shared" si="2"/>
        <v>3.133333000000002E-3</v>
      </c>
      <c r="V87" s="125">
        <v>1.1000000000000001</v>
      </c>
      <c r="W87" s="125">
        <v>5.2</v>
      </c>
      <c r="X87" s="125">
        <f t="shared" si="3"/>
        <v>5.7200000000000006</v>
      </c>
    </row>
    <row r="88" spans="1:24" ht="16">
      <c r="A88" s="117" t="s">
        <v>3570</v>
      </c>
      <c r="B88" s="125" t="s">
        <v>3150</v>
      </c>
      <c r="C88" s="125" t="s">
        <v>2578</v>
      </c>
      <c r="D88" s="125" t="s">
        <v>3566</v>
      </c>
      <c r="E88" s="125" t="s">
        <v>2621</v>
      </c>
      <c r="F88" s="126">
        <v>53.306150000000002</v>
      </c>
      <c r="G88" s="127">
        <v>-6.2338800000000001</v>
      </c>
      <c r="H88" s="125">
        <v>0</v>
      </c>
      <c r="I88" s="128">
        <v>42940</v>
      </c>
      <c r="J88" s="129" t="s">
        <v>2626</v>
      </c>
      <c r="K88" s="125" t="s">
        <v>36</v>
      </c>
      <c r="L88" s="125" t="s">
        <v>2566</v>
      </c>
      <c r="M88" s="125" t="s">
        <v>2567</v>
      </c>
      <c r="N88" s="125" t="s">
        <v>2668</v>
      </c>
      <c r="O88" s="125" t="s">
        <v>2600</v>
      </c>
      <c r="P88" s="125"/>
      <c r="Q88" s="125" t="s">
        <v>2585</v>
      </c>
      <c r="R88" s="125" t="s">
        <v>2713</v>
      </c>
      <c r="S88" s="125">
        <v>4.2000000000000003E-2</v>
      </c>
      <c r="T88" s="125">
        <v>3.7233333E-2</v>
      </c>
      <c r="U88" s="125">
        <f t="shared" si="2"/>
        <v>4.7666670000000022E-3</v>
      </c>
      <c r="V88" s="125">
        <v>1.7</v>
      </c>
      <c r="W88" s="125">
        <v>6.5</v>
      </c>
      <c r="X88" s="125">
        <f t="shared" si="3"/>
        <v>11.049999999999999</v>
      </c>
    </row>
    <row r="89" spans="1:24" ht="16">
      <c r="A89" s="117" t="s">
        <v>3570</v>
      </c>
      <c r="B89" s="125" t="s">
        <v>3151</v>
      </c>
      <c r="C89" s="125" t="s">
        <v>2578</v>
      </c>
      <c r="D89" s="125" t="s">
        <v>3566</v>
      </c>
      <c r="E89" s="125" t="s">
        <v>2613</v>
      </c>
      <c r="F89" s="126">
        <v>53.29316</v>
      </c>
      <c r="G89" s="127">
        <v>-6.4193800000000003</v>
      </c>
      <c r="H89" s="125">
        <v>0</v>
      </c>
      <c r="I89" s="130">
        <v>42940</v>
      </c>
      <c r="J89" s="129" t="s">
        <v>2626</v>
      </c>
      <c r="K89" s="125" t="s">
        <v>36</v>
      </c>
      <c r="L89" s="125" t="s">
        <v>2566</v>
      </c>
      <c r="M89" s="125" t="s">
        <v>2567</v>
      </c>
      <c r="N89" s="125" t="s">
        <v>2668</v>
      </c>
      <c r="O89" s="125" t="s">
        <v>2600</v>
      </c>
      <c r="P89" s="125"/>
      <c r="Q89" s="125" t="s">
        <v>2591</v>
      </c>
      <c r="R89" s="125" t="s">
        <v>2712</v>
      </c>
      <c r="S89" s="125">
        <v>4.4200000000000003E-2</v>
      </c>
      <c r="T89" s="125">
        <v>3.7233333E-2</v>
      </c>
      <c r="U89" s="125">
        <f t="shared" si="2"/>
        <v>6.9666670000000028E-3</v>
      </c>
      <c r="V89" s="125">
        <v>2</v>
      </c>
      <c r="W89" s="125">
        <v>7.1</v>
      </c>
      <c r="X89" s="125">
        <f t="shared" si="3"/>
        <v>14.2</v>
      </c>
    </row>
    <row r="90" spans="1:24" ht="16">
      <c r="A90" s="117" t="s">
        <v>3570</v>
      </c>
      <c r="B90" s="125" t="s">
        <v>3152</v>
      </c>
      <c r="C90" s="125" t="s">
        <v>2578</v>
      </c>
      <c r="D90" s="125" t="s">
        <v>3566</v>
      </c>
      <c r="E90" s="125" t="s">
        <v>2618</v>
      </c>
      <c r="F90" s="126">
        <v>53.312570000000001</v>
      </c>
      <c r="G90" s="127">
        <v>-6.2602500000000001</v>
      </c>
      <c r="H90" s="125">
        <v>0</v>
      </c>
      <c r="I90" s="128">
        <v>42928</v>
      </c>
      <c r="J90" s="129" t="s">
        <v>2628</v>
      </c>
      <c r="K90" s="125" t="s">
        <v>36</v>
      </c>
      <c r="L90" s="125" t="s">
        <v>2566</v>
      </c>
      <c r="M90" s="125" t="s">
        <v>2567</v>
      </c>
      <c r="N90" s="125" t="s">
        <v>2668</v>
      </c>
      <c r="O90" s="125" t="s">
        <v>2600</v>
      </c>
      <c r="P90" s="125"/>
      <c r="Q90" s="125" t="s">
        <v>2591</v>
      </c>
      <c r="R90" s="125" t="s">
        <v>2713</v>
      </c>
      <c r="S90" s="125">
        <v>5.4899999999999997E-2</v>
      </c>
      <c r="T90" s="125">
        <v>3.7233333E-2</v>
      </c>
      <c r="U90" s="125">
        <f t="shared" si="2"/>
        <v>1.7666666999999997E-2</v>
      </c>
      <c r="V90" s="125">
        <v>2</v>
      </c>
      <c r="W90" s="125">
        <v>7.4</v>
      </c>
      <c r="X90" s="125">
        <f t="shared" si="3"/>
        <v>14.8</v>
      </c>
    </row>
    <row r="91" spans="1:24" ht="16">
      <c r="A91" s="117" t="s">
        <v>3570</v>
      </c>
      <c r="B91" s="125" t="s">
        <v>3153</v>
      </c>
      <c r="C91" s="125" t="s">
        <v>2578</v>
      </c>
      <c r="D91" s="125" t="s">
        <v>3566</v>
      </c>
      <c r="E91" s="125" t="s">
        <v>2618</v>
      </c>
      <c r="F91" s="126">
        <v>53.312570000000001</v>
      </c>
      <c r="G91" s="127">
        <v>-6.2602500000000001</v>
      </c>
      <c r="H91" s="125">
        <v>0</v>
      </c>
      <c r="I91" s="128">
        <v>42934</v>
      </c>
      <c r="J91" s="129" t="s">
        <v>2626</v>
      </c>
      <c r="K91" s="125" t="s">
        <v>36</v>
      </c>
      <c r="L91" s="125" t="s">
        <v>2566</v>
      </c>
      <c r="M91" s="125" t="s">
        <v>2567</v>
      </c>
      <c r="N91" s="125" t="s">
        <v>2668</v>
      </c>
      <c r="O91" s="125" t="s">
        <v>2600</v>
      </c>
      <c r="P91" s="125"/>
      <c r="Q91" s="125" t="s">
        <v>2591</v>
      </c>
      <c r="R91" s="125" t="s">
        <v>2712</v>
      </c>
      <c r="S91" s="125">
        <v>4.2900000000000001E-2</v>
      </c>
      <c r="T91" s="125">
        <v>3.7233333E-2</v>
      </c>
      <c r="U91" s="125">
        <f t="shared" si="2"/>
        <v>5.6666670000000002E-3</v>
      </c>
      <c r="V91" s="125">
        <v>1.8</v>
      </c>
      <c r="W91" s="125">
        <v>7</v>
      </c>
      <c r="X91" s="125">
        <f t="shared" si="3"/>
        <v>12.6</v>
      </c>
    </row>
    <row r="92" spans="1:24" ht="16">
      <c r="A92" s="117" t="s">
        <v>3570</v>
      </c>
      <c r="B92" s="125" t="s">
        <v>3154</v>
      </c>
      <c r="C92" s="125" t="s">
        <v>2578</v>
      </c>
      <c r="D92" s="125" t="s">
        <v>3566</v>
      </c>
      <c r="E92" s="125" t="s">
        <v>2622</v>
      </c>
      <c r="F92" s="126">
        <v>53.306449999999998</v>
      </c>
      <c r="G92" s="127">
        <v>-6.2336600000000004</v>
      </c>
      <c r="H92" s="125">
        <v>0</v>
      </c>
      <c r="I92" s="128">
        <v>42940</v>
      </c>
      <c r="J92" s="129" t="s">
        <v>2626</v>
      </c>
      <c r="K92" s="125" t="s">
        <v>36</v>
      </c>
      <c r="L92" s="125" t="s">
        <v>2566</v>
      </c>
      <c r="M92" s="125" t="s">
        <v>2567</v>
      </c>
      <c r="N92" s="125" t="s">
        <v>2668</v>
      </c>
      <c r="O92" s="125" t="s">
        <v>2600</v>
      </c>
      <c r="P92" s="125"/>
      <c r="Q92" s="125" t="s">
        <v>2632</v>
      </c>
      <c r="R92" s="125" t="s">
        <v>2713</v>
      </c>
      <c r="S92" s="125">
        <v>4.1099999999999998E-2</v>
      </c>
      <c r="T92" s="125">
        <v>3.7233333E-2</v>
      </c>
      <c r="U92" s="125">
        <f t="shared" si="2"/>
        <v>3.8666669999999972E-3</v>
      </c>
      <c r="V92" s="125">
        <v>1.1000000000000001</v>
      </c>
      <c r="W92" s="125">
        <v>5.5</v>
      </c>
      <c r="X92" s="125">
        <f t="shared" si="3"/>
        <v>6.0500000000000007</v>
      </c>
    </row>
    <row r="93" spans="1:24" ht="16">
      <c r="A93" s="117" t="s">
        <v>3570</v>
      </c>
      <c r="B93" s="125" t="s">
        <v>3155</v>
      </c>
      <c r="C93" s="125" t="s">
        <v>2578</v>
      </c>
      <c r="D93" s="125" t="s">
        <v>3566</v>
      </c>
      <c r="E93" s="125" t="s">
        <v>2618</v>
      </c>
      <c r="F93" s="126">
        <v>53.312570000000001</v>
      </c>
      <c r="G93" s="127">
        <v>-6.2602500000000001</v>
      </c>
      <c r="H93" s="125">
        <v>0</v>
      </c>
      <c r="I93" s="128">
        <v>42906</v>
      </c>
      <c r="J93" s="129" t="s">
        <v>2626</v>
      </c>
      <c r="K93" s="125" t="s">
        <v>36</v>
      </c>
      <c r="L93" s="125" t="s">
        <v>2566</v>
      </c>
      <c r="M93" s="125" t="s">
        <v>2567</v>
      </c>
      <c r="N93" s="125" t="s">
        <v>2668</v>
      </c>
      <c r="O93" s="125" t="s">
        <v>2600</v>
      </c>
      <c r="P93" s="125"/>
      <c r="Q93" s="125" t="s">
        <v>2591</v>
      </c>
      <c r="R93" s="125" t="s">
        <v>2713</v>
      </c>
      <c r="S93" s="125">
        <v>4.6699999999999998E-2</v>
      </c>
      <c r="T93" s="125">
        <v>3.7233333E-2</v>
      </c>
      <c r="U93" s="125">
        <f t="shared" si="2"/>
        <v>9.4666669999999981E-3</v>
      </c>
      <c r="V93" s="125">
        <v>2.2000000000000002</v>
      </c>
      <c r="W93" s="125">
        <v>8.5</v>
      </c>
      <c r="X93" s="125">
        <f t="shared" si="3"/>
        <v>18.700000000000003</v>
      </c>
    </row>
    <row r="94" spans="1:24" ht="16">
      <c r="A94" s="117" t="s">
        <v>3570</v>
      </c>
      <c r="B94" s="125" t="s">
        <v>3156</v>
      </c>
      <c r="C94" s="125" t="s">
        <v>2578</v>
      </c>
      <c r="D94" s="125" t="s">
        <v>3566</v>
      </c>
      <c r="E94" s="125" t="s">
        <v>2622</v>
      </c>
      <c r="F94" s="127">
        <v>53.306449999999998</v>
      </c>
      <c r="G94" s="127">
        <v>-6.2336600000000004</v>
      </c>
      <c r="H94" s="125">
        <v>0</v>
      </c>
      <c r="I94" s="130">
        <v>42941</v>
      </c>
      <c r="J94" s="129" t="s">
        <v>2628</v>
      </c>
      <c r="K94" s="125" t="s">
        <v>36</v>
      </c>
      <c r="L94" s="125" t="s">
        <v>2566</v>
      </c>
      <c r="M94" s="125" t="s">
        <v>2567</v>
      </c>
      <c r="N94" s="125" t="s">
        <v>2668</v>
      </c>
      <c r="O94" s="125" t="s">
        <v>2600</v>
      </c>
      <c r="P94" s="125"/>
      <c r="Q94" s="125" t="s">
        <v>2631</v>
      </c>
      <c r="R94" s="125" t="s">
        <v>2713</v>
      </c>
      <c r="S94" s="125">
        <v>3.8399999999999997E-2</v>
      </c>
      <c r="T94" s="125">
        <v>3.7233333E-2</v>
      </c>
      <c r="U94" s="125">
        <f t="shared" si="2"/>
        <v>1.1666669999999962E-3</v>
      </c>
      <c r="V94" s="125">
        <v>1.3</v>
      </c>
      <c r="W94" s="125">
        <v>4.8</v>
      </c>
      <c r="X94" s="125">
        <f t="shared" si="3"/>
        <v>6.24</v>
      </c>
    </row>
    <row r="95" spans="1:24" ht="16">
      <c r="A95" s="117" t="s">
        <v>3570</v>
      </c>
      <c r="B95" s="125" t="s">
        <v>3157</v>
      </c>
      <c r="C95" s="125" t="s">
        <v>2578</v>
      </c>
      <c r="D95" s="125" t="s">
        <v>3566</v>
      </c>
      <c r="E95" s="125" t="s">
        <v>2618</v>
      </c>
      <c r="F95" s="127">
        <v>53.312570000000001</v>
      </c>
      <c r="G95" s="127">
        <v>-6.2602500000000001</v>
      </c>
      <c r="H95" s="125">
        <v>0</v>
      </c>
      <c r="I95" s="130">
        <v>42938</v>
      </c>
      <c r="J95" s="129" t="s">
        <v>2626</v>
      </c>
      <c r="K95" s="125" t="s">
        <v>36</v>
      </c>
      <c r="L95" s="125" t="s">
        <v>2566</v>
      </c>
      <c r="M95" s="125" t="s">
        <v>2567</v>
      </c>
      <c r="N95" s="125" t="s">
        <v>2668</v>
      </c>
      <c r="O95" s="125" t="s">
        <v>2600</v>
      </c>
      <c r="P95" s="125"/>
      <c r="Q95" s="125" t="s">
        <v>2591</v>
      </c>
      <c r="R95" s="125" t="s">
        <v>2712</v>
      </c>
      <c r="S95" s="125">
        <v>4.2099999999999999E-2</v>
      </c>
      <c r="T95" s="125">
        <v>3.7233333E-2</v>
      </c>
      <c r="U95" s="125">
        <f t="shared" si="2"/>
        <v>4.8666669999999981E-3</v>
      </c>
      <c r="V95" s="125">
        <v>1.9</v>
      </c>
      <c r="W95" s="125">
        <v>7.1</v>
      </c>
      <c r="X95" s="125">
        <f t="shared" si="3"/>
        <v>13.489999999999998</v>
      </c>
    </row>
    <row r="96" spans="1:24" ht="16">
      <c r="A96" s="117" t="s">
        <v>3570</v>
      </c>
      <c r="B96" s="125" t="s">
        <v>3158</v>
      </c>
      <c r="C96" s="125" t="s">
        <v>2578</v>
      </c>
      <c r="D96" s="125" t="s">
        <v>3566</v>
      </c>
      <c r="E96" s="125" t="s">
        <v>2624</v>
      </c>
      <c r="F96" s="127">
        <v>53.306629999999998</v>
      </c>
      <c r="G96" s="127">
        <v>-6.2330800000000002</v>
      </c>
      <c r="H96" s="125">
        <v>0</v>
      </c>
      <c r="I96" s="130">
        <v>42921</v>
      </c>
      <c r="J96" s="129" t="s">
        <v>2628</v>
      </c>
      <c r="K96" s="125" t="s">
        <v>36</v>
      </c>
      <c r="L96" s="125" t="s">
        <v>2566</v>
      </c>
      <c r="M96" s="125" t="s">
        <v>2567</v>
      </c>
      <c r="N96" s="125" t="s">
        <v>2668</v>
      </c>
      <c r="O96" s="125" t="s">
        <v>2600</v>
      </c>
      <c r="P96" s="125"/>
      <c r="Q96" s="125" t="s">
        <v>2591</v>
      </c>
      <c r="R96" s="125" t="s">
        <v>2713</v>
      </c>
      <c r="S96" s="125">
        <v>4.2599999999999999E-2</v>
      </c>
      <c r="T96" s="125">
        <v>3.7233333E-2</v>
      </c>
      <c r="U96" s="125">
        <f t="shared" si="2"/>
        <v>5.3666669999999986E-3</v>
      </c>
      <c r="V96" s="125">
        <v>1.9</v>
      </c>
      <c r="W96" s="125">
        <v>7.5</v>
      </c>
      <c r="X96" s="125">
        <f t="shared" si="3"/>
        <v>14.25</v>
      </c>
    </row>
    <row r="97" spans="1:24" ht="16">
      <c r="A97" s="117" t="s">
        <v>3570</v>
      </c>
      <c r="B97" s="125" t="s">
        <v>3159</v>
      </c>
      <c r="C97" s="125" t="s">
        <v>2578</v>
      </c>
      <c r="D97" s="125" t="s">
        <v>3566</v>
      </c>
      <c r="E97" s="125" t="s">
        <v>2622</v>
      </c>
      <c r="F97" s="127">
        <v>53.306449999999998</v>
      </c>
      <c r="G97" s="127">
        <v>-6.2336600000000004</v>
      </c>
      <c r="H97" s="125">
        <v>0</v>
      </c>
      <c r="I97" s="130">
        <v>42983</v>
      </c>
      <c r="J97" s="129" t="s">
        <v>2626</v>
      </c>
      <c r="K97" s="125" t="s">
        <v>36</v>
      </c>
      <c r="L97" s="125" t="s">
        <v>2566</v>
      </c>
      <c r="M97" s="125" t="s">
        <v>2567</v>
      </c>
      <c r="N97" s="125" t="s">
        <v>2668</v>
      </c>
      <c r="O97" s="125" t="s">
        <v>2600</v>
      </c>
      <c r="P97" s="125"/>
      <c r="Q97" s="125" t="s">
        <v>2632</v>
      </c>
      <c r="R97" s="125" t="s">
        <v>2712</v>
      </c>
      <c r="S97" s="125">
        <v>3.9399999999999998E-2</v>
      </c>
      <c r="T97" s="125">
        <v>3.7233333E-2</v>
      </c>
      <c r="U97" s="125">
        <f t="shared" si="2"/>
        <v>2.1666669999999971E-3</v>
      </c>
      <c r="V97" s="125">
        <v>1.2</v>
      </c>
      <c r="W97" s="125">
        <v>4.5</v>
      </c>
      <c r="X97" s="125">
        <f t="shared" si="3"/>
        <v>5.3999999999999995</v>
      </c>
    </row>
    <row r="98" spans="1:24" ht="16">
      <c r="A98" s="117" t="s">
        <v>3570</v>
      </c>
      <c r="B98" s="125" t="s">
        <v>3160</v>
      </c>
      <c r="C98" s="125" t="s">
        <v>2578</v>
      </c>
      <c r="D98" s="125" t="s">
        <v>3566</v>
      </c>
      <c r="E98" s="125" t="s">
        <v>2622</v>
      </c>
      <c r="F98" s="127">
        <v>53.306449999999998</v>
      </c>
      <c r="G98" s="127">
        <v>-6.2336600000000004</v>
      </c>
      <c r="H98" s="125">
        <v>0</v>
      </c>
      <c r="I98" s="130">
        <v>42983</v>
      </c>
      <c r="J98" s="129" t="s">
        <v>2626</v>
      </c>
      <c r="K98" s="125" t="s">
        <v>36</v>
      </c>
      <c r="L98" s="125" t="s">
        <v>2566</v>
      </c>
      <c r="M98" s="125" t="s">
        <v>2567</v>
      </c>
      <c r="N98" s="125" t="s">
        <v>2668</v>
      </c>
      <c r="O98" s="125" t="s">
        <v>2600</v>
      </c>
      <c r="P98" s="125"/>
      <c r="Q98" s="125" t="s">
        <v>2632</v>
      </c>
      <c r="R98" s="125" t="s">
        <v>2712</v>
      </c>
      <c r="S98" s="125">
        <v>3.9E-2</v>
      </c>
      <c r="T98" s="125">
        <v>3.7233333E-2</v>
      </c>
      <c r="U98" s="125">
        <f t="shared" si="2"/>
        <v>1.7666669999999995E-3</v>
      </c>
      <c r="V98" s="125">
        <v>1.2</v>
      </c>
      <c r="W98" s="125">
        <v>4.5</v>
      </c>
      <c r="X98" s="125">
        <f t="shared" si="3"/>
        <v>5.3999999999999995</v>
      </c>
    </row>
    <row r="99" spans="1:24" ht="16">
      <c r="A99" s="117" t="s">
        <v>3570</v>
      </c>
      <c r="B99" s="125" t="s">
        <v>3161</v>
      </c>
      <c r="C99" s="125" t="s">
        <v>2578</v>
      </c>
      <c r="D99" s="125" t="s">
        <v>3566</v>
      </c>
      <c r="E99" s="125" t="s">
        <v>2621</v>
      </c>
      <c r="F99" s="127">
        <v>53.306150000000002</v>
      </c>
      <c r="G99" s="127">
        <v>-6.2338800000000001</v>
      </c>
      <c r="H99" s="125">
        <v>0</v>
      </c>
      <c r="I99" s="130">
        <v>42941</v>
      </c>
      <c r="J99" s="129" t="s">
        <v>2628</v>
      </c>
      <c r="K99" s="125" t="s">
        <v>36</v>
      </c>
      <c r="L99" s="125" t="s">
        <v>2566</v>
      </c>
      <c r="M99" s="125" t="s">
        <v>2567</v>
      </c>
      <c r="N99" s="125" t="s">
        <v>2668</v>
      </c>
      <c r="O99" s="125" t="s">
        <v>2600</v>
      </c>
      <c r="P99" s="125"/>
      <c r="Q99" s="125" t="s">
        <v>2632</v>
      </c>
      <c r="R99" s="125" t="s">
        <v>2713</v>
      </c>
      <c r="S99" s="125">
        <v>3.8800000000000001E-2</v>
      </c>
      <c r="T99" s="125">
        <v>3.7233333E-2</v>
      </c>
      <c r="U99" s="125">
        <f t="shared" si="2"/>
        <v>1.5666670000000008E-3</v>
      </c>
      <c r="V99" s="125">
        <v>1.3</v>
      </c>
      <c r="W99" s="125">
        <v>5.2</v>
      </c>
      <c r="X99" s="125">
        <f t="shared" si="3"/>
        <v>6.7600000000000007</v>
      </c>
    </row>
    <row r="100" spans="1:24" ht="16">
      <c r="A100" s="117" t="s">
        <v>3570</v>
      </c>
      <c r="B100" t="s">
        <v>2899</v>
      </c>
      <c r="C100" t="s">
        <v>2789</v>
      </c>
      <c r="D100" s="125" t="s">
        <v>3567</v>
      </c>
      <c r="E100" t="s">
        <v>36</v>
      </c>
      <c r="F100" t="s">
        <v>36</v>
      </c>
      <c r="G100" t="s">
        <v>36</v>
      </c>
      <c r="H100" t="s">
        <v>36</v>
      </c>
      <c r="I100" t="s">
        <v>36</v>
      </c>
      <c r="J100" t="s">
        <v>36</v>
      </c>
      <c r="K100" t="s">
        <v>36</v>
      </c>
      <c r="L100" t="s">
        <v>2566</v>
      </c>
      <c r="M100" t="s">
        <v>2790</v>
      </c>
      <c r="N100" t="s">
        <v>2791</v>
      </c>
      <c r="O100" s="98" t="s">
        <v>3035</v>
      </c>
      <c r="P100" s="98" t="s">
        <v>36</v>
      </c>
      <c r="Q100" t="s">
        <v>2792</v>
      </c>
      <c r="R100" t="s">
        <v>2712</v>
      </c>
      <c r="S100" t="s">
        <v>36</v>
      </c>
      <c r="T100" t="s">
        <v>36</v>
      </c>
      <c r="U100">
        <v>1.89E-2</v>
      </c>
      <c r="V100">
        <v>2.34</v>
      </c>
      <c r="W100">
        <v>10.87</v>
      </c>
      <c r="X100">
        <f>V100*W100</f>
        <v>25.435799999999997</v>
      </c>
    </row>
    <row r="101" spans="1:24" ht="16">
      <c r="A101" s="117" t="s">
        <v>3570</v>
      </c>
      <c r="B101" t="s">
        <v>2900</v>
      </c>
      <c r="C101" t="s">
        <v>2789</v>
      </c>
      <c r="D101" s="125" t="s">
        <v>3567</v>
      </c>
      <c r="E101" t="s">
        <v>36</v>
      </c>
      <c r="F101" t="s">
        <v>36</v>
      </c>
      <c r="G101" t="s">
        <v>36</v>
      </c>
      <c r="H101" t="s">
        <v>36</v>
      </c>
      <c r="I101" t="s">
        <v>36</v>
      </c>
      <c r="J101" t="s">
        <v>36</v>
      </c>
      <c r="K101" t="s">
        <v>36</v>
      </c>
      <c r="L101" t="s">
        <v>2566</v>
      </c>
      <c r="M101" t="s">
        <v>2567</v>
      </c>
      <c r="N101" t="s">
        <v>2668</v>
      </c>
      <c r="O101" s="98" t="s">
        <v>892</v>
      </c>
      <c r="P101" s="98" t="s">
        <v>36</v>
      </c>
      <c r="Q101" t="s">
        <v>2793</v>
      </c>
      <c r="R101" t="s">
        <v>2713</v>
      </c>
      <c r="S101" t="s">
        <v>36</v>
      </c>
      <c r="T101" t="s">
        <v>36</v>
      </c>
      <c r="U101">
        <v>2.23E-2</v>
      </c>
      <c r="V101">
        <v>2.4700000000000002</v>
      </c>
      <c r="W101">
        <v>13.33</v>
      </c>
      <c r="X101">
        <f t="shared" ref="X101:X163" si="4">V101*W101</f>
        <v>32.9251</v>
      </c>
    </row>
    <row r="102" spans="1:24" ht="16">
      <c r="A102" s="117" t="s">
        <v>3570</v>
      </c>
      <c r="B102" t="s">
        <v>2901</v>
      </c>
      <c r="C102" t="s">
        <v>2789</v>
      </c>
      <c r="D102" s="125" t="s">
        <v>3567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  <c r="J102" t="s">
        <v>36</v>
      </c>
      <c r="K102" t="s">
        <v>36</v>
      </c>
      <c r="L102" t="s">
        <v>2566</v>
      </c>
      <c r="M102" t="s">
        <v>2567</v>
      </c>
      <c r="N102" t="s">
        <v>2668</v>
      </c>
      <c r="O102" s="98" t="s">
        <v>892</v>
      </c>
      <c r="P102" s="98" t="s">
        <v>36</v>
      </c>
      <c r="Q102" t="s">
        <v>2793</v>
      </c>
      <c r="R102" t="s">
        <v>2713</v>
      </c>
      <c r="S102" t="s">
        <v>36</v>
      </c>
      <c r="T102" t="s">
        <v>36</v>
      </c>
      <c r="U102">
        <v>2.1399999999999999E-2</v>
      </c>
      <c r="V102">
        <v>2.2200000000000002</v>
      </c>
      <c r="W102">
        <v>12.03</v>
      </c>
      <c r="X102">
        <f t="shared" si="4"/>
        <v>26.706600000000002</v>
      </c>
    </row>
    <row r="103" spans="1:24" ht="16">
      <c r="A103" s="117" t="s">
        <v>3570</v>
      </c>
      <c r="B103" t="s">
        <v>2902</v>
      </c>
      <c r="C103" t="s">
        <v>2789</v>
      </c>
      <c r="D103" s="125" t="s">
        <v>3567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  <c r="J103" t="s">
        <v>36</v>
      </c>
      <c r="K103" t="s">
        <v>36</v>
      </c>
      <c r="L103" t="s">
        <v>2566</v>
      </c>
      <c r="M103" t="s">
        <v>2567</v>
      </c>
      <c r="N103" t="s">
        <v>2668</v>
      </c>
      <c r="O103" s="98" t="s">
        <v>3036</v>
      </c>
      <c r="P103" s="98" t="s">
        <v>36</v>
      </c>
      <c r="Q103" t="s">
        <v>2368</v>
      </c>
      <c r="R103" t="s">
        <v>2713</v>
      </c>
      <c r="S103" t="s">
        <v>36</v>
      </c>
      <c r="T103" t="s">
        <v>36</v>
      </c>
      <c r="U103">
        <v>6.3E-3</v>
      </c>
      <c r="V103">
        <v>1.57</v>
      </c>
      <c r="W103">
        <v>8.2799999999999994</v>
      </c>
      <c r="X103">
        <f t="shared" si="4"/>
        <v>12.999599999999999</v>
      </c>
    </row>
    <row r="104" spans="1:24" ht="16">
      <c r="A104" s="117" t="s">
        <v>3570</v>
      </c>
      <c r="B104" t="s">
        <v>2902</v>
      </c>
      <c r="C104" t="s">
        <v>2789</v>
      </c>
      <c r="D104" s="125" t="s">
        <v>3567</v>
      </c>
      <c r="E104" t="s">
        <v>36</v>
      </c>
      <c r="F104" t="s">
        <v>36</v>
      </c>
      <c r="G104" t="s">
        <v>36</v>
      </c>
      <c r="H104" t="s">
        <v>36</v>
      </c>
      <c r="I104" t="s">
        <v>36</v>
      </c>
      <c r="J104" t="s">
        <v>36</v>
      </c>
      <c r="K104" t="s">
        <v>36</v>
      </c>
      <c r="L104" t="s">
        <v>2794</v>
      </c>
      <c r="M104" t="s">
        <v>2795</v>
      </c>
      <c r="N104" t="s">
        <v>2796</v>
      </c>
      <c r="O104" s="98" t="s">
        <v>3037</v>
      </c>
      <c r="P104" s="98" t="s">
        <v>36</v>
      </c>
      <c r="Q104" t="s">
        <v>2390</v>
      </c>
      <c r="R104" t="s">
        <v>2713</v>
      </c>
      <c r="S104" t="s">
        <v>36</v>
      </c>
      <c r="T104" t="s">
        <v>36</v>
      </c>
      <c r="U104">
        <v>6.3E-3</v>
      </c>
      <c r="V104">
        <v>1.57</v>
      </c>
      <c r="W104">
        <v>8.2799999999999994</v>
      </c>
      <c r="X104">
        <f t="shared" si="4"/>
        <v>12.999599999999999</v>
      </c>
    </row>
    <row r="105" spans="1:24" ht="16">
      <c r="A105" s="117" t="s">
        <v>3570</v>
      </c>
      <c r="B105" t="s">
        <v>2903</v>
      </c>
      <c r="C105" t="s">
        <v>2789</v>
      </c>
      <c r="D105" s="125" t="s">
        <v>3567</v>
      </c>
      <c r="E105" t="s">
        <v>36</v>
      </c>
      <c r="F105" t="s">
        <v>36</v>
      </c>
      <c r="G105" t="s">
        <v>36</v>
      </c>
      <c r="H105" t="s">
        <v>36</v>
      </c>
      <c r="I105" t="s">
        <v>36</v>
      </c>
      <c r="J105" t="s">
        <v>36</v>
      </c>
      <c r="K105" t="s">
        <v>36</v>
      </c>
      <c r="L105" t="s">
        <v>2794</v>
      </c>
      <c r="M105" t="s">
        <v>2795</v>
      </c>
      <c r="N105" t="s">
        <v>2796</v>
      </c>
      <c r="O105" s="98" t="s">
        <v>3037</v>
      </c>
      <c r="P105" s="98" t="s">
        <v>36</v>
      </c>
      <c r="Q105" t="s">
        <v>2390</v>
      </c>
      <c r="R105" t="s">
        <v>2712</v>
      </c>
      <c r="S105" t="s">
        <v>36</v>
      </c>
      <c r="T105" t="s">
        <v>36</v>
      </c>
      <c r="U105">
        <v>1.32E-2</v>
      </c>
      <c r="V105">
        <v>2.66</v>
      </c>
      <c r="W105">
        <v>12.35</v>
      </c>
      <c r="X105">
        <f t="shared" si="4"/>
        <v>32.850999999999999</v>
      </c>
    </row>
    <row r="106" spans="1:24" ht="16">
      <c r="A106" s="117" t="s">
        <v>3570</v>
      </c>
      <c r="B106" t="s">
        <v>2904</v>
      </c>
      <c r="C106" t="s">
        <v>2789</v>
      </c>
      <c r="D106" s="125" t="s">
        <v>3567</v>
      </c>
      <c r="E106" t="s">
        <v>36</v>
      </c>
      <c r="F106" t="s">
        <v>36</v>
      </c>
      <c r="G106" t="s">
        <v>36</v>
      </c>
      <c r="H106" t="s">
        <v>36</v>
      </c>
      <c r="I106" t="s">
        <v>36</v>
      </c>
      <c r="J106" t="s">
        <v>36</v>
      </c>
      <c r="K106" t="s">
        <v>36</v>
      </c>
      <c r="L106" t="s">
        <v>2794</v>
      </c>
      <c r="M106" t="s">
        <v>2795</v>
      </c>
      <c r="N106" t="s">
        <v>2796</v>
      </c>
      <c r="O106" s="98" t="s">
        <v>3037</v>
      </c>
      <c r="P106" s="98" t="s">
        <v>36</v>
      </c>
      <c r="Q106" t="s">
        <v>2390</v>
      </c>
      <c r="R106" t="s">
        <v>2712</v>
      </c>
      <c r="S106" t="s">
        <v>36</v>
      </c>
      <c r="T106" t="s">
        <v>36</v>
      </c>
      <c r="U106">
        <v>2.6800000000000001E-2</v>
      </c>
      <c r="V106">
        <v>3.05</v>
      </c>
      <c r="W106">
        <v>14.83</v>
      </c>
      <c r="X106">
        <f t="shared" si="4"/>
        <v>45.231499999999997</v>
      </c>
    </row>
    <row r="107" spans="1:24" ht="16">
      <c r="A107" s="117" t="s">
        <v>3570</v>
      </c>
      <c r="B107" t="s">
        <v>2905</v>
      </c>
      <c r="C107" t="s">
        <v>2789</v>
      </c>
      <c r="D107" s="125" t="s">
        <v>3567</v>
      </c>
      <c r="E107" t="s">
        <v>36</v>
      </c>
      <c r="F107" t="s">
        <v>36</v>
      </c>
      <c r="G107" t="s">
        <v>36</v>
      </c>
      <c r="H107" t="s">
        <v>36</v>
      </c>
      <c r="I107" t="s">
        <v>36</v>
      </c>
      <c r="J107" t="s">
        <v>36</v>
      </c>
      <c r="K107" t="s">
        <v>36</v>
      </c>
      <c r="L107" t="s">
        <v>2794</v>
      </c>
      <c r="M107" t="s">
        <v>2795</v>
      </c>
      <c r="N107" t="s">
        <v>2796</v>
      </c>
      <c r="O107" s="98" t="s">
        <v>3037</v>
      </c>
      <c r="P107" s="98" t="s">
        <v>36</v>
      </c>
      <c r="Q107" t="s">
        <v>2797</v>
      </c>
      <c r="R107" t="s">
        <v>2713</v>
      </c>
      <c r="S107" t="s">
        <v>36</v>
      </c>
      <c r="T107" t="s">
        <v>36</v>
      </c>
      <c r="U107">
        <v>2.3699999999999999E-2</v>
      </c>
      <c r="V107">
        <v>2.52</v>
      </c>
      <c r="W107">
        <v>13.08</v>
      </c>
      <c r="X107">
        <f t="shared" si="4"/>
        <v>32.961599999999997</v>
      </c>
    </row>
    <row r="108" spans="1:24" ht="16">
      <c r="A108" s="117" t="s">
        <v>3570</v>
      </c>
      <c r="B108" t="s">
        <v>2906</v>
      </c>
      <c r="C108" t="s">
        <v>2789</v>
      </c>
      <c r="D108" s="125" t="s">
        <v>3567</v>
      </c>
      <c r="E108" t="s">
        <v>36</v>
      </c>
      <c r="F108" t="s">
        <v>36</v>
      </c>
      <c r="G108" t="s">
        <v>36</v>
      </c>
      <c r="H108" t="s">
        <v>36</v>
      </c>
      <c r="I108" t="s">
        <v>36</v>
      </c>
      <c r="J108" t="s">
        <v>36</v>
      </c>
      <c r="K108" t="s">
        <v>36</v>
      </c>
      <c r="L108" t="s">
        <v>2794</v>
      </c>
      <c r="M108" t="s">
        <v>2795</v>
      </c>
      <c r="N108" t="s">
        <v>2796</v>
      </c>
      <c r="O108" s="98" t="s">
        <v>3037</v>
      </c>
      <c r="P108" s="98" t="s">
        <v>36</v>
      </c>
      <c r="Q108" t="s">
        <v>2390</v>
      </c>
      <c r="R108" t="s">
        <v>2713</v>
      </c>
      <c r="S108" t="s">
        <v>36</v>
      </c>
      <c r="T108" t="s">
        <v>36</v>
      </c>
      <c r="U108">
        <v>1.01E-2</v>
      </c>
      <c r="V108">
        <v>2.77</v>
      </c>
      <c r="W108">
        <v>11.02</v>
      </c>
      <c r="X108">
        <f t="shared" si="4"/>
        <v>30.525399999999998</v>
      </c>
    </row>
    <row r="109" spans="1:24" ht="16">
      <c r="A109" s="117" t="s">
        <v>3570</v>
      </c>
      <c r="B109" t="s">
        <v>2907</v>
      </c>
      <c r="C109" t="s">
        <v>2789</v>
      </c>
      <c r="D109" s="125" t="s">
        <v>3567</v>
      </c>
      <c r="E109" t="s">
        <v>36</v>
      </c>
      <c r="F109" t="s">
        <v>36</v>
      </c>
      <c r="G109" t="s">
        <v>36</v>
      </c>
      <c r="H109" t="s">
        <v>36</v>
      </c>
      <c r="I109" t="s">
        <v>36</v>
      </c>
      <c r="J109" t="s">
        <v>36</v>
      </c>
      <c r="K109" t="s">
        <v>36</v>
      </c>
      <c r="L109" t="s">
        <v>2794</v>
      </c>
      <c r="M109" t="s">
        <v>2795</v>
      </c>
      <c r="N109" t="s">
        <v>2796</v>
      </c>
      <c r="O109" s="98" t="s">
        <v>3037</v>
      </c>
      <c r="P109" s="98" t="s">
        <v>36</v>
      </c>
      <c r="Q109" t="s">
        <v>2797</v>
      </c>
      <c r="R109" t="s">
        <v>2713</v>
      </c>
      <c r="S109" t="s">
        <v>36</v>
      </c>
      <c r="T109" t="s">
        <v>36</v>
      </c>
      <c r="U109">
        <v>1.18E-2</v>
      </c>
      <c r="V109">
        <v>2.39</v>
      </c>
      <c r="W109">
        <v>9.86</v>
      </c>
      <c r="X109">
        <f t="shared" si="4"/>
        <v>23.5654</v>
      </c>
    </row>
    <row r="110" spans="1:24" ht="16">
      <c r="A110" s="117" t="s">
        <v>3570</v>
      </c>
      <c r="B110" t="s">
        <v>2908</v>
      </c>
      <c r="C110" t="s">
        <v>2789</v>
      </c>
      <c r="D110" s="125" t="s">
        <v>3567</v>
      </c>
      <c r="E110" t="s">
        <v>36</v>
      </c>
      <c r="F110" t="s">
        <v>36</v>
      </c>
      <c r="G110" t="s">
        <v>36</v>
      </c>
      <c r="H110" t="s">
        <v>36</v>
      </c>
      <c r="I110" t="s">
        <v>36</v>
      </c>
      <c r="J110" t="s">
        <v>36</v>
      </c>
      <c r="K110" t="s">
        <v>36</v>
      </c>
      <c r="L110" t="s">
        <v>2566</v>
      </c>
      <c r="M110" t="s">
        <v>2567</v>
      </c>
      <c r="N110" t="s">
        <v>2668</v>
      </c>
      <c r="O110" s="98" t="s">
        <v>2600</v>
      </c>
      <c r="P110" s="98" t="s">
        <v>36</v>
      </c>
      <c r="Q110" t="s">
        <v>2798</v>
      </c>
      <c r="R110" t="s">
        <v>2713</v>
      </c>
      <c r="S110" t="s">
        <v>36</v>
      </c>
      <c r="T110" t="s">
        <v>36</v>
      </c>
      <c r="U110">
        <v>8.2000000000000007E-3</v>
      </c>
      <c r="V110">
        <v>1.69</v>
      </c>
      <c r="W110">
        <v>7.03</v>
      </c>
      <c r="X110">
        <f t="shared" si="4"/>
        <v>11.880700000000001</v>
      </c>
    </row>
    <row r="111" spans="1:24" ht="16">
      <c r="A111" s="117" t="s">
        <v>3570</v>
      </c>
      <c r="B111" t="s">
        <v>2909</v>
      </c>
      <c r="C111" t="s">
        <v>2789</v>
      </c>
      <c r="D111" s="125" t="s">
        <v>3567</v>
      </c>
      <c r="E111" t="s">
        <v>36</v>
      </c>
      <c r="F111" t="s">
        <v>36</v>
      </c>
      <c r="G111" t="s">
        <v>36</v>
      </c>
      <c r="H111" t="s">
        <v>36</v>
      </c>
      <c r="I111" t="s">
        <v>36</v>
      </c>
      <c r="J111" t="s">
        <v>36</v>
      </c>
      <c r="K111" t="s">
        <v>36</v>
      </c>
      <c r="L111" t="s">
        <v>2794</v>
      </c>
      <c r="M111" t="s">
        <v>2795</v>
      </c>
      <c r="N111" t="s">
        <v>2796</v>
      </c>
      <c r="O111" s="98" t="s">
        <v>3037</v>
      </c>
      <c r="P111" s="98" t="s">
        <v>36</v>
      </c>
      <c r="Q111" t="s">
        <v>2390</v>
      </c>
      <c r="R111" t="s">
        <v>2712</v>
      </c>
      <c r="S111" t="s">
        <v>36</v>
      </c>
      <c r="T111" t="s">
        <v>36</v>
      </c>
      <c r="U111">
        <v>3.1E-2</v>
      </c>
      <c r="V111">
        <v>3.32</v>
      </c>
      <c r="W111">
        <v>12.36</v>
      </c>
      <c r="X111">
        <f t="shared" si="4"/>
        <v>41.035199999999996</v>
      </c>
    </row>
    <row r="112" spans="1:24" ht="16">
      <c r="A112" s="117" t="s">
        <v>3570</v>
      </c>
      <c r="B112" t="s">
        <v>2910</v>
      </c>
      <c r="C112" t="s">
        <v>2789</v>
      </c>
      <c r="D112" s="125" t="s">
        <v>3567</v>
      </c>
      <c r="E112" t="s">
        <v>36</v>
      </c>
      <c r="F112" t="s">
        <v>36</v>
      </c>
      <c r="G112" t="s">
        <v>36</v>
      </c>
      <c r="H112" t="s">
        <v>36</v>
      </c>
      <c r="I112" t="s">
        <v>36</v>
      </c>
      <c r="J112" t="s">
        <v>36</v>
      </c>
      <c r="K112" t="s">
        <v>36</v>
      </c>
      <c r="L112" t="s">
        <v>2572</v>
      </c>
      <c r="M112" t="s">
        <v>2576</v>
      </c>
      <c r="N112" t="s">
        <v>2799</v>
      </c>
      <c r="O112" s="98" t="s">
        <v>3038</v>
      </c>
      <c r="P112" s="98" t="s">
        <v>36</v>
      </c>
      <c r="Q112" t="s">
        <v>2800</v>
      </c>
      <c r="R112" t="s">
        <v>2713</v>
      </c>
      <c r="S112" t="s">
        <v>36</v>
      </c>
      <c r="T112" t="s">
        <v>36</v>
      </c>
      <c r="U112">
        <v>8.0999999999999996E-3</v>
      </c>
      <c r="V112">
        <v>1.93</v>
      </c>
      <c r="W112">
        <v>8.85</v>
      </c>
      <c r="X112">
        <f t="shared" si="4"/>
        <v>17.080499999999997</v>
      </c>
    </row>
    <row r="113" spans="1:24" ht="16">
      <c r="A113" s="117" t="s">
        <v>3570</v>
      </c>
      <c r="B113" t="s">
        <v>2911</v>
      </c>
      <c r="C113" t="s">
        <v>2789</v>
      </c>
      <c r="D113" s="125" t="s">
        <v>3567</v>
      </c>
      <c r="E113" t="s">
        <v>36</v>
      </c>
      <c r="F113" t="s">
        <v>36</v>
      </c>
      <c r="G113" t="s">
        <v>36</v>
      </c>
      <c r="H113" t="s">
        <v>36</v>
      </c>
      <c r="I113" t="s">
        <v>36</v>
      </c>
      <c r="J113" t="s">
        <v>36</v>
      </c>
      <c r="K113" t="s">
        <v>36</v>
      </c>
      <c r="L113" t="s">
        <v>2572</v>
      </c>
      <c r="M113" t="s">
        <v>2576</v>
      </c>
      <c r="N113" t="s">
        <v>2799</v>
      </c>
      <c r="O113" s="98" t="s">
        <v>3038</v>
      </c>
      <c r="P113" s="98" t="s">
        <v>36</v>
      </c>
      <c r="Q113" t="s">
        <v>2801</v>
      </c>
      <c r="R113" t="s">
        <v>2712</v>
      </c>
      <c r="S113" t="s">
        <v>36</v>
      </c>
      <c r="T113" t="s">
        <v>36</v>
      </c>
      <c r="U113">
        <v>7.4999999999999997E-3</v>
      </c>
      <c r="V113">
        <v>1.85</v>
      </c>
      <c r="W113">
        <v>9.23</v>
      </c>
      <c r="X113">
        <f t="shared" si="4"/>
        <v>17.075500000000002</v>
      </c>
    </row>
    <row r="114" spans="1:24" ht="16">
      <c r="A114" s="117" t="s">
        <v>3570</v>
      </c>
      <c r="B114" t="s">
        <v>2912</v>
      </c>
      <c r="C114" t="s">
        <v>2789</v>
      </c>
      <c r="D114" s="125" t="s">
        <v>3567</v>
      </c>
      <c r="E114" t="s">
        <v>36</v>
      </c>
      <c r="F114" t="s">
        <v>36</v>
      </c>
      <c r="G114" t="s">
        <v>36</v>
      </c>
      <c r="H114" t="s">
        <v>36</v>
      </c>
      <c r="I114" t="s">
        <v>36</v>
      </c>
      <c r="J114" t="s">
        <v>36</v>
      </c>
      <c r="K114" t="s">
        <v>36</v>
      </c>
      <c r="L114" t="s">
        <v>2572</v>
      </c>
      <c r="M114" t="s">
        <v>2576</v>
      </c>
      <c r="N114" t="s">
        <v>2799</v>
      </c>
      <c r="O114" s="98" t="s">
        <v>3038</v>
      </c>
      <c r="P114" s="98" t="s">
        <v>36</v>
      </c>
      <c r="Q114" t="s">
        <v>2800</v>
      </c>
      <c r="R114" t="s">
        <v>2712</v>
      </c>
      <c r="S114" t="s">
        <v>36</v>
      </c>
      <c r="T114" t="s">
        <v>36</v>
      </c>
      <c r="U114">
        <v>1.04E-2</v>
      </c>
      <c r="V114">
        <v>2.23</v>
      </c>
      <c r="W114">
        <v>9.4600000000000009</v>
      </c>
      <c r="X114">
        <f t="shared" si="4"/>
        <v>21.095800000000001</v>
      </c>
    </row>
    <row r="115" spans="1:24" ht="16">
      <c r="A115" s="117" t="s">
        <v>3570</v>
      </c>
      <c r="B115" t="s">
        <v>2913</v>
      </c>
      <c r="C115" t="s">
        <v>2789</v>
      </c>
      <c r="D115" s="125" t="s">
        <v>3567</v>
      </c>
      <c r="E115" t="s">
        <v>36</v>
      </c>
      <c r="F115" t="s">
        <v>36</v>
      </c>
      <c r="G115" t="s">
        <v>36</v>
      </c>
      <c r="H115" t="s">
        <v>36</v>
      </c>
      <c r="I115" t="s">
        <v>36</v>
      </c>
      <c r="J115" t="s">
        <v>36</v>
      </c>
      <c r="K115" t="s">
        <v>36</v>
      </c>
      <c r="L115" t="s">
        <v>2569</v>
      </c>
      <c r="M115" t="s">
        <v>2570</v>
      </c>
      <c r="N115" t="s">
        <v>2802</v>
      </c>
      <c r="O115" s="98" t="s">
        <v>3039</v>
      </c>
      <c r="P115" s="98" t="s">
        <v>36</v>
      </c>
      <c r="Q115" t="s">
        <v>2803</v>
      </c>
      <c r="R115" t="s">
        <v>2713</v>
      </c>
      <c r="S115" t="s">
        <v>36</v>
      </c>
      <c r="T115" t="s">
        <v>36</v>
      </c>
      <c r="U115">
        <v>1.0500000000000001E-2</v>
      </c>
      <c r="V115">
        <v>2.23</v>
      </c>
      <c r="W115">
        <v>7.79</v>
      </c>
      <c r="X115">
        <f t="shared" si="4"/>
        <v>17.371700000000001</v>
      </c>
    </row>
    <row r="116" spans="1:24" ht="16">
      <c r="A116" s="117" t="s">
        <v>3570</v>
      </c>
      <c r="B116" t="s">
        <v>2914</v>
      </c>
      <c r="C116" t="s">
        <v>2789</v>
      </c>
      <c r="D116" s="125" t="s">
        <v>3567</v>
      </c>
      <c r="E116" t="s">
        <v>36</v>
      </c>
      <c r="F116" t="s">
        <v>36</v>
      </c>
      <c r="G116" t="s">
        <v>36</v>
      </c>
      <c r="H116" t="s">
        <v>36</v>
      </c>
      <c r="I116" t="s">
        <v>36</v>
      </c>
      <c r="J116" t="s">
        <v>36</v>
      </c>
      <c r="K116" t="s">
        <v>36</v>
      </c>
      <c r="L116" t="s">
        <v>2572</v>
      </c>
      <c r="M116" t="s">
        <v>2576</v>
      </c>
      <c r="N116" t="s">
        <v>2799</v>
      </c>
      <c r="O116" s="98" t="s">
        <v>3038</v>
      </c>
      <c r="P116" s="98" t="s">
        <v>36</v>
      </c>
      <c r="Q116" t="s">
        <v>2800</v>
      </c>
      <c r="R116" t="s">
        <v>2713</v>
      </c>
      <c r="S116" t="s">
        <v>36</v>
      </c>
      <c r="T116" t="s">
        <v>36</v>
      </c>
      <c r="U116">
        <v>2.2100000000000002E-2</v>
      </c>
      <c r="V116">
        <v>3.21</v>
      </c>
      <c r="W116">
        <v>11.81</v>
      </c>
      <c r="X116">
        <f t="shared" si="4"/>
        <v>37.9101</v>
      </c>
    </row>
    <row r="117" spans="1:24" ht="16">
      <c r="A117" s="117" t="s">
        <v>3570</v>
      </c>
      <c r="B117" t="s">
        <v>2915</v>
      </c>
      <c r="C117" t="s">
        <v>2789</v>
      </c>
      <c r="D117" s="125" t="s">
        <v>3567</v>
      </c>
      <c r="E117" t="s">
        <v>36</v>
      </c>
      <c r="F117" t="s">
        <v>36</v>
      </c>
      <c r="G117" t="s">
        <v>36</v>
      </c>
      <c r="H117" t="s">
        <v>36</v>
      </c>
      <c r="I117" t="s">
        <v>36</v>
      </c>
      <c r="J117" t="s">
        <v>36</v>
      </c>
      <c r="K117" t="s">
        <v>36</v>
      </c>
      <c r="L117" t="s">
        <v>1687</v>
      </c>
      <c r="M117" t="s">
        <v>2564</v>
      </c>
      <c r="N117" t="s">
        <v>2804</v>
      </c>
      <c r="O117" s="98" t="s">
        <v>3040</v>
      </c>
      <c r="P117" s="98" t="s">
        <v>36</v>
      </c>
      <c r="Q117" t="s">
        <v>2805</v>
      </c>
      <c r="R117" t="s">
        <v>2712</v>
      </c>
      <c r="S117" t="s">
        <v>36</v>
      </c>
      <c r="T117" t="s">
        <v>36</v>
      </c>
      <c r="U117">
        <v>5.7999999999999996E-3</v>
      </c>
      <c r="V117">
        <v>0.85</v>
      </c>
      <c r="W117">
        <v>3.92</v>
      </c>
      <c r="X117">
        <f t="shared" si="4"/>
        <v>3.3319999999999999</v>
      </c>
    </row>
    <row r="118" spans="1:24" ht="16">
      <c r="A118" s="117" t="s">
        <v>3570</v>
      </c>
      <c r="B118" t="s">
        <v>2916</v>
      </c>
      <c r="C118" t="s">
        <v>2789</v>
      </c>
      <c r="D118" s="125" t="s">
        <v>3567</v>
      </c>
      <c r="E118" t="s">
        <v>36</v>
      </c>
      <c r="F118" t="s">
        <v>36</v>
      </c>
      <c r="G118" t="s">
        <v>36</v>
      </c>
      <c r="H118" t="s">
        <v>36</v>
      </c>
      <c r="I118" t="s">
        <v>36</v>
      </c>
      <c r="J118" t="s">
        <v>36</v>
      </c>
      <c r="K118" t="s">
        <v>36</v>
      </c>
      <c r="L118" t="s">
        <v>1687</v>
      </c>
      <c r="M118" t="s">
        <v>2564</v>
      </c>
      <c r="N118" t="s">
        <v>2804</v>
      </c>
      <c r="O118" s="98" t="s">
        <v>3040</v>
      </c>
      <c r="P118" s="98" t="s">
        <v>36</v>
      </c>
      <c r="Q118" t="s">
        <v>2805</v>
      </c>
      <c r="R118" t="s">
        <v>2713</v>
      </c>
      <c r="S118" t="s">
        <v>36</v>
      </c>
      <c r="T118" t="s">
        <v>36</v>
      </c>
      <c r="U118">
        <v>6.4000000000000003E-3</v>
      </c>
      <c r="V118">
        <v>1.1200000000000001</v>
      </c>
      <c r="W118">
        <v>5.04</v>
      </c>
      <c r="X118">
        <f t="shared" si="4"/>
        <v>5.6448000000000009</v>
      </c>
    </row>
    <row r="119" spans="1:24" ht="16">
      <c r="A119" s="117" t="s">
        <v>3570</v>
      </c>
      <c r="B119" t="s">
        <v>2917</v>
      </c>
      <c r="C119" t="s">
        <v>2789</v>
      </c>
      <c r="D119" s="125" t="s">
        <v>3567</v>
      </c>
      <c r="E119" t="s">
        <v>36</v>
      </c>
      <c r="F119" t="s">
        <v>36</v>
      </c>
      <c r="G119" t="s">
        <v>36</v>
      </c>
      <c r="H119" t="s">
        <v>36</v>
      </c>
      <c r="I119" t="s">
        <v>36</v>
      </c>
      <c r="J119" t="s">
        <v>36</v>
      </c>
      <c r="K119" t="s">
        <v>36</v>
      </c>
      <c r="L119" t="s">
        <v>2625</v>
      </c>
      <c r="M119" t="s">
        <v>2806</v>
      </c>
      <c r="N119" t="s">
        <v>2807</v>
      </c>
      <c r="O119" s="98" t="s">
        <v>2602</v>
      </c>
      <c r="P119" s="98" t="s">
        <v>36</v>
      </c>
      <c r="Q119" t="s">
        <v>2808</v>
      </c>
      <c r="R119" t="s">
        <v>2712</v>
      </c>
      <c r="S119" t="s">
        <v>36</v>
      </c>
      <c r="T119" t="s">
        <v>36</v>
      </c>
      <c r="U119">
        <v>3.8999999999999998E-3</v>
      </c>
      <c r="V119">
        <v>1.3</v>
      </c>
      <c r="W119">
        <v>7.6</v>
      </c>
      <c r="X119">
        <f t="shared" si="4"/>
        <v>9.879999999999999</v>
      </c>
    </row>
    <row r="120" spans="1:24" ht="16">
      <c r="A120" s="117" t="s">
        <v>3570</v>
      </c>
      <c r="B120" t="s">
        <v>2918</v>
      </c>
      <c r="C120" t="s">
        <v>2789</v>
      </c>
      <c r="D120" s="125" t="s">
        <v>3567</v>
      </c>
      <c r="E120" t="s">
        <v>36</v>
      </c>
      <c r="F120" t="s">
        <v>36</v>
      </c>
      <c r="G120" t="s">
        <v>36</v>
      </c>
      <c r="H120" t="s">
        <v>36</v>
      </c>
      <c r="I120" t="s">
        <v>36</v>
      </c>
      <c r="J120" t="s">
        <v>36</v>
      </c>
      <c r="K120" t="s">
        <v>36</v>
      </c>
      <c r="L120" t="s">
        <v>1687</v>
      </c>
      <c r="M120" t="s">
        <v>2564</v>
      </c>
      <c r="N120" t="s">
        <v>2809</v>
      </c>
      <c r="O120" s="98" t="s">
        <v>2742</v>
      </c>
      <c r="P120" s="98" t="s">
        <v>36</v>
      </c>
      <c r="Q120" t="s">
        <v>2810</v>
      </c>
      <c r="R120" t="s">
        <v>2713</v>
      </c>
      <c r="S120" t="s">
        <v>36</v>
      </c>
      <c r="T120" t="s">
        <v>36</v>
      </c>
      <c r="U120">
        <v>0.1948</v>
      </c>
      <c r="V120">
        <v>8.02</v>
      </c>
      <c r="W120">
        <v>21</v>
      </c>
      <c r="X120">
        <f t="shared" si="4"/>
        <v>168.42</v>
      </c>
    </row>
    <row r="121" spans="1:24" ht="16">
      <c r="A121" s="117" t="s">
        <v>3570</v>
      </c>
      <c r="B121" t="s">
        <v>2919</v>
      </c>
      <c r="C121" t="s">
        <v>2789</v>
      </c>
      <c r="D121" s="125" t="s">
        <v>3567</v>
      </c>
      <c r="E121" t="s">
        <v>36</v>
      </c>
      <c r="F121" t="s">
        <v>36</v>
      </c>
      <c r="G121" t="s">
        <v>36</v>
      </c>
      <c r="H121" t="s">
        <v>36</v>
      </c>
      <c r="I121" t="s">
        <v>36</v>
      </c>
      <c r="J121" t="s">
        <v>36</v>
      </c>
      <c r="K121" t="s">
        <v>36</v>
      </c>
      <c r="L121" t="s">
        <v>1687</v>
      </c>
      <c r="M121" t="s">
        <v>2564</v>
      </c>
      <c r="N121" t="s">
        <v>2809</v>
      </c>
      <c r="O121" s="98" t="s">
        <v>2742</v>
      </c>
      <c r="P121" s="98" t="s">
        <v>36</v>
      </c>
      <c r="Q121" t="s">
        <v>2811</v>
      </c>
      <c r="R121" t="s">
        <v>2712</v>
      </c>
      <c r="S121" t="s">
        <v>36</v>
      </c>
      <c r="T121" t="s">
        <v>36</v>
      </c>
      <c r="U121">
        <v>9.5600000000000004E-2</v>
      </c>
      <c r="V121">
        <v>5.91</v>
      </c>
      <c r="W121">
        <v>16.05</v>
      </c>
      <c r="X121">
        <f t="shared" si="4"/>
        <v>94.855500000000006</v>
      </c>
    </row>
    <row r="122" spans="1:24" ht="16">
      <c r="A122" s="117" t="s">
        <v>3570</v>
      </c>
      <c r="B122" t="s">
        <v>2920</v>
      </c>
      <c r="C122" t="s">
        <v>2789</v>
      </c>
      <c r="D122" s="125" t="s">
        <v>3567</v>
      </c>
      <c r="E122" t="s">
        <v>36</v>
      </c>
      <c r="F122" t="s">
        <v>36</v>
      </c>
      <c r="G122" t="s">
        <v>36</v>
      </c>
      <c r="H122" t="s">
        <v>36</v>
      </c>
      <c r="I122" t="s">
        <v>36</v>
      </c>
      <c r="J122" t="s">
        <v>36</v>
      </c>
      <c r="K122" t="s">
        <v>36</v>
      </c>
      <c r="L122" t="s">
        <v>1687</v>
      </c>
      <c r="M122" t="s">
        <v>2564</v>
      </c>
      <c r="N122" t="s">
        <v>2809</v>
      </c>
      <c r="O122" s="98" t="s">
        <v>2742</v>
      </c>
      <c r="P122" s="98" t="s">
        <v>36</v>
      </c>
      <c r="Q122" t="s">
        <v>2811</v>
      </c>
      <c r="R122" t="s">
        <v>2713</v>
      </c>
      <c r="S122" t="s">
        <v>36</v>
      </c>
      <c r="T122" t="s">
        <v>36</v>
      </c>
      <c r="U122">
        <v>0.1002</v>
      </c>
      <c r="V122">
        <v>5.71</v>
      </c>
      <c r="W122">
        <v>17.03</v>
      </c>
      <c r="X122">
        <f t="shared" si="4"/>
        <v>97.24130000000001</v>
      </c>
    </row>
    <row r="123" spans="1:24" ht="16">
      <c r="A123" s="117" t="s">
        <v>3570</v>
      </c>
      <c r="B123" t="s">
        <v>2921</v>
      </c>
      <c r="C123" t="s">
        <v>2789</v>
      </c>
      <c r="D123" s="125" t="s">
        <v>3567</v>
      </c>
      <c r="E123" t="s">
        <v>36</v>
      </c>
      <c r="F123" t="s">
        <v>36</v>
      </c>
      <c r="G123" t="s">
        <v>36</v>
      </c>
      <c r="H123" t="s">
        <v>36</v>
      </c>
      <c r="I123" t="s">
        <v>36</v>
      </c>
      <c r="J123" t="s">
        <v>36</v>
      </c>
      <c r="K123" t="s">
        <v>36</v>
      </c>
      <c r="L123" t="s">
        <v>1687</v>
      </c>
      <c r="M123" t="s">
        <v>2563</v>
      </c>
      <c r="N123" t="s">
        <v>2568</v>
      </c>
      <c r="O123" s="98" t="s">
        <v>3041</v>
      </c>
      <c r="P123" s="98" t="s">
        <v>36</v>
      </c>
      <c r="Q123" t="s">
        <v>2812</v>
      </c>
      <c r="R123" t="s">
        <v>2712</v>
      </c>
      <c r="S123" t="s">
        <v>36</v>
      </c>
      <c r="T123" t="s">
        <v>36</v>
      </c>
      <c r="U123">
        <v>5.0299999999999997E-2</v>
      </c>
      <c r="V123">
        <v>3.76</v>
      </c>
      <c r="W123">
        <v>13.04</v>
      </c>
      <c r="X123">
        <f t="shared" si="4"/>
        <v>49.030399999999993</v>
      </c>
    </row>
    <row r="124" spans="1:24" ht="16">
      <c r="A124" s="117" t="s">
        <v>3570</v>
      </c>
      <c r="B124" t="s">
        <v>2922</v>
      </c>
      <c r="C124" t="s">
        <v>2789</v>
      </c>
      <c r="D124" s="125" t="s">
        <v>3567</v>
      </c>
      <c r="E124" t="s">
        <v>36</v>
      </c>
      <c r="F124" t="s">
        <v>36</v>
      </c>
      <c r="G124" t="s">
        <v>36</v>
      </c>
      <c r="H124" t="s">
        <v>36</v>
      </c>
      <c r="I124" t="s">
        <v>36</v>
      </c>
      <c r="J124" t="s">
        <v>36</v>
      </c>
      <c r="K124" t="s">
        <v>36</v>
      </c>
      <c r="L124" t="s">
        <v>1687</v>
      </c>
      <c r="M124" t="s">
        <v>2563</v>
      </c>
      <c r="N124" t="s">
        <v>2814</v>
      </c>
      <c r="O124" s="98" t="s">
        <v>907</v>
      </c>
      <c r="P124" s="98" t="s">
        <v>36</v>
      </c>
      <c r="Q124" t="s">
        <v>1722</v>
      </c>
      <c r="R124" t="s">
        <v>2813</v>
      </c>
      <c r="S124" t="s">
        <v>36</v>
      </c>
      <c r="T124" t="s">
        <v>36</v>
      </c>
      <c r="U124">
        <v>6.4600000000000005E-2</v>
      </c>
      <c r="V124">
        <v>5.04</v>
      </c>
      <c r="W124">
        <v>17.260000000000002</v>
      </c>
      <c r="X124">
        <f t="shared" si="4"/>
        <v>86.990400000000008</v>
      </c>
    </row>
    <row r="125" spans="1:24" ht="16">
      <c r="A125" s="117" t="s">
        <v>3570</v>
      </c>
      <c r="B125" t="s">
        <v>2923</v>
      </c>
      <c r="C125" t="s">
        <v>2789</v>
      </c>
      <c r="D125" s="125" t="s">
        <v>3567</v>
      </c>
      <c r="E125" t="s">
        <v>36</v>
      </c>
      <c r="F125" t="s">
        <v>36</v>
      </c>
      <c r="G125" t="s">
        <v>36</v>
      </c>
      <c r="H125" t="s">
        <v>36</v>
      </c>
      <c r="I125" t="s">
        <v>36</v>
      </c>
      <c r="J125" t="s">
        <v>36</v>
      </c>
      <c r="K125" t="s">
        <v>36</v>
      </c>
      <c r="L125" t="s">
        <v>1687</v>
      </c>
      <c r="M125" t="s">
        <v>2563</v>
      </c>
      <c r="N125" t="s">
        <v>2814</v>
      </c>
      <c r="O125" s="98" t="s">
        <v>907</v>
      </c>
      <c r="P125" s="98" t="s">
        <v>36</v>
      </c>
      <c r="Q125" t="s">
        <v>1722</v>
      </c>
      <c r="R125" t="s">
        <v>2813</v>
      </c>
      <c r="S125" t="s">
        <v>36</v>
      </c>
      <c r="T125" t="s">
        <v>36</v>
      </c>
      <c r="U125">
        <v>6.4600000000000005E-2</v>
      </c>
      <c r="V125">
        <v>5.25</v>
      </c>
      <c r="W125">
        <v>16.7</v>
      </c>
      <c r="X125">
        <f t="shared" si="4"/>
        <v>87.674999999999997</v>
      </c>
    </row>
    <row r="126" spans="1:24" ht="16">
      <c r="A126" s="117" t="s">
        <v>3570</v>
      </c>
      <c r="B126" t="s">
        <v>2924</v>
      </c>
      <c r="C126" t="s">
        <v>2789</v>
      </c>
      <c r="D126" s="125" t="s">
        <v>3567</v>
      </c>
      <c r="E126" t="s">
        <v>36</v>
      </c>
      <c r="F126" t="s">
        <v>36</v>
      </c>
      <c r="G126" t="s">
        <v>36</v>
      </c>
      <c r="H126" t="s">
        <v>36</v>
      </c>
      <c r="I126" t="s">
        <v>36</v>
      </c>
      <c r="J126" t="s">
        <v>36</v>
      </c>
      <c r="K126" t="s">
        <v>36</v>
      </c>
      <c r="L126" t="s">
        <v>1687</v>
      </c>
      <c r="M126" t="s">
        <v>2563</v>
      </c>
      <c r="N126" t="s">
        <v>2710</v>
      </c>
      <c r="O126" s="98" t="s">
        <v>2403</v>
      </c>
      <c r="P126" s="98" t="s">
        <v>36</v>
      </c>
      <c r="Q126" t="s">
        <v>2404</v>
      </c>
      <c r="R126" t="s">
        <v>2813</v>
      </c>
      <c r="S126" t="s">
        <v>36</v>
      </c>
      <c r="T126" t="s">
        <v>36</v>
      </c>
      <c r="U126">
        <v>2.63E-2</v>
      </c>
      <c r="V126">
        <v>3.08</v>
      </c>
      <c r="W126">
        <v>11.17</v>
      </c>
      <c r="X126">
        <f t="shared" si="4"/>
        <v>34.403599999999997</v>
      </c>
    </row>
    <row r="127" spans="1:24" ht="16">
      <c r="A127" s="117" t="s">
        <v>3570</v>
      </c>
      <c r="B127" t="s">
        <v>2925</v>
      </c>
      <c r="C127" t="s">
        <v>2789</v>
      </c>
      <c r="D127" s="125" t="s">
        <v>3567</v>
      </c>
      <c r="E127" t="s">
        <v>36</v>
      </c>
      <c r="F127" t="s">
        <v>36</v>
      </c>
      <c r="G127" t="s">
        <v>36</v>
      </c>
      <c r="H127" t="s">
        <v>36</v>
      </c>
      <c r="I127" t="s">
        <v>36</v>
      </c>
      <c r="J127" t="s">
        <v>36</v>
      </c>
      <c r="K127" t="s">
        <v>36</v>
      </c>
      <c r="L127" t="s">
        <v>1687</v>
      </c>
      <c r="M127" t="s">
        <v>2563</v>
      </c>
      <c r="N127" t="s">
        <v>2710</v>
      </c>
      <c r="O127" s="98" t="s">
        <v>2403</v>
      </c>
      <c r="P127" s="98" t="s">
        <v>36</v>
      </c>
      <c r="Q127" t="s">
        <v>2404</v>
      </c>
      <c r="R127" t="s">
        <v>2813</v>
      </c>
      <c r="S127" t="s">
        <v>36</v>
      </c>
      <c r="T127" t="s">
        <v>36</v>
      </c>
      <c r="U127">
        <v>2.52E-2</v>
      </c>
      <c r="V127">
        <v>3.15</v>
      </c>
      <c r="W127">
        <v>11.98</v>
      </c>
      <c r="X127">
        <f t="shared" si="4"/>
        <v>37.737000000000002</v>
      </c>
    </row>
    <row r="128" spans="1:24" ht="16">
      <c r="A128" s="117" t="s">
        <v>3570</v>
      </c>
      <c r="B128" t="s">
        <v>2926</v>
      </c>
      <c r="C128" t="s">
        <v>2789</v>
      </c>
      <c r="D128" s="125" t="s">
        <v>3567</v>
      </c>
      <c r="E128" t="s">
        <v>36</v>
      </c>
      <c r="F128" t="s">
        <v>36</v>
      </c>
      <c r="G128" t="s">
        <v>36</v>
      </c>
      <c r="H128" t="s">
        <v>36</v>
      </c>
      <c r="I128" t="s">
        <v>36</v>
      </c>
      <c r="J128" t="s">
        <v>36</v>
      </c>
      <c r="K128" t="s">
        <v>36</v>
      </c>
      <c r="L128" t="s">
        <v>2625</v>
      </c>
      <c r="M128" t="s">
        <v>2815</v>
      </c>
      <c r="N128" t="s">
        <v>2816</v>
      </c>
      <c r="O128" s="98" t="s">
        <v>3042</v>
      </c>
      <c r="P128" s="98" t="s">
        <v>36</v>
      </c>
      <c r="Q128" t="s">
        <v>2817</v>
      </c>
      <c r="R128" t="s">
        <v>2712</v>
      </c>
      <c r="S128" t="s">
        <v>36</v>
      </c>
      <c r="T128" t="s">
        <v>36</v>
      </c>
      <c r="U128">
        <v>1.49E-2</v>
      </c>
      <c r="V128">
        <v>2.16</v>
      </c>
      <c r="W128">
        <v>13.01</v>
      </c>
      <c r="X128">
        <f t="shared" si="4"/>
        <v>28.101600000000001</v>
      </c>
    </row>
    <row r="129" spans="1:24" ht="16">
      <c r="A129" s="117" t="s">
        <v>3570</v>
      </c>
      <c r="B129" t="s">
        <v>2927</v>
      </c>
      <c r="C129" t="s">
        <v>2789</v>
      </c>
      <c r="D129" s="125" t="s">
        <v>3567</v>
      </c>
      <c r="E129" t="s">
        <v>36</v>
      </c>
      <c r="F129" t="s">
        <v>36</v>
      </c>
      <c r="G129" t="s">
        <v>36</v>
      </c>
      <c r="H129" t="s">
        <v>36</v>
      </c>
      <c r="I129" t="s">
        <v>36</v>
      </c>
      <c r="J129" t="s">
        <v>36</v>
      </c>
      <c r="K129" t="s">
        <v>36</v>
      </c>
      <c r="L129" t="s">
        <v>2625</v>
      </c>
      <c r="M129" t="s">
        <v>2806</v>
      </c>
      <c r="N129" t="s">
        <v>2807</v>
      </c>
      <c r="O129" s="98" t="s">
        <v>2602</v>
      </c>
      <c r="P129" s="98" t="s">
        <v>36</v>
      </c>
      <c r="Q129" t="s">
        <v>2818</v>
      </c>
      <c r="R129" t="s">
        <v>2713</v>
      </c>
      <c r="S129" t="s">
        <v>36</v>
      </c>
      <c r="T129" t="s">
        <v>36</v>
      </c>
      <c r="U129">
        <v>7.7999999999999996E-3</v>
      </c>
      <c r="V129">
        <v>1.51</v>
      </c>
      <c r="W129">
        <v>7.28</v>
      </c>
      <c r="X129">
        <f t="shared" si="4"/>
        <v>10.992800000000001</v>
      </c>
    </row>
    <row r="130" spans="1:24" ht="16">
      <c r="A130" s="117" t="s">
        <v>3570</v>
      </c>
      <c r="B130" t="s">
        <v>2928</v>
      </c>
      <c r="C130" t="s">
        <v>2789</v>
      </c>
      <c r="D130" s="125" t="s">
        <v>3567</v>
      </c>
      <c r="E130" t="s">
        <v>36</v>
      </c>
      <c r="F130" t="s">
        <v>36</v>
      </c>
      <c r="G130" t="s">
        <v>36</v>
      </c>
      <c r="H130" t="s">
        <v>36</v>
      </c>
      <c r="I130" t="s">
        <v>36</v>
      </c>
      <c r="J130" t="s">
        <v>36</v>
      </c>
      <c r="K130" t="s">
        <v>36</v>
      </c>
      <c r="L130" t="s">
        <v>2625</v>
      </c>
      <c r="M130" t="s">
        <v>2815</v>
      </c>
      <c r="N130" t="s">
        <v>2816</v>
      </c>
      <c r="O130" s="98" t="s">
        <v>3043</v>
      </c>
      <c r="P130" s="98" t="s">
        <v>36</v>
      </c>
      <c r="Q130" t="s">
        <v>2819</v>
      </c>
      <c r="R130" t="s">
        <v>2712</v>
      </c>
      <c r="S130" t="s">
        <v>36</v>
      </c>
      <c r="T130" t="s">
        <v>36</v>
      </c>
      <c r="U130">
        <v>9.6000000000000002E-2</v>
      </c>
      <c r="V130">
        <v>1.85</v>
      </c>
      <c r="W130">
        <v>9.66</v>
      </c>
      <c r="X130">
        <f t="shared" si="4"/>
        <v>17.871000000000002</v>
      </c>
    </row>
    <row r="131" spans="1:24" ht="16">
      <c r="A131" s="117" t="s">
        <v>3570</v>
      </c>
      <c r="B131" t="s">
        <v>2929</v>
      </c>
      <c r="C131" t="s">
        <v>2789</v>
      </c>
      <c r="D131" s="125" t="s">
        <v>3567</v>
      </c>
      <c r="E131" t="s">
        <v>36</v>
      </c>
      <c r="F131" t="s">
        <v>36</v>
      </c>
      <c r="G131" t="s">
        <v>36</v>
      </c>
      <c r="H131" t="s">
        <v>36</v>
      </c>
      <c r="I131" t="s">
        <v>36</v>
      </c>
      <c r="J131" t="s">
        <v>36</v>
      </c>
      <c r="K131" t="s">
        <v>36</v>
      </c>
      <c r="L131" t="s">
        <v>2625</v>
      </c>
      <c r="M131" t="s">
        <v>2815</v>
      </c>
      <c r="N131" t="s">
        <v>2816</v>
      </c>
      <c r="O131" s="98" t="s">
        <v>3043</v>
      </c>
      <c r="P131" s="98" t="s">
        <v>36</v>
      </c>
      <c r="Q131" t="s">
        <v>2819</v>
      </c>
      <c r="R131" t="s">
        <v>2713</v>
      </c>
      <c r="S131" t="s">
        <v>36</v>
      </c>
      <c r="T131" t="s">
        <v>36</v>
      </c>
      <c r="U131">
        <v>9.2999999999999992E-3</v>
      </c>
      <c r="V131">
        <v>1.81</v>
      </c>
      <c r="W131">
        <v>7.37</v>
      </c>
      <c r="X131">
        <f t="shared" si="4"/>
        <v>13.339700000000001</v>
      </c>
    </row>
    <row r="132" spans="1:24" ht="16">
      <c r="A132" s="117" t="s">
        <v>3570</v>
      </c>
      <c r="B132" t="s">
        <v>2930</v>
      </c>
      <c r="C132" t="s">
        <v>2789</v>
      </c>
      <c r="D132" s="125" t="s">
        <v>3567</v>
      </c>
      <c r="E132" t="s">
        <v>36</v>
      </c>
      <c r="F132" t="s">
        <v>36</v>
      </c>
      <c r="G132" t="s">
        <v>36</v>
      </c>
      <c r="H132" t="s">
        <v>36</v>
      </c>
      <c r="I132" t="s">
        <v>36</v>
      </c>
      <c r="J132" t="s">
        <v>36</v>
      </c>
      <c r="K132" t="s">
        <v>36</v>
      </c>
      <c r="L132" t="s">
        <v>2625</v>
      </c>
      <c r="M132" t="s">
        <v>2815</v>
      </c>
      <c r="N132" t="s">
        <v>2816</v>
      </c>
      <c r="O132" s="98" t="s">
        <v>3042</v>
      </c>
      <c r="P132" s="98" t="s">
        <v>36</v>
      </c>
      <c r="Q132" t="s">
        <v>2820</v>
      </c>
      <c r="R132" t="s">
        <v>2712</v>
      </c>
      <c r="S132" t="s">
        <v>36</v>
      </c>
      <c r="T132" t="s">
        <v>36</v>
      </c>
      <c r="U132">
        <v>9.1999999999999998E-3</v>
      </c>
      <c r="V132">
        <v>1.98</v>
      </c>
      <c r="W132">
        <v>9.27</v>
      </c>
      <c r="X132">
        <f t="shared" si="4"/>
        <v>18.354599999999998</v>
      </c>
    </row>
    <row r="133" spans="1:24" ht="16">
      <c r="A133" s="117" t="s">
        <v>3570</v>
      </c>
      <c r="B133" t="s">
        <v>2931</v>
      </c>
      <c r="C133" t="s">
        <v>2789</v>
      </c>
      <c r="D133" s="125" t="s">
        <v>3567</v>
      </c>
      <c r="E133" t="s">
        <v>36</v>
      </c>
      <c r="F133" t="s">
        <v>36</v>
      </c>
      <c r="G133" t="s">
        <v>36</v>
      </c>
      <c r="H133" t="s">
        <v>36</v>
      </c>
      <c r="I133" t="s">
        <v>36</v>
      </c>
      <c r="J133" t="s">
        <v>36</v>
      </c>
      <c r="K133" t="s">
        <v>36</v>
      </c>
      <c r="L133" t="s">
        <v>2625</v>
      </c>
      <c r="M133" t="s">
        <v>2815</v>
      </c>
      <c r="N133" t="s">
        <v>2816</v>
      </c>
      <c r="O133" s="98" t="s">
        <v>3042</v>
      </c>
      <c r="P133" s="98" t="s">
        <v>36</v>
      </c>
      <c r="Q133" t="s">
        <v>2821</v>
      </c>
      <c r="R133" t="s">
        <v>2712</v>
      </c>
      <c r="S133" t="s">
        <v>36</v>
      </c>
      <c r="T133" t="s">
        <v>36</v>
      </c>
      <c r="U133">
        <v>9.7000000000000003E-3</v>
      </c>
      <c r="V133">
        <v>1.81</v>
      </c>
      <c r="W133">
        <v>8.82</v>
      </c>
      <c r="X133">
        <f t="shared" si="4"/>
        <v>15.964200000000002</v>
      </c>
    </row>
    <row r="134" spans="1:24" ht="16">
      <c r="A134" s="117" t="s">
        <v>3570</v>
      </c>
      <c r="B134" t="s">
        <v>2932</v>
      </c>
      <c r="C134" t="s">
        <v>2789</v>
      </c>
      <c r="D134" s="125" t="s">
        <v>3567</v>
      </c>
      <c r="E134" t="s">
        <v>36</v>
      </c>
      <c r="F134" t="s">
        <v>36</v>
      </c>
      <c r="G134" t="s">
        <v>36</v>
      </c>
      <c r="H134" t="s">
        <v>36</v>
      </c>
      <c r="I134" t="s">
        <v>36</v>
      </c>
      <c r="J134" t="s">
        <v>36</v>
      </c>
      <c r="K134" t="s">
        <v>36</v>
      </c>
      <c r="L134" t="s">
        <v>2625</v>
      </c>
      <c r="M134" t="s">
        <v>2815</v>
      </c>
      <c r="N134" t="s">
        <v>2816</v>
      </c>
      <c r="O134" s="98" t="s">
        <v>3042</v>
      </c>
      <c r="P134" s="98" t="s">
        <v>36</v>
      </c>
      <c r="Q134" t="s">
        <v>2820</v>
      </c>
      <c r="R134" t="s">
        <v>2712</v>
      </c>
      <c r="S134" t="s">
        <v>36</v>
      </c>
      <c r="T134" t="s">
        <v>36</v>
      </c>
      <c r="U134">
        <v>6.1999999999999998E-3</v>
      </c>
      <c r="V134">
        <v>1.51</v>
      </c>
      <c r="W134">
        <v>7.54</v>
      </c>
      <c r="X134">
        <f t="shared" si="4"/>
        <v>11.385400000000001</v>
      </c>
    </row>
    <row r="135" spans="1:24" ht="16">
      <c r="A135" s="117" t="s">
        <v>3570</v>
      </c>
      <c r="B135" t="s">
        <v>2933</v>
      </c>
      <c r="C135" t="s">
        <v>2789</v>
      </c>
      <c r="D135" s="125" t="s">
        <v>3567</v>
      </c>
      <c r="E135" t="s">
        <v>36</v>
      </c>
      <c r="F135" t="s">
        <v>36</v>
      </c>
      <c r="G135" t="s">
        <v>36</v>
      </c>
      <c r="H135" t="s">
        <v>36</v>
      </c>
      <c r="I135" t="s">
        <v>36</v>
      </c>
      <c r="J135" t="s">
        <v>36</v>
      </c>
      <c r="K135" t="s">
        <v>36</v>
      </c>
      <c r="L135" t="s">
        <v>2625</v>
      </c>
      <c r="M135" t="s">
        <v>2806</v>
      </c>
      <c r="N135" t="s">
        <v>2807</v>
      </c>
      <c r="O135" s="98" t="s">
        <v>2602</v>
      </c>
      <c r="P135" s="98" t="s">
        <v>36</v>
      </c>
      <c r="Q135" t="s">
        <v>2822</v>
      </c>
      <c r="R135" t="s">
        <v>2713</v>
      </c>
      <c r="S135" t="s">
        <v>36</v>
      </c>
      <c r="T135" t="s">
        <v>36</v>
      </c>
      <c r="U135">
        <v>1.11E-2</v>
      </c>
      <c r="V135">
        <v>1.93</v>
      </c>
      <c r="W135">
        <v>9.2799999999999994</v>
      </c>
      <c r="X135">
        <f t="shared" si="4"/>
        <v>17.910399999999999</v>
      </c>
    </row>
    <row r="136" spans="1:24" ht="16">
      <c r="A136" s="117" t="s">
        <v>3570</v>
      </c>
      <c r="B136" t="s">
        <v>2934</v>
      </c>
      <c r="C136" t="s">
        <v>2789</v>
      </c>
      <c r="D136" s="125" t="s">
        <v>3567</v>
      </c>
      <c r="E136" t="s">
        <v>36</v>
      </c>
      <c r="F136" t="s">
        <v>36</v>
      </c>
      <c r="G136" t="s">
        <v>36</v>
      </c>
      <c r="H136" t="s">
        <v>36</v>
      </c>
      <c r="I136" t="s">
        <v>36</v>
      </c>
      <c r="J136" t="s">
        <v>36</v>
      </c>
      <c r="K136" t="s">
        <v>36</v>
      </c>
      <c r="L136" t="s">
        <v>2625</v>
      </c>
      <c r="M136" t="s">
        <v>2806</v>
      </c>
      <c r="N136" t="s">
        <v>2807</v>
      </c>
      <c r="O136" s="98" t="s">
        <v>2602</v>
      </c>
      <c r="P136" s="98" t="s">
        <v>36</v>
      </c>
      <c r="Q136" t="s">
        <v>2808</v>
      </c>
      <c r="R136" t="s">
        <v>2713</v>
      </c>
      <c r="S136" t="s">
        <v>36</v>
      </c>
      <c r="T136" t="s">
        <v>36</v>
      </c>
      <c r="U136">
        <v>1.72E-2</v>
      </c>
      <c r="V136">
        <v>2.56</v>
      </c>
      <c r="W136">
        <v>12.66</v>
      </c>
      <c r="X136">
        <f t="shared" si="4"/>
        <v>32.409599999999998</v>
      </c>
    </row>
    <row r="137" spans="1:24" ht="16">
      <c r="A137" s="117" t="s">
        <v>3570</v>
      </c>
      <c r="B137" t="s">
        <v>2935</v>
      </c>
      <c r="C137" t="s">
        <v>2789</v>
      </c>
      <c r="D137" s="125" t="s">
        <v>3567</v>
      </c>
      <c r="E137" t="s">
        <v>36</v>
      </c>
      <c r="F137" t="s">
        <v>36</v>
      </c>
      <c r="G137" t="s">
        <v>36</v>
      </c>
      <c r="H137" t="s">
        <v>36</v>
      </c>
      <c r="I137" t="s">
        <v>36</v>
      </c>
      <c r="J137" t="s">
        <v>36</v>
      </c>
      <c r="K137" t="s">
        <v>36</v>
      </c>
      <c r="L137" t="s">
        <v>2625</v>
      </c>
      <c r="M137" t="s">
        <v>2806</v>
      </c>
      <c r="N137" t="s">
        <v>2807</v>
      </c>
      <c r="O137" s="98" t="s">
        <v>2602</v>
      </c>
      <c r="P137" s="98" t="s">
        <v>36</v>
      </c>
      <c r="Q137" t="s">
        <v>2823</v>
      </c>
      <c r="R137" t="s">
        <v>2712</v>
      </c>
      <c r="S137" t="s">
        <v>36</v>
      </c>
      <c r="T137" t="s">
        <v>36</v>
      </c>
      <c r="U137">
        <v>1.0800000000000001E-2</v>
      </c>
      <c r="V137">
        <v>1.94</v>
      </c>
      <c r="W137">
        <v>9.7100000000000009</v>
      </c>
      <c r="X137">
        <f t="shared" si="4"/>
        <v>18.837400000000002</v>
      </c>
    </row>
    <row r="138" spans="1:24" ht="16">
      <c r="A138" s="117" t="s">
        <v>3570</v>
      </c>
      <c r="B138" t="s">
        <v>2936</v>
      </c>
      <c r="C138" t="s">
        <v>2789</v>
      </c>
      <c r="D138" s="125" t="s">
        <v>3567</v>
      </c>
      <c r="E138" t="s">
        <v>36</v>
      </c>
      <c r="F138" t="s">
        <v>36</v>
      </c>
      <c r="G138" t="s">
        <v>36</v>
      </c>
      <c r="H138" t="s">
        <v>36</v>
      </c>
      <c r="I138" t="s">
        <v>36</v>
      </c>
      <c r="J138" t="s">
        <v>36</v>
      </c>
      <c r="K138" t="s">
        <v>36</v>
      </c>
      <c r="L138" t="s">
        <v>2625</v>
      </c>
      <c r="M138" t="s">
        <v>2806</v>
      </c>
      <c r="N138" t="s">
        <v>2807</v>
      </c>
      <c r="O138" s="98" t="s">
        <v>2602</v>
      </c>
      <c r="P138" s="98" t="s">
        <v>36</v>
      </c>
      <c r="Q138" t="s">
        <v>2824</v>
      </c>
      <c r="R138" t="s">
        <v>2713</v>
      </c>
      <c r="S138" t="s">
        <v>36</v>
      </c>
      <c r="T138" t="s">
        <v>36</v>
      </c>
      <c r="U138">
        <v>4.36E-2</v>
      </c>
      <c r="V138">
        <v>3.21</v>
      </c>
      <c r="W138">
        <v>15.8</v>
      </c>
      <c r="X138">
        <f t="shared" si="4"/>
        <v>50.718000000000004</v>
      </c>
    </row>
    <row r="139" spans="1:24" ht="16">
      <c r="A139" s="117" t="s">
        <v>3570</v>
      </c>
      <c r="B139" t="s">
        <v>2937</v>
      </c>
      <c r="C139" t="s">
        <v>2789</v>
      </c>
      <c r="D139" s="125" t="s">
        <v>3567</v>
      </c>
      <c r="E139" t="s">
        <v>36</v>
      </c>
      <c r="F139" t="s">
        <v>36</v>
      </c>
      <c r="G139" t="s">
        <v>36</v>
      </c>
      <c r="H139" t="s">
        <v>36</v>
      </c>
      <c r="I139" t="s">
        <v>36</v>
      </c>
      <c r="J139" t="s">
        <v>36</v>
      </c>
      <c r="K139" t="s">
        <v>36</v>
      </c>
      <c r="L139" t="s">
        <v>2625</v>
      </c>
      <c r="M139" t="s">
        <v>2806</v>
      </c>
      <c r="N139" t="s">
        <v>2807</v>
      </c>
      <c r="O139" s="98" t="s">
        <v>2602</v>
      </c>
      <c r="P139" s="98" t="s">
        <v>36</v>
      </c>
      <c r="Q139" t="s">
        <v>2825</v>
      </c>
      <c r="R139" t="s">
        <v>2713</v>
      </c>
      <c r="S139" t="s">
        <v>36</v>
      </c>
      <c r="T139" t="s">
        <v>36</v>
      </c>
      <c r="U139">
        <v>7.1000000000000004E-3</v>
      </c>
      <c r="V139">
        <v>1.52</v>
      </c>
      <c r="W139">
        <v>8.35</v>
      </c>
      <c r="X139">
        <f t="shared" si="4"/>
        <v>12.692</v>
      </c>
    </row>
    <row r="140" spans="1:24" ht="16">
      <c r="A140" s="117" t="s">
        <v>3570</v>
      </c>
      <c r="B140" t="s">
        <v>2938</v>
      </c>
      <c r="C140" t="s">
        <v>2789</v>
      </c>
      <c r="D140" s="125" t="s">
        <v>3567</v>
      </c>
      <c r="E140" t="s">
        <v>36</v>
      </c>
      <c r="F140" t="s">
        <v>36</v>
      </c>
      <c r="G140" t="s">
        <v>36</v>
      </c>
      <c r="H140" t="s">
        <v>36</v>
      </c>
      <c r="I140" t="s">
        <v>36</v>
      </c>
      <c r="J140" t="s">
        <v>36</v>
      </c>
      <c r="K140" t="s">
        <v>36</v>
      </c>
      <c r="L140" t="s">
        <v>2625</v>
      </c>
      <c r="M140" t="s">
        <v>2806</v>
      </c>
      <c r="N140" t="s">
        <v>2807</v>
      </c>
      <c r="O140" s="98" t="s">
        <v>2602</v>
      </c>
      <c r="P140" s="98" t="s">
        <v>36</v>
      </c>
      <c r="Q140" t="s">
        <v>2660</v>
      </c>
      <c r="R140" t="s">
        <v>2713</v>
      </c>
      <c r="S140" t="s">
        <v>36</v>
      </c>
      <c r="T140" t="s">
        <v>36</v>
      </c>
      <c r="U140">
        <v>8.5000000000000006E-3</v>
      </c>
      <c r="V140">
        <v>2.75</v>
      </c>
      <c r="W140">
        <v>13.43</v>
      </c>
      <c r="X140">
        <f t="shared" si="4"/>
        <v>36.932499999999997</v>
      </c>
    </row>
    <row r="141" spans="1:24" ht="16">
      <c r="A141" s="117" t="s">
        <v>3570</v>
      </c>
      <c r="B141" t="s">
        <v>2939</v>
      </c>
      <c r="C141" t="s">
        <v>2789</v>
      </c>
      <c r="D141" s="125" t="s">
        <v>3567</v>
      </c>
      <c r="E141" t="s">
        <v>36</v>
      </c>
      <c r="F141" t="s">
        <v>36</v>
      </c>
      <c r="G141" t="s">
        <v>36</v>
      </c>
      <c r="H141" t="s">
        <v>36</v>
      </c>
      <c r="I141" t="s">
        <v>36</v>
      </c>
      <c r="J141" t="s">
        <v>36</v>
      </c>
      <c r="K141" t="s">
        <v>36</v>
      </c>
      <c r="L141" t="s">
        <v>2625</v>
      </c>
      <c r="M141" t="s">
        <v>2806</v>
      </c>
      <c r="N141" t="s">
        <v>2807</v>
      </c>
      <c r="O141" s="98" t="s">
        <v>2602</v>
      </c>
      <c r="P141" s="98" t="s">
        <v>36</v>
      </c>
      <c r="Q141" t="s">
        <v>2826</v>
      </c>
      <c r="R141" t="s">
        <v>2712</v>
      </c>
      <c r="S141" t="s">
        <v>36</v>
      </c>
      <c r="T141" t="s">
        <v>36</v>
      </c>
      <c r="U141">
        <v>9.9000000000000008E-3</v>
      </c>
      <c r="V141">
        <v>2.33</v>
      </c>
      <c r="W141">
        <v>12.98</v>
      </c>
      <c r="X141">
        <f t="shared" si="4"/>
        <v>30.243400000000001</v>
      </c>
    </row>
    <row r="142" spans="1:24" ht="16">
      <c r="A142" s="117" t="s">
        <v>3570</v>
      </c>
      <c r="B142" t="s">
        <v>2940</v>
      </c>
      <c r="C142" t="s">
        <v>2789</v>
      </c>
      <c r="D142" s="125" t="s">
        <v>3567</v>
      </c>
      <c r="E142" t="s">
        <v>36</v>
      </c>
      <c r="F142" t="s">
        <v>36</v>
      </c>
      <c r="G142" t="s">
        <v>36</v>
      </c>
      <c r="H142" t="s">
        <v>36</v>
      </c>
      <c r="I142" t="s">
        <v>36</v>
      </c>
      <c r="J142" t="s">
        <v>36</v>
      </c>
      <c r="K142" t="s">
        <v>36</v>
      </c>
      <c r="L142" t="s">
        <v>2625</v>
      </c>
      <c r="M142" t="s">
        <v>2806</v>
      </c>
      <c r="N142" t="s">
        <v>2807</v>
      </c>
      <c r="O142" s="98" t="s">
        <v>2602</v>
      </c>
      <c r="P142" s="98" t="s">
        <v>36</v>
      </c>
      <c r="Q142" t="s">
        <v>2826</v>
      </c>
      <c r="R142" t="s">
        <v>2713</v>
      </c>
      <c r="S142" t="s">
        <v>36</v>
      </c>
      <c r="T142" t="s">
        <v>36</v>
      </c>
      <c r="U142">
        <v>4.5699999999999998E-2</v>
      </c>
      <c r="V142">
        <v>2.95</v>
      </c>
      <c r="W142">
        <v>15.73</v>
      </c>
      <c r="X142">
        <f t="shared" si="4"/>
        <v>46.403500000000001</v>
      </c>
    </row>
    <row r="143" spans="1:24" ht="16">
      <c r="A143" s="117" t="s">
        <v>3570</v>
      </c>
      <c r="B143" t="s">
        <v>2941</v>
      </c>
      <c r="C143" t="s">
        <v>2789</v>
      </c>
      <c r="D143" s="125" t="s">
        <v>3567</v>
      </c>
      <c r="E143" t="s">
        <v>36</v>
      </c>
      <c r="F143" t="s">
        <v>36</v>
      </c>
      <c r="G143" t="s">
        <v>36</v>
      </c>
      <c r="H143" t="s">
        <v>36</v>
      </c>
      <c r="I143" t="s">
        <v>36</v>
      </c>
      <c r="J143" t="s">
        <v>36</v>
      </c>
      <c r="K143" t="s">
        <v>36</v>
      </c>
      <c r="L143" t="s">
        <v>2566</v>
      </c>
      <c r="M143" t="s">
        <v>2567</v>
      </c>
      <c r="N143" t="s">
        <v>2668</v>
      </c>
      <c r="O143" s="98" t="s">
        <v>2600</v>
      </c>
      <c r="P143" s="98" t="s">
        <v>36</v>
      </c>
      <c r="Q143" t="s">
        <v>2827</v>
      </c>
      <c r="R143" t="s">
        <v>2712</v>
      </c>
      <c r="S143" t="s">
        <v>36</v>
      </c>
      <c r="T143" t="s">
        <v>36</v>
      </c>
      <c r="U143">
        <v>5.8999999999999999E-3</v>
      </c>
      <c r="V143">
        <v>1.36</v>
      </c>
      <c r="W143">
        <v>6.82</v>
      </c>
      <c r="X143">
        <f t="shared" si="4"/>
        <v>9.2752000000000017</v>
      </c>
    </row>
    <row r="144" spans="1:24" ht="16">
      <c r="A144" s="117" t="s">
        <v>3570</v>
      </c>
      <c r="B144" t="s">
        <v>2942</v>
      </c>
      <c r="C144" t="s">
        <v>2789</v>
      </c>
      <c r="D144" s="125" t="s">
        <v>3567</v>
      </c>
      <c r="E144" t="s">
        <v>36</v>
      </c>
      <c r="F144" t="s">
        <v>36</v>
      </c>
      <c r="G144" t="s">
        <v>36</v>
      </c>
      <c r="H144" t="s">
        <v>36</v>
      </c>
      <c r="I144" t="s">
        <v>36</v>
      </c>
      <c r="J144" t="s">
        <v>36</v>
      </c>
      <c r="K144" t="s">
        <v>36</v>
      </c>
      <c r="L144" t="s">
        <v>2625</v>
      </c>
      <c r="M144" t="s">
        <v>2815</v>
      </c>
      <c r="N144" t="s">
        <v>2816</v>
      </c>
      <c r="O144" s="98" t="s">
        <v>3042</v>
      </c>
      <c r="P144" s="98" t="s">
        <v>36</v>
      </c>
      <c r="Q144" t="s">
        <v>2820</v>
      </c>
      <c r="R144" t="s">
        <v>2713</v>
      </c>
      <c r="S144" t="s">
        <v>36</v>
      </c>
      <c r="T144" t="s">
        <v>36</v>
      </c>
      <c r="U144">
        <v>9.4999999999999998E-3</v>
      </c>
      <c r="V144">
        <v>2.06</v>
      </c>
      <c r="W144">
        <v>9.98</v>
      </c>
      <c r="X144">
        <f t="shared" si="4"/>
        <v>20.558800000000002</v>
      </c>
    </row>
    <row r="145" spans="1:24" ht="16">
      <c r="A145" s="117" t="s">
        <v>3570</v>
      </c>
      <c r="B145" t="s">
        <v>2943</v>
      </c>
      <c r="C145" t="s">
        <v>2789</v>
      </c>
      <c r="D145" s="125" t="s">
        <v>3567</v>
      </c>
      <c r="E145" t="s">
        <v>36</v>
      </c>
      <c r="F145" t="s">
        <v>36</v>
      </c>
      <c r="G145" t="s">
        <v>36</v>
      </c>
      <c r="H145" t="s">
        <v>36</v>
      </c>
      <c r="I145" t="s">
        <v>36</v>
      </c>
      <c r="J145" t="s">
        <v>36</v>
      </c>
      <c r="K145" t="s">
        <v>36</v>
      </c>
      <c r="L145" t="s">
        <v>1687</v>
      </c>
      <c r="M145" t="s">
        <v>2828</v>
      </c>
      <c r="N145" t="s">
        <v>2829</v>
      </c>
      <c r="O145" s="98" t="s">
        <v>3044</v>
      </c>
      <c r="P145" s="98" t="s">
        <v>36</v>
      </c>
      <c r="Q145" t="s">
        <v>2830</v>
      </c>
      <c r="R145" t="s">
        <v>2712</v>
      </c>
      <c r="S145" t="s">
        <v>36</v>
      </c>
      <c r="T145" t="s">
        <v>36</v>
      </c>
      <c r="U145">
        <v>8.6E-3</v>
      </c>
      <c r="V145">
        <v>0.94</v>
      </c>
      <c r="W145">
        <v>4.68</v>
      </c>
      <c r="X145">
        <f t="shared" si="4"/>
        <v>4.3991999999999996</v>
      </c>
    </row>
    <row r="146" spans="1:24" ht="16">
      <c r="A146" s="117" t="s">
        <v>3570</v>
      </c>
      <c r="B146" t="s">
        <v>2944</v>
      </c>
      <c r="C146" t="s">
        <v>2789</v>
      </c>
      <c r="D146" s="125" t="s">
        <v>3567</v>
      </c>
      <c r="E146" t="s">
        <v>36</v>
      </c>
      <c r="F146" t="s">
        <v>36</v>
      </c>
      <c r="G146" t="s">
        <v>36</v>
      </c>
      <c r="H146" t="s">
        <v>36</v>
      </c>
      <c r="I146" t="s">
        <v>36</v>
      </c>
      <c r="J146" t="s">
        <v>36</v>
      </c>
      <c r="K146" t="s">
        <v>36</v>
      </c>
      <c r="L146" t="s">
        <v>1687</v>
      </c>
      <c r="M146" t="s">
        <v>2828</v>
      </c>
      <c r="N146" t="s">
        <v>2829</v>
      </c>
      <c r="O146" s="98" t="s">
        <v>3044</v>
      </c>
      <c r="P146" s="98" t="s">
        <v>36</v>
      </c>
      <c r="Q146" t="s">
        <v>2830</v>
      </c>
      <c r="R146" t="s">
        <v>2713</v>
      </c>
      <c r="S146" t="s">
        <v>36</v>
      </c>
      <c r="T146" t="s">
        <v>36</v>
      </c>
      <c r="U146">
        <v>6.8999999999999999E-3</v>
      </c>
      <c r="V146">
        <v>0.91</v>
      </c>
      <c r="W146">
        <v>4.8099999999999996</v>
      </c>
      <c r="X146">
        <f t="shared" si="4"/>
        <v>4.3770999999999995</v>
      </c>
    </row>
    <row r="147" spans="1:24" ht="16">
      <c r="A147" s="117" t="s">
        <v>3570</v>
      </c>
      <c r="B147" t="s">
        <v>2945</v>
      </c>
      <c r="C147" t="s">
        <v>2789</v>
      </c>
      <c r="D147" s="125" t="s">
        <v>3567</v>
      </c>
      <c r="E147" t="s">
        <v>36</v>
      </c>
      <c r="F147" t="s">
        <v>36</v>
      </c>
      <c r="G147" t="s">
        <v>36</v>
      </c>
      <c r="H147" t="s">
        <v>36</v>
      </c>
      <c r="I147" t="s">
        <v>36</v>
      </c>
      <c r="J147" t="s">
        <v>36</v>
      </c>
      <c r="K147" t="s">
        <v>36</v>
      </c>
      <c r="L147" t="s">
        <v>2566</v>
      </c>
      <c r="M147" t="s">
        <v>2567</v>
      </c>
      <c r="N147" t="s">
        <v>2668</v>
      </c>
      <c r="O147" s="98" t="s">
        <v>2600</v>
      </c>
      <c r="P147" s="98" t="s">
        <v>36</v>
      </c>
      <c r="Q147" t="s">
        <v>2827</v>
      </c>
      <c r="R147" t="s">
        <v>2712</v>
      </c>
      <c r="S147" t="s">
        <v>36</v>
      </c>
      <c r="T147" t="s">
        <v>36</v>
      </c>
      <c r="U147">
        <v>5.4999999999999997E-3</v>
      </c>
      <c r="V147">
        <v>1.27</v>
      </c>
      <c r="W147">
        <v>6.91</v>
      </c>
      <c r="X147">
        <f t="shared" si="4"/>
        <v>8.7757000000000005</v>
      </c>
    </row>
    <row r="148" spans="1:24" ht="16">
      <c r="A148" s="117" t="s">
        <v>3570</v>
      </c>
      <c r="B148" t="s">
        <v>2946</v>
      </c>
      <c r="C148" t="s">
        <v>2789</v>
      </c>
      <c r="D148" s="125" t="s">
        <v>3567</v>
      </c>
      <c r="E148" t="s">
        <v>36</v>
      </c>
      <c r="F148" t="s">
        <v>36</v>
      </c>
      <c r="G148" t="s">
        <v>36</v>
      </c>
      <c r="H148" t="s">
        <v>36</v>
      </c>
      <c r="I148" t="s">
        <v>36</v>
      </c>
      <c r="J148" t="s">
        <v>36</v>
      </c>
      <c r="K148" t="s">
        <v>36</v>
      </c>
      <c r="L148" t="s">
        <v>1687</v>
      </c>
      <c r="M148" t="s">
        <v>2828</v>
      </c>
      <c r="N148" t="s">
        <v>2829</v>
      </c>
      <c r="O148" s="98" t="s">
        <v>3044</v>
      </c>
      <c r="P148" s="98" t="s">
        <v>36</v>
      </c>
      <c r="Q148" t="s">
        <v>2831</v>
      </c>
      <c r="R148" t="s">
        <v>2713</v>
      </c>
      <c r="S148" t="s">
        <v>36</v>
      </c>
      <c r="T148" t="s">
        <v>36</v>
      </c>
      <c r="U148">
        <v>2.7300000000000001E-2</v>
      </c>
      <c r="V148">
        <v>2.76</v>
      </c>
      <c r="W148">
        <v>12.61</v>
      </c>
      <c r="X148">
        <f t="shared" si="4"/>
        <v>34.803599999999996</v>
      </c>
    </row>
    <row r="149" spans="1:24" ht="16">
      <c r="A149" s="117" t="s">
        <v>3570</v>
      </c>
      <c r="B149" t="s">
        <v>2947</v>
      </c>
      <c r="C149" t="s">
        <v>2789</v>
      </c>
      <c r="D149" s="125" t="s">
        <v>3567</v>
      </c>
      <c r="E149" t="s">
        <v>36</v>
      </c>
      <c r="F149" t="s">
        <v>36</v>
      </c>
      <c r="G149" t="s">
        <v>36</v>
      </c>
      <c r="H149" t="s">
        <v>36</v>
      </c>
      <c r="I149" t="s">
        <v>36</v>
      </c>
      <c r="J149" t="s">
        <v>36</v>
      </c>
      <c r="K149" t="s">
        <v>36</v>
      </c>
      <c r="L149" t="s">
        <v>1687</v>
      </c>
      <c r="M149" t="s">
        <v>2828</v>
      </c>
      <c r="N149" t="s">
        <v>2829</v>
      </c>
      <c r="O149" s="98" t="s">
        <v>3044</v>
      </c>
      <c r="P149" s="98" t="s">
        <v>36</v>
      </c>
      <c r="Q149" t="s">
        <v>2832</v>
      </c>
      <c r="R149" t="s">
        <v>2713</v>
      </c>
      <c r="S149" t="s">
        <v>36</v>
      </c>
      <c r="T149" t="s">
        <v>36</v>
      </c>
      <c r="U149">
        <v>2.5499999999999998E-2</v>
      </c>
      <c r="V149">
        <v>2.68</v>
      </c>
      <c r="W149">
        <v>11.57</v>
      </c>
      <c r="X149">
        <f t="shared" si="4"/>
        <v>31.007600000000004</v>
      </c>
    </row>
    <row r="150" spans="1:24" ht="16">
      <c r="A150" s="117" t="s">
        <v>3570</v>
      </c>
      <c r="B150" t="s">
        <v>2948</v>
      </c>
      <c r="C150" t="s">
        <v>2789</v>
      </c>
      <c r="D150" s="125" t="s">
        <v>3567</v>
      </c>
      <c r="E150" t="s">
        <v>36</v>
      </c>
      <c r="F150" t="s">
        <v>36</v>
      </c>
      <c r="G150" t="s">
        <v>36</v>
      </c>
      <c r="H150" t="s">
        <v>36</v>
      </c>
      <c r="I150" t="s">
        <v>36</v>
      </c>
      <c r="J150" t="s">
        <v>36</v>
      </c>
      <c r="K150" t="s">
        <v>36</v>
      </c>
      <c r="L150" t="s">
        <v>1687</v>
      </c>
      <c r="M150" t="s">
        <v>2828</v>
      </c>
      <c r="N150" t="s">
        <v>2829</v>
      </c>
      <c r="O150" s="98" t="s">
        <v>3044</v>
      </c>
      <c r="P150" s="98" t="s">
        <v>36</v>
      </c>
      <c r="Q150" t="s">
        <v>2832</v>
      </c>
      <c r="R150" t="s">
        <v>2712</v>
      </c>
      <c r="S150" t="s">
        <v>36</v>
      </c>
      <c r="T150" t="s">
        <v>36</v>
      </c>
      <c r="U150">
        <v>1.46E-2</v>
      </c>
      <c r="V150">
        <v>2.76</v>
      </c>
      <c r="W150">
        <v>12.26</v>
      </c>
      <c r="X150">
        <f t="shared" si="4"/>
        <v>33.837599999999995</v>
      </c>
    </row>
    <row r="151" spans="1:24" ht="16">
      <c r="A151" s="117" t="s">
        <v>3570</v>
      </c>
      <c r="B151" t="s">
        <v>2949</v>
      </c>
      <c r="C151" t="s">
        <v>2789</v>
      </c>
      <c r="D151" s="125" t="s">
        <v>3567</v>
      </c>
      <c r="E151" t="s">
        <v>36</v>
      </c>
      <c r="F151" t="s">
        <v>36</v>
      </c>
      <c r="G151" t="s">
        <v>36</v>
      </c>
      <c r="H151" t="s">
        <v>36</v>
      </c>
      <c r="I151" t="s">
        <v>36</v>
      </c>
      <c r="J151" t="s">
        <v>36</v>
      </c>
      <c r="K151" t="s">
        <v>36</v>
      </c>
      <c r="L151" t="s">
        <v>1687</v>
      </c>
      <c r="M151" t="s">
        <v>2828</v>
      </c>
      <c r="N151" t="s">
        <v>2829</v>
      </c>
      <c r="O151" s="98" t="s">
        <v>3044</v>
      </c>
      <c r="P151" s="98" t="s">
        <v>36</v>
      </c>
      <c r="Q151" t="s">
        <v>2833</v>
      </c>
      <c r="R151" t="s">
        <v>2713</v>
      </c>
      <c r="S151" t="s">
        <v>36</v>
      </c>
      <c r="T151" t="s">
        <v>36</v>
      </c>
      <c r="U151">
        <v>1.2999999999999999E-2</v>
      </c>
      <c r="V151">
        <v>2.08</v>
      </c>
      <c r="W151">
        <v>9.7100000000000009</v>
      </c>
      <c r="X151">
        <f t="shared" si="4"/>
        <v>20.196800000000003</v>
      </c>
    </row>
    <row r="152" spans="1:24" ht="16">
      <c r="A152" s="117" t="s">
        <v>3570</v>
      </c>
      <c r="B152" t="s">
        <v>2950</v>
      </c>
      <c r="C152" t="s">
        <v>2789</v>
      </c>
      <c r="D152" s="125" t="s">
        <v>3567</v>
      </c>
      <c r="E152" t="s">
        <v>36</v>
      </c>
      <c r="F152" t="s">
        <v>36</v>
      </c>
      <c r="G152" t="s">
        <v>36</v>
      </c>
      <c r="H152" t="s">
        <v>36</v>
      </c>
      <c r="I152" t="s">
        <v>36</v>
      </c>
      <c r="J152" t="s">
        <v>36</v>
      </c>
      <c r="K152" t="s">
        <v>36</v>
      </c>
      <c r="L152" t="s">
        <v>2566</v>
      </c>
      <c r="M152" t="s">
        <v>2567</v>
      </c>
      <c r="N152" t="s">
        <v>2668</v>
      </c>
      <c r="O152" s="98" t="s">
        <v>2600</v>
      </c>
      <c r="P152" s="98" t="s">
        <v>36</v>
      </c>
      <c r="Q152" t="s">
        <v>2834</v>
      </c>
      <c r="R152" t="s">
        <v>2713</v>
      </c>
      <c r="S152" t="s">
        <v>36</v>
      </c>
      <c r="T152" t="s">
        <v>36</v>
      </c>
      <c r="U152">
        <v>1.78E-2</v>
      </c>
      <c r="V152">
        <v>2.2799999999999998</v>
      </c>
      <c r="W152">
        <v>9.9700000000000006</v>
      </c>
      <c r="X152">
        <f t="shared" si="4"/>
        <v>22.7316</v>
      </c>
    </row>
    <row r="153" spans="1:24" ht="16">
      <c r="A153" s="117" t="s">
        <v>3570</v>
      </c>
      <c r="B153" t="s">
        <v>2951</v>
      </c>
      <c r="C153" t="s">
        <v>2789</v>
      </c>
      <c r="D153" s="125" t="s">
        <v>3567</v>
      </c>
      <c r="E153" t="s">
        <v>36</v>
      </c>
      <c r="F153" t="s">
        <v>36</v>
      </c>
      <c r="G153" t="s">
        <v>36</v>
      </c>
      <c r="H153" t="s">
        <v>36</v>
      </c>
      <c r="I153" t="s">
        <v>36</v>
      </c>
      <c r="J153" t="s">
        <v>36</v>
      </c>
      <c r="K153" t="s">
        <v>36</v>
      </c>
      <c r="L153" t="s">
        <v>1687</v>
      </c>
      <c r="M153" t="s">
        <v>2563</v>
      </c>
      <c r="N153" t="s">
        <v>2835</v>
      </c>
      <c r="O153" s="98" t="s">
        <v>3045</v>
      </c>
      <c r="P153" s="98" t="s">
        <v>36</v>
      </c>
      <c r="Q153" t="s">
        <v>2836</v>
      </c>
      <c r="R153" t="s">
        <v>2712</v>
      </c>
      <c r="S153" t="s">
        <v>36</v>
      </c>
      <c r="T153" t="s">
        <v>36</v>
      </c>
      <c r="U153">
        <v>2.1000000000000001E-2</v>
      </c>
      <c r="V153">
        <v>2.9</v>
      </c>
      <c r="W153">
        <v>11.11</v>
      </c>
      <c r="X153">
        <f t="shared" si="4"/>
        <v>32.218999999999994</v>
      </c>
    </row>
    <row r="154" spans="1:24" ht="16">
      <c r="A154" s="117" t="s">
        <v>3570</v>
      </c>
      <c r="B154" t="s">
        <v>2952</v>
      </c>
      <c r="C154" t="s">
        <v>2789</v>
      </c>
      <c r="D154" s="125" t="s">
        <v>3567</v>
      </c>
      <c r="E154" t="s">
        <v>36</v>
      </c>
      <c r="F154" t="s">
        <v>36</v>
      </c>
      <c r="G154" t="s">
        <v>36</v>
      </c>
      <c r="H154" t="s">
        <v>36</v>
      </c>
      <c r="I154" t="s">
        <v>36</v>
      </c>
      <c r="J154" t="s">
        <v>36</v>
      </c>
      <c r="K154" t="s">
        <v>36</v>
      </c>
      <c r="L154" t="s">
        <v>1687</v>
      </c>
      <c r="M154" t="s">
        <v>2563</v>
      </c>
      <c r="N154" t="s">
        <v>2835</v>
      </c>
      <c r="O154" s="98" t="s">
        <v>3045</v>
      </c>
      <c r="P154" s="98" t="s">
        <v>36</v>
      </c>
      <c r="Q154" t="s">
        <v>2837</v>
      </c>
      <c r="R154" t="s">
        <v>2712</v>
      </c>
      <c r="S154" t="s">
        <v>36</v>
      </c>
      <c r="T154" t="s">
        <v>36</v>
      </c>
      <c r="U154">
        <v>3.2000000000000001E-2</v>
      </c>
      <c r="V154">
        <v>3.46</v>
      </c>
      <c r="W154">
        <v>14.66</v>
      </c>
      <c r="X154">
        <f t="shared" si="4"/>
        <v>50.723599999999998</v>
      </c>
    </row>
    <row r="155" spans="1:24" ht="16">
      <c r="A155" s="117" t="s">
        <v>3570</v>
      </c>
      <c r="B155" t="s">
        <v>2953</v>
      </c>
      <c r="C155" t="s">
        <v>2789</v>
      </c>
      <c r="D155" s="125" t="s">
        <v>3567</v>
      </c>
      <c r="E155" t="s">
        <v>36</v>
      </c>
      <c r="F155" t="s">
        <v>36</v>
      </c>
      <c r="G155" t="s">
        <v>36</v>
      </c>
      <c r="H155" t="s">
        <v>36</v>
      </c>
      <c r="I155" t="s">
        <v>36</v>
      </c>
      <c r="J155" t="s">
        <v>36</v>
      </c>
      <c r="K155" t="s">
        <v>36</v>
      </c>
      <c r="L155" t="s">
        <v>1687</v>
      </c>
      <c r="M155" t="s">
        <v>2563</v>
      </c>
      <c r="N155" t="s">
        <v>2835</v>
      </c>
      <c r="O155" s="98" t="s">
        <v>3045</v>
      </c>
      <c r="P155" s="98" t="s">
        <v>36</v>
      </c>
      <c r="Q155" t="s">
        <v>2836</v>
      </c>
      <c r="R155" t="s">
        <v>36</v>
      </c>
      <c r="S155" t="s">
        <v>36</v>
      </c>
      <c r="T155" t="s">
        <v>36</v>
      </c>
      <c r="U155">
        <v>3.5299999999999998E-2</v>
      </c>
      <c r="V155">
        <v>2.86</v>
      </c>
      <c r="W155">
        <v>10.87</v>
      </c>
      <c r="X155">
        <f t="shared" si="4"/>
        <v>31.088199999999997</v>
      </c>
    </row>
    <row r="156" spans="1:24" ht="16">
      <c r="A156" s="117" t="s">
        <v>3570</v>
      </c>
      <c r="B156" t="s">
        <v>2954</v>
      </c>
      <c r="C156" t="s">
        <v>2789</v>
      </c>
      <c r="D156" s="125" t="s">
        <v>3567</v>
      </c>
      <c r="E156" t="s">
        <v>36</v>
      </c>
      <c r="F156" t="s">
        <v>36</v>
      </c>
      <c r="G156" t="s">
        <v>36</v>
      </c>
      <c r="H156" t="s">
        <v>36</v>
      </c>
      <c r="I156" t="s">
        <v>36</v>
      </c>
      <c r="J156" t="s">
        <v>36</v>
      </c>
      <c r="K156" t="s">
        <v>36</v>
      </c>
      <c r="L156" t="s">
        <v>1687</v>
      </c>
      <c r="M156" t="s">
        <v>2563</v>
      </c>
      <c r="N156" t="s">
        <v>2835</v>
      </c>
      <c r="O156" s="98" t="s">
        <v>3045</v>
      </c>
      <c r="P156" s="98" t="s">
        <v>36</v>
      </c>
      <c r="Q156" t="s">
        <v>2838</v>
      </c>
      <c r="R156" t="s">
        <v>2713</v>
      </c>
      <c r="S156" t="s">
        <v>36</v>
      </c>
      <c r="T156" t="s">
        <v>36</v>
      </c>
      <c r="U156">
        <v>2.75E-2</v>
      </c>
      <c r="V156">
        <v>3.38</v>
      </c>
      <c r="W156">
        <v>12.22</v>
      </c>
      <c r="X156">
        <f t="shared" si="4"/>
        <v>41.303600000000003</v>
      </c>
    </row>
    <row r="157" spans="1:24" ht="16">
      <c r="A157" s="117" t="s">
        <v>3570</v>
      </c>
      <c r="B157" t="s">
        <v>2955</v>
      </c>
      <c r="C157" t="s">
        <v>2789</v>
      </c>
      <c r="D157" s="125" t="s">
        <v>3567</v>
      </c>
      <c r="E157" t="s">
        <v>36</v>
      </c>
      <c r="F157" t="s">
        <v>36</v>
      </c>
      <c r="G157" t="s">
        <v>36</v>
      </c>
      <c r="H157" t="s">
        <v>36</v>
      </c>
      <c r="I157" t="s">
        <v>36</v>
      </c>
      <c r="J157" t="s">
        <v>36</v>
      </c>
      <c r="K157" t="s">
        <v>36</v>
      </c>
      <c r="L157" t="s">
        <v>1687</v>
      </c>
      <c r="M157" t="s">
        <v>2563</v>
      </c>
      <c r="N157" t="s">
        <v>2835</v>
      </c>
      <c r="O157" s="98" t="s">
        <v>3045</v>
      </c>
      <c r="P157" s="98" t="s">
        <v>36</v>
      </c>
      <c r="Q157" t="s">
        <v>2838</v>
      </c>
      <c r="R157" t="s">
        <v>2713</v>
      </c>
      <c r="S157" t="s">
        <v>36</v>
      </c>
      <c r="T157" t="s">
        <v>36</v>
      </c>
      <c r="U157">
        <v>3.0099999999999998E-2</v>
      </c>
      <c r="V157">
        <v>3.71</v>
      </c>
      <c r="W157">
        <v>12.03</v>
      </c>
      <c r="X157">
        <f t="shared" si="4"/>
        <v>44.631299999999996</v>
      </c>
    </row>
    <row r="158" spans="1:24" ht="16">
      <c r="A158" s="117" t="s">
        <v>3570</v>
      </c>
      <c r="B158" t="s">
        <v>2956</v>
      </c>
      <c r="C158" t="s">
        <v>2789</v>
      </c>
      <c r="D158" s="125" t="s">
        <v>3567</v>
      </c>
      <c r="E158" t="s">
        <v>36</v>
      </c>
      <c r="F158" t="s">
        <v>36</v>
      </c>
      <c r="G158" t="s">
        <v>36</v>
      </c>
      <c r="H158" t="s">
        <v>36</v>
      </c>
      <c r="I158" t="s">
        <v>36</v>
      </c>
      <c r="J158" t="s">
        <v>36</v>
      </c>
      <c r="K158" t="s">
        <v>36</v>
      </c>
      <c r="L158" t="s">
        <v>1687</v>
      </c>
      <c r="M158" t="s">
        <v>2563</v>
      </c>
      <c r="N158" t="s">
        <v>2568</v>
      </c>
      <c r="O158" s="98" t="s">
        <v>3041</v>
      </c>
      <c r="P158" s="98" t="s">
        <v>36</v>
      </c>
      <c r="Q158" t="s">
        <v>2839</v>
      </c>
      <c r="R158" t="s">
        <v>2712</v>
      </c>
      <c r="S158" t="s">
        <v>36</v>
      </c>
      <c r="T158" t="s">
        <v>36</v>
      </c>
      <c r="U158">
        <v>2.6700000000000002E-2</v>
      </c>
      <c r="V158">
        <v>3.88</v>
      </c>
      <c r="W158">
        <v>13.03</v>
      </c>
      <c r="X158">
        <f t="shared" si="4"/>
        <v>50.556399999999996</v>
      </c>
    </row>
    <row r="159" spans="1:24" ht="16">
      <c r="A159" s="117" t="s">
        <v>3570</v>
      </c>
      <c r="B159" t="s">
        <v>2957</v>
      </c>
      <c r="C159" t="s">
        <v>2789</v>
      </c>
      <c r="D159" s="125" t="s">
        <v>3567</v>
      </c>
      <c r="E159" t="s">
        <v>36</v>
      </c>
      <c r="F159" t="s">
        <v>36</v>
      </c>
      <c r="G159" t="s">
        <v>36</v>
      </c>
      <c r="H159" t="s">
        <v>36</v>
      </c>
      <c r="I159" t="s">
        <v>36</v>
      </c>
      <c r="J159" t="s">
        <v>36</v>
      </c>
      <c r="K159" t="s">
        <v>36</v>
      </c>
      <c r="L159" t="s">
        <v>1687</v>
      </c>
      <c r="M159" t="s">
        <v>2563</v>
      </c>
      <c r="N159" t="s">
        <v>2568</v>
      </c>
      <c r="O159" s="98" t="s">
        <v>3041</v>
      </c>
      <c r="P159" s="98" t="s">
        <v>36</v>
      </c>
      <c r="Q159" t="s">
        <v>2840</v>
      </c>
      <c r="R159" t="s">
        <v>2712</v>
      </c>
      <c r="S159" t="s">
        <v>36</v>
      </c>
      <c r="T159" t="s">
        <v>36</v>
      </c>
      <c r="U159">
        <v>5.5500000000000001E-2</v>
      </c>
      <c r="V159">
        <v>4.59</v>
      </c>
      <c r="W159">
        <v>16.37</v>
      </c>
      <c r="X159">
        <f t="shared" si="4"/>
        <v>75.138300000000001</v>
      </c>
    </row>
    <row r="160" spans="1:24" ht="16">
      <c r="A160" s="117" t="s">
        <v>3570</v>
      </c>
      <c r="B160" t="s">
        <v>2958</v>
      </c>
      <c r="C160" t="s">
        <v>2789</v>
      </c>
      <c r="D160" s="125" t="s">
        <v>3567</v>
      </c>
      <c r="E160" t="s">
        <v>36</v>
      </c>
      <c r="F160" t="s">
        <v>36</v>
      </c>
      <c r="G160" t="s">
        <v>36</v>
      </c>
      <c r="H160" t="s">
        <v>36</v>
      </c>
      <c r="I160" t="s">
        <v>36</v>
      </c>
      <c r="J160" t="s">
        <v>36</v>
      </c>
      <c r="K160" t="s">
        <v>36</v>
      </c>
      <c r="L160" t="s">
        <v>1687</v>
      </c>
      <c r="M160" t="s">
        <v>2563</v>
      </c>
      <c r="N160" t="s">
        <v>2568</v>
      </c>
      <c r="O160" s="98" t="s">
        <v>3041</v>
      </c>
      <c r="P160" s="98" t="s">
        <v>36</v>
      </c>
      <c r="Q160" t="s">
        <v>2839</v>
      </c>
      <c r="R160" t="s">
        <v>2713</v>
      </c>
      <c r="S160" t="s">
        <v>36</v>
      </c>
      <c r="T160" t="s">
        <v>36</v>
      </c>
      <c r="U160">
        <v>0.1123</v>
      </c>
      <c r="V160">
        <v>6.54</v>
      </c>
      <c r="W160">
        <v>21</v>
      </c>
      <c r="X160">
        <f t="shared" si="4"/>
        <v>137.34</v>
      </c>
    </row>
    <row r="161" spans="1:25" ht="16">
      <c r="A161" s="117" t="s">
        <v>3570</v>
      </c>
      <c r="B161" t="s">
        <v>2959</v>
      </c>
      <c r="C161" t="s">
        <v>2789</v>
      </c>
      <c r="D161" s="125" t="s">
        <v>3567</v>
      </c>
      <c r="E161" t="s">
        <v>36</v>
      </c>
      <c r="F161" t="s">
        <v>36</v>
      </c>
      <c r="G161" t="s">
        <v>36</v>
      </c>
      <c r="H161" t="s">
        <v>36</v>
      </c>
      <c r="I161" t="s">
        <v>36</v>
      </c>
      <c r="J161" t="s">
        <v>36</v>
      </c>
      <c r="K161" t="s">
        <v>36</v>
      </c>
      <c r="L161" t="s">
        <v>1687</v>
      </c>
      <c r="M161" t="s">
        <v>2563</v>
      </c>
      <c r="N161" t="s">
        <v>2568</v>
      </c>
      <c r="O161" s="98" t="s">
        <v>3041</v>
      </c>
      <c r="P161" s="98" t="s">
        <v>36</v>
      </c>
      <c r="Q161" t="s">
        <v>2839</v>
      </c>
      <c r="R161" t="s">
        <v>2712</v>
      </c>
      <c r="S161" t="s">
        <v>36</v>
      </c>
      <c r="T161" t="s">
        <v>36</v>
      </c>
      <c r="U161">
        <v>0.1133</v>
      </c>
      <c r="V161">
        <v>6.53</v>
      </c>
      <c r="W161">
        <v>22</v>
      </c>
      <c r="X161">
        <f t="shared" si="4"/>
        <v>143.66</v>
      </c>
    </row>
    <row r="162" spans="1:25" ht="16">
      <c r="A162" s="117" t="s">
        <v>3570</v>
      </c>
      <c r="B162" t="s">
        <v>2960</v>
      </c>
      <c r="C162" t="s">
        <v>2789</v>
      </c>
      <c r="D162" s="125" t="s">
        <v>3567</v>
      </c>
      <c r="E162" t="s">
        <v>36</v>
      </c>
      <c r="F162" t="s">
        <v>36</v>
      </c>
      <c r="G162" t="s">
        <v>36</v>
      </c>
      <c r="H162" t="s">
        <v>36</v>
      </c>
      <c r="I162" t="s">
        <v>36</v>
      </c>
      <c r="J162" t="s">
        <v>36</v>
      </c>
      <c r="K162" t="s">
        <v>36</v>
      </c>
      <c r="L162" t="s">
        <v>1687</v>
      </c>
      <c r="M162" t="s">
        <v>2563</v>
      </c>
      <c r="N162" t="s">
        <v>2568</v>
      </c>
      <c r="O162" s="98" t="s">
        <v>3041</v>
      </c>
      <c r="P162" s="98" t="s">
        <v>36</v>
      </c>
      <c r="Q162" t="s">
        <v>2841</v>
      </c>
      <c r="R162" t="s">
        <v>2713</v>
      </c>
      <c r="S162" t="s">
        <v>36</v>
      </c>
      <c r="T162" t="s">
        <v>36</v>
      </c>
      <c r="U162">
        <v>4.2099999999999999E-2</v>
      </c>
      <c r="V162">
        <v>3.67</v>
      </c>
      <c r="W162">
        <v>13.54</v>
      </c>
      <c r="X162">
        <f t="shared" si="4"/>
        <v>49.691799999999994</v>
      </c>
    </row>
    <row r="163" spans="1:25" ht="16">
      <c r="A163" s="117" t="s">
        <v>3570</v>
      </c>
      <c r="B163" t="s">
        <v>2961</v>
      </c>
      <c r="C163" t="s">
        <v>2789</v>
      </c>
      <c r="D163" s="125" t="s">
        <v>3567</v>
      </c>
      <c r="E163" t="s">
        <v>36</v>
      </c>
      <c r="F163" t="s">
        <v>36</v>
      </c>
      <c r="G163" t="s">
        <v>36</v>
      </c>
      <c r="H163" t="s">
        <v>36</v>
      </c>
      <c r="I163" t="s">
        <v>36</v>
      </c>
      <c r="J163" t="s">
        <v>36</v>
      </c>
      <c r="K163" t="s">
        <v>36</v>
      </c>
      <c r="L163" t="s">
        <v>1687</v>
      </c>
      <c r="M163" t="s">
        <v>2564</v>
      </c>
      <c r="N163" t="s">
        <v>2809</v>
      </c>
      <c r="O163" s="98" t="s">
        <v>2742</v>
      </c>
      <c r="P163" s="98" t="s">
        <v>36</v>
      </c>
      <c r="Q163" t="s">
        <v>2811</v>
      </c>
      <c r="R163" t="s">
        <v>36</v>
      </c>
      <c r="S163" t="s">
        <v>36</v>
      </c>
      <c r="T163" t="s">
        <v>36</v>
      </c>
      <c r="U163">
        <v>1.18E-2</v>
      </c>
      <c r="V163">
        <v>2.39</v>
      </c>
      <c r="W163">
        <v>8.65</v>
      </c>
      <c r="X163">
        <f t="shared" si="4"/>
        <v>20.673500000000001</v>
      </c>
    </row>
    <row r="164" spans="1:25" ht="16">
      <c r="A164" s="117" t="s">
        <v>3570</v>
      </c>
      <c r="B164" t="s">
        <v>2962</v>
      </c>
      <c r="C164" t="s">
        <v>2789</v>
      </c>
      <c r="D164" s="125" t="s">
        <v>3567</v>
      </c>
      <c r="E164" t="s">
        <v>36</v>
      </c>
      <c r="F164" t="s">
        <v>36</v>
      </c>
      <c r="G164" t="s">
        <v>36</v>
      </c>
      <c r="H164" t="s">
        <v>36</v>
      </c>
      <c r="I164" t="s">
        <v>36</v>
      </c>
      <c r="J164" t="s">
        <v>36</v>
      </c>
      <c r="K164" t="s">
        <v>36</v>
      </c>
      <c r="L164" t="s">
        <v>1687</v>
      </c>
      <c r="M164" t="s">
        <v>2563</v>
      </c>
      <c r="N164" t="s">
        <v>2568</v>
      </c>
      <c r="O164" s="98" t="s">
        <v>2734</v>
      </c>
      <c r="P164" s="98" t="s">
        <v>36</v>
      </c>
      <c r="Q164" t="s">
        <v>2842</v>
      </c>
      <c r="R164" t="s">
        <v>2713</v>
      </c>
      <c r="S164" t="s">
        <v>36</v>
      </c>
      <c r="T164" t="s">
        <v>36</v>
      </c>
      <c r="U164">
        <v>6.4699999999999994E-2</v>
      </c>
      <c r="V164">
        <v>4.1100000000000003</v>
      </c>
      <c r="W164">
        <v>13.82</v>
      </c>
      <c r="X164">
        <f t="shared" ref="X164:X175" si="5">V164*W164</f>
        <v>56.800200000000004</v>
      </c>
    </row>
    <row r="165" spans="1:25" ht="16">
      <c r="A165" s="117" t="s">
        <v>3570</v>
      </c>
      <c r="B165" t="s">
        <v>2963</v>
      </c>
      <c r="C165" t="s">
        <v>2789</v>
      </c>
      <c r="D165" s="125" t="s">
        <v>3567</v>
      </c>
      <c r="E165" t="s">
        <v>36</v>
      </c>
      <c r="F165" t="s">
        <v>36</v>
      </c>
      <c r="G165" t="s">
        <v>36</v>
      </c>
      <c r="H165" t="s">
        <v>36</v>
      </c>
      <c r="I165" t="s">
        <v>36</v>
      </c>
      <c r="J165" t="s">
        <v>36</v>
      </c>
      <c r="K165" t="s">
        <v>36</v>
      </c>
      <c r="L165" t="s">
        <v>1687</v>
      </c>
      <c r="M165" t="s">
        <v>2563</v>
      </c>
      <c r="N165" t="s">
        <v>2568</v>
      </c>
      <c r="O165" s="98" t="s">
        <v>2734</v>
      </c>
      <c r="P165" s="98" t="s">
        <v>36</v>
      </c>
      <c r="Q165" t="s">
        <v>2842</v>
      </c>
      <c r="R165" t="s">
        <v>2713</v>
      </c>
      <c r="S165" t="s">
        <v>36</v>
      </c>
      <c r="T165" t="s">
        <v>36</v>
      </c>
      <c r="U165">
        <v>2.4199999999999999E-2</v>
      </c>
      <c r="V165">
        <v>3.18</v>
      </c>
      <c r="W165">
        <v>12.65</v>
      </c>
      <c r="X165">
        <f t="shared" si="5"/>
        <v>40.227000000000004</v>
      </c>
    </row>
    <row r="166" spans="1:25" ht="16">
      <c r="A166" s="117" t="s">
        <v>3570</v>
      </c>
      <c r="B166" t="s">
        <v>2964</v>
      </c>
      <c r="C166" t="s">
        <v>2789</v>
      </c>
      <c r="D166" s="125" t="s">
        <v>3567</v>
      </c>
      <c r="E166" t="s">
        <v>36</v>
      </c>
      <c r="F166" t="s">
        <v>36</v>
      </c>
      <c r="G166" t="s">
        <v>36</v>
      </c>
      <c r="H166" t="s">
        <v>36</v>
      </c>
      <c r="I166" t="s">
        <v>36</v>
      </c>
      <c r="J166" t="s">
        <v>36</v>
      </c>
      <c r="K166" t="s">
        <v>36</v>
      </c>
      <c r="L166" t="s">
        <v>2569</v>
      </c>
      <c r="M166" t="s">
        <v>2570</v>
      </c>
      <c r="N166" t="s">
        <v>2843</v>
      </c>
      <c r="O166" s="98" t="s">
        <v>3193</v>
      </c>
      <c r="P166" s="98" t="s">
        <v>36</v>
      </c>
      <c r="Q166" t="s">
        <v>2844</v>
      </c>
      <c r="R166" t="s">
        <v>2712</v>
      </c>
      <c r="S166" t="s">
        <v>36</v>
      </c>
      <c r="T166" t="s">
        <v>36</v>
      </c>
      <c r="U166">
        <v>4.3799999999999999E-2</v>
      </c>
      <c r="V166">
        <v>3.66</v>
      </c>
      <c r="W166">
        <v>14.26</v>
      </c>
      <c r="X166">
        <f t="shared" si="5"/>
        <v>52.191600000000001</v>
      </c>
    </row>
    <row r="167" spans="1:25" ht="16">
      <c r="A167" s="117" t="s">
        <v>3570</v>
      </c>
      <c r="B167" t="s">
        <v>2965</v>
      </c>
      <c r="C167" t="s">
        <v>2789</v>
      </c>
      <c r="D167" s="125" t="s">
        <v>3567</v>
      </c>
      <c r="E167" t="s">
        <v>36</v>
      </c>
      <c r="F167" t="s">
        <v>36</v>
      </c>
      <c r="G167" t="s">
        <v>36</v>
      </c>
      <c r="H167" t="s">
        <v>36</v>
      </c>
      <c r="I167" t="s">
        <v>36</v>
      </c>
      <c r="J167" t="s">
        <v>36</v>
      </c>
      <c r="K167" t="s">
        <v>36</v>
      </c>
      <c r="L167" t="s">
        <v>2569</v>
      </c>
      <c r="M167" t="s">
        <v>2570</v>
      </c>
      <c r="N167" t="s">
        <v>2843</v>
      </c>
      <c r="O167" s="98" t="s">
        <v>3046</v>
      </c>
      <c r="P167" s="98" t="s">
        <v>36</v>
      </c>
      <c r="Q167" t="s">
        <v>2845</v>
      </c>
      <c r="R167" t="s">
        <v>2713</v>
      </c>
      <c r="S167" t="s">
        <v>36</v>
      </c>
      <c r="T167" t="s">
        <v>36</v>
      </c>
      <c r="U167">
        <v>2.8899999999999999E-2</v>
      </c>
      <c r="V167">
        <v>3.45</v>
      </c>
      <c r="W167">
        <v>12.18</v>
      </c>
      <c r="X167">
        <f t="shared" si="5"/>
        <v>42.021000000000001</v>
      </c>
    </row>
    <row r="168" spans="1:25" ht="16">
      <c r="A168" s="117" t="s">
        <v>3570</v>
      </c>
      <c r="B168" t="s">
        <v>2966</v>
      </c>
      <c r="C168" t="s">
        <v>2789</v>
      </c>
      <c r="D168" s="125" t="s">
        <v>3567</v>
      </c>
      <c r="E168" t="s">
        <v>36</v>
      </c>
      <c r="F168" t="s">
        <v>36</v>
      </c>
      <c r="G168" t="s">
        <v>36</v>
      </c>
      <c r="H168" t="s">
        <v>36</v>
      </c>
      <c r="I168" t="s">
        <v>36</v>
      </c>
      <c r="J168" t="s">
        <v>36</v>
      </c>
      <c r="K168" t="s">
        <v>36</v>
      </c>
      <c r="L168" t="s">
        <v>2625</v>
      </c>
      <c r="M168" t="s">
        <v>2815</v>
      </c>
      <c r="N168" t="s">
        <v>2816</v>
      </c>
      <c r="O168" s="98" t="s">
        <v>3042</v>
      </c>
      <c r="P168" s="98" t="s">
        <v>36</v>
      </c>
      <c r="Q168" t="s">
        <v>2846</v>
      </c>
      <c r="R168" t="s">
        <v>2713</v>
      </c>
      <c r="S168" t="s">
        <v>36</v>
      </c>
      <c r="T168" t="s">
        <v>36</v>
      </c>
      <c r="U168">
        <v>1.2500000000000001E-2</v>
      </c>
      <c r="V168">
        <v>1.26</v>
      </c>
      <c r="W168">
        <v>5.33</v>
      </c>
      <c r="X168">
        <f t="shared" si="5"/>
        <v>6.7157999999999998</v>
      </c>
    </row>
    <row r="169" spans="1:25" ht="16">
      <c r="A169" s="117" t="s">
        <v>3570</v>
      </c>
      <c r="B169" t="s">
        <v>2967</v>
      </c>
      <c r="C169" t="s">
        <v>2789</v>
      </c>
      <c r="D169" s="125" t="s">
        <v>3567</v>
      </c>
      <c r="E169" t="s">
        <v>36</v>
      </c>
      <c r="F169" t="s">
        <v>36</v>
      </c>
      <c r="G169" t="s">
        <v>36</v>
      </c>
      <c r="H169" t="s">
        <v>36</v>
      </c>
      <c r="I169" t="s">
        <v>36</v>
      </c>
      <c r="J169" t="s">
        <v>36</v>
      </c>
      <c r="K169" t="s">
        <v>36</v>
      </c>
      <c r="L169" t="s">
        <v>2569</v>
      </c>
      <c r="M169" t="s">
        <v>2570</v>
      </c>
      <c r="N169" t="s">
        <v>2802</v>
      </c>
      <c r="O169" s="98" t="s">
        <v>3047</v>
      </c>
      <c r="P169" s="98" t="s">
        <v>36</v>
      </c>
      <c r="Q169" t="s">
        <v>2847</v>
      </c>
      <c r="R169" t="s">
        <v>2712</v>
      </c>
      <c r="S169" t="s">
        <v>36</v>
      </c>
      <c r="T169" t="s">
        <v>36</v>
      </c>
      <c r="U169">
        <v>6.3E-3</v>
      </c>
      <c r="V169">
        <v>2.94</v>
      </c>
      <c r="W169">
        <v>10.28</v>
      </c>
      <c r="X169">
        <f t="shared" si="5"/>
        <v>30.223199999999999</v>
      </c>
    </row>
    <row r="170" spans="1:25" ht="16">
      <c r="A170" s="117" t="s">
        <v>3570</v>
      </c>
      <c r="B170" t="s">
        <v>2968</v>
      </c>
      <c r="C170" t="s">
        <v>2789</v>
      </c>
      <c r="D170" s="125" t="s">
        <v>3567</v>
      </c>
      <c r="E170" t="s">
        <v>36</v>
      </c>
      <c r="F170" t="s">
        <v>36</v>
      </c>
      <c r="G170" t="s">
        <v>36</v>
      </c>
      <c r="H170" t="s">
        <v>36</v>
      </c>
      <c r="I170" t="s">
        <v>36</v>
      </c>
      <c r="J170" t="s">
        <v>36</v>
      </c>
      <c r="K170" t="s">
        <v>36</v>
      </c>
      <c r="L170" t="s">
        <v>2569</v>
      </c>
      <c r="M170" t="s">
        <v>2570</v>
      </c>
      <c r="N170" t="s">
        <v>2802</v>
      </c>
      <c r="O170" s="98" t="s">
        <v>3047</v>
      </c>
      <c r="P170" s="98" t="s">
        <v>36</v>
      </c>
      <c r="Q170" t="s">
        <v>2848</v>
      </c>
      <c r="R170" t="s">
        <v>2712</v>
      </c>
      <c r="S170" t="s">
        <v>36</v>
      </c>
      <c r="T170" t="s">
        <v>36</v>
      </c>
      <c r="U170">
        <v>3.0599999999999999E-2</v>
      </c>
      <c r="V170">
        <v>3.33</v>
      </c>
      <c r="W170">
        <v>11.55</v>
      </c>
      <c r="X170">
        <f t="shared" si="5"/>
        <v>38.461500000000001</v>
      </c>
    </row>
    <row r="171" spans="1:25" ht="16">
      <c r="A171" s="117" t="s">
        <v>3570</v>
      </c>
      <c r="B171" t="s">
        <v>2969</v>
      </c>
      <c r="C171" t="s">
        <v>2789</v>
      </c>
      <c r="D171" s="125" t="s">
        <v>3567</v>
      </c>
      <c r="E171" t="s">
        <v>36</v>
      </c>
      <c r="F171" t="s">
        <v>36</v>
      </c>
      <c r="G171" t="s">
        <v>36</v>
      </c>
      <c r="H171" t="s">
        <v>36</v>
      </c>
      <c r="I171" t="s">
        <v>36</v>
      </c>
      <c r="J171" t="s">
        <v>36</v>
      </c>
      <c r="K171" t="s">
        <v>36</v>
      </c>
      <c r="L171" t="s">
        <v>2569</v>
      </c>
      <c r="M171" t="s">
        <v>2570</v>
      </c>
      <c r="N171" t="s">
        <v>2802</v>
      </c>
      <c r="O171" s="98" t="s">
        <v>3039</v>
      </c>
      <c r="P171" s="98" t="s">
        <v>36</v>
      </c>
      <c r="Q171" t="s">
        <v>2803</v>
      </c>
      <c r="R171" t="s">
        <v>2712</v>
      </c>
      <c r="S171" t="s">
        <v>36</v>
      </c>
      <c r="T171" t="s">
        <v>36</v>
      </c>
      <c r="U171">
        <v>1.66E-2</v>
      </c>
      <c r="V171">
        <v>3.1</v>
      </c>
      <c r="W171">
        <v>9.26</v>
      </c>
      <c r="X171">
        <f t="shared" si="5"/>
        <v>28.706</v>
      </c>
    </row>
    <row r="172" spans="1:25" ht="16">
      <c r="A172" s="117" t="s">
        <v>3570</v>
      </c>
      <c r="B172" t="s">
        <v>2970</v>
      </c>
      <c r="C172" t="s">
        <v>2789</v>
      </c>
      <c r="D172" s="125" t="s">
        <v>3567</v>
      </c>
      <c r="E172" t="s">
        <v>36</v>
      </c>
      <c r="F172" t="s">
        <v>36</v>
      </c>
      <c r="G172" t="s">
        <v>36</v>
      </c>
      <c r="H172" t="s">
        <v>36</v>
      </c>
      <c r="I172" t="s">
        <v>36</v>
      </c>
      <c r="J172" t="s">
        <v>36</v>
      </c>
      <c r="K172" t="s">
        <v>36</v>
      </c>
      <c r="L172" t="s">
        <v>2566</v>
      </c>
      <c r="M172" t="s">
        <v>2567</v>
      </c>
      <c r="N172" t="s">
        <v>2668</v>
      </c>
      <c r="O172" s="98" t="s">
        <v>2600</v>
      </c>
      <c r="P172" s="98" t="s">
        <v>36</v>
      </c>
      <c r="Q172" t="s">
        <v>2798</v>
      </c>
      <c r="R172" t="s">
        <v>2713</v>
      </c>
      <c r="S172" t="s">
        <v>36</v>
      </c>
      <c r="T172" t="s">
        <v>36</v>
      </c>
      <c r="U172">
        <v>1.5100000000000001E-2</v>
      </c>
      <c r="V172">
        <v>1.43</v>
      </c>
      <c r="W172">
        <v>8.82</v>
      </c>
      <c r="X172">
        <f t="shared" si="5"/>
        <v>12.6126</v>
      </c>
    </row>
    <row r="173" spans="1:25" ht="16">
      <c r="A173" s="117" t="s">
        <v>3570</v>
      </c>
      <c r="B173" t="s">
        <v>2971</v>
      </c>
      <c r="C173" t="s">
        <v>2789</v>
      </c>
      <c r="D173" s="125" t="s">
        <v>3567</v>
      </c>
      <c r="E173" t="s">
        <v>36</v>
      </c>
      <c r="F173" t="s">
        <v>36</v>
      </c>
      <c r="G173" t="s">
        <v>36</v>
      </c>
      <c r="H173" t="s">
        <v>36</v>
      </c>
      <c r="I173" t="s">
        <v>36</v>
      </c>
      <c r="J173" t="s">
        <v>36</v>
      </c>
      <c r="K173" t="s">
        <v>36</v>
      </c>
      <c r="L173" t="s">
        <v>2569</v>
      </c>
      <c r="M173" t="s">
        <v>2570</v>
      </c>
      <c r="N173" t="s">
        <v>2802</v>
      </c>
      <c r="O173" s="98" t="s">
        <v>3048</v>
      </c>
      <c r="P173" s="98" t="s">
        <v>36</v>
      </c>
      <c r="Q173" t="s">
        <v>2849</v>
      </c>
      <c r="R173" t="s">
        <v>2713</v>
      </c>
      <c r="S173" t="s">
        <v>36</v>
      </c>
      <c r="T173" t="s">
        <v>36</v>
      </c>
      <c r="U173">
        <v>6.3E-3</v>
      </c>
      <c r="V173">
        <v>1.76</v>
      </c>
      <c r="W173">
        <v>6.93</v>
      </c>
      <c r="X173">
        <f t="shared" si="5"/>
        <v>12.1968</v>
      </c>
    </row>
    <row r="174" spans="1:25" ht="16">
      <c r="A174" s="117" t="s">
        <v>3570</v>
      </c>
      <c r="B174" t="s">
        <v>2972</v>
      </c>
      <c r="C174" t="s">
        <v>2789</v>
      </c>
      <c r="D174" s="125" t="s">
        <v>3567</v>
      </c>
      <c r="E174" t="s">
        <v>36</v>
      </c>
      <c r="F174" t="s">
        <v>36</v>
      </c>
      <c r="G174" t="s">
        <v>36</v>
      </c>
      <c r="H174" t="s">
        <v>36</v>
      </c>
      <c r="I174" t="s">
        <v>36</v>
      </c>
      <c r="J174" t="s">
        <v>36</v>
      </c>
      <c r="K174" t="s">
        <v>36</v>
      </c>
      <c r="L174" t="s">
        <v>2566</v>
      </c>
      <c r="M174" t="s">
        <v>2790</v>
      </c>
      <c r="N174" t="s">
        <v>2791</v>
      </c>
      <c r="O174" s="98" t="s">
        <v>3035</v>
      </c>
      <c r="P174" s="98" t="s">
        <v>36</v>
      </c>
      <c r="Q174" t="s">
        <v>2792</v>
      </c>
      <c r="R174" t="s">
        <v>2712</v>
      </c>
      <c r="S174" t="s">
        <v>36</v>
      </c>
      <c r="T174" t="s">
        <v>36</v>
      </c>
      <c r="U174">
        <v>1.95E-2</v>
      </c>
      <c r="V174">
        <v>2.37</v>
      </c>
      <c r="W174">
        <v>11.23</v>
      </c>
      <c r="X174">
        <f t="shared" si="5"/>
        <v>26.615100000000002</v>
      </c>
    </row>
    <row r="175" spans="1:25" ht="16">
      <c r="A175" s="117" t="s">
        <v>3570</v>
      </c>
      <c r="B175" t="s">
        <v>2973</v>
      </c>
      <c r="C175" t="s">
        <v>2789</v>
      </c>
      <c r="D175" s="125" t="s">
        <v>3567</v>
      </c>
      <c r="E175" t="s">
        <v>36</v>
      </c>
      <c r="F175" t="s">
        <v>36</v>
      </c>
      <c r="G175" t="s">
        <v>36</v>
      </c>
      <c r="H175" t="s">
        <v>36</v>
      </c>
      <c r="I175" t="s">
        <v>36</v>
      </c>
      <c r="J175" t="s">
        <v>36</v>
      </c>
      <c r="K175" t="s">
        <v>36</v>
      </c>
      <c r="L175" t="s">
        <v>2566</v>
      </c>
      <c r="M175" t="s">
        <v>2790</v>
      </c>
      <c r="N175" t="s">
        <v>2791</v>
      </c>
      <c r="O175" s="98" t="s">
        <v>3035</v>
      </c>
      <c r="P175" s="98" t="s">
        <v>36</v>
      </c>
      <c r="Q175" t="s">
        <v>2792</v>
      </c>
      <c r="R175" t="s">
        <v>2712</v>
      </c>
      <c r="S175" t="s">
        <v>36</v>
      </c>
      <c r="T175" t="s">
        <v>36</v>
      </c>
      <c r="U175">
        <v>8.3000000000000001E-3</v>
      </c>
      <c r="V175">
        <v>2.44</v>
      </c>
      <c r="W175">
        <v>9.8000000000000007</v>
      </c>
      <c r="X175">
        <f t="shared" si="5"/>
        <v>23.912000000000003</v>
      </c>
    </row>
    <row r="176" spans="1:25" ht="16">
      <c r="A176" s="117" t="s">
        <v>3570</v>
      </c>
      <c r="B176" s="150" t="s">
        <v>11</v>
      </c>
      <c r="C176" s="149" t="s">
        <v>1744</v>
      </c>
      <c r="D176" s="149" t="str">
        <f>LEFT(E176,5)</f>
        <v>COFFS</v>
      </c>
      <c r="E176" s="149" t="s">
        <v>2521</v>
      </c>
      <c r="F176" s="70">
        <v>-29.997240000000001</v>
      </c>
      <c r="G176" s="70">
        <v>153.14993100000001</v>
      </c>
      <c r="H176" s="70">
        <v>0</v>
      </c>
      <c r="I176" s="151">
        <v>42866</v>
      </c>
      <c r="J176" s="149" t="s">
        <v>2785</v>
      </c>
      <c r="K176" s="149" t="s">
        <v>177</v>
      </c>
      <c r="L176" s="149" t="s">
        <v>1687</v>
      </c>
      <c r="M176" s="149" t="s">
        <v>2564</v>
      </c>
      <c r="N176" s="149" t="s">
        <v>2565</v>
      </c>
      <c r="O176" s="149" t="s">
        <v>2733</v>
      </c>
      <c r="P176" s="149" t="s">
        <v>2733</v>
      </c>
      <c r="Q176" s="149" t="s">
        <v>2381</v>
      </c>
      <c r="R176" s="149" t="s">
        <v>2713</v>
      </c>
      <c r="S176" s="149">
        <v>6.83E-2</v>
      </c>
      <c r="T176" s="149">
        <v>6.7166000000000003E-2</v>
      </c>
      <c r="U176" s="70">
        <f t="shared" ref="U176:U239" si="6">S176-T176</f>
        <v>1.1339999999999961E-3</v>
      </c>
      <c r="V176" s="149">
        <v>1.9750000000000001</v>
      </c>
      <c r="W176" s="149">
        <v>8.8689999999999998</v>
      </c>
      <c r="X176" s="149">
        <f t="shared" ref="X176:X239" si="7">V176*W176</f>
        <v>17.516275</v>
      </c>
      <c r="Y176" s="149"/>
    </row>
    <row r="177" spans="1:25" ht="16">
      <c r="A177" s="117" t="s">
        <v>3570</v>
      </c>
      <c r="B177" s="150" t="s">
        <v>14</v>
      </c>
      <c r="C177" s="149" t="s">
        <v>1744</v>
      </c>
      <c r="D177" s="149" t="str">
        <f t="shared" ref="D177:D240" si="8">LEFT(E177,5)</f>
        <v>COFFS</v>
      </c>
      <c r="E177" s="149" t="s">
        <v>2522</v>
      </c>
      <c r="F177" s="160">
        <v>-29.943010999999998</v>
      </c>
      <c r="G177" s="70">
        <v>153.12657400000001</v>
      </c>
      <c r="H177" s="70">
        <v>0</v>
      </c>
      <c r="I177" s="151">
        <v>42866</v>
      </c>
      <c r="J177" s="149" t="s">
        <v>2097</v>
      </c>
      <c r="K177" s="149" t="s">
        <v>177</v>
      </c>
      <c r="L177" s="149" t="s">
        <v>1687</v>
      </c>
      <c r="M177" s="149" t="s">
        <v>2563</v>
      </c>
      <c r="N177" s="149" t="s">
        <v>2562</v>
      </c>
      <c r="O177" s="149" t="s">
        <v>2103</v>
      </c>
      <c r="P177" s="149" t="s">
        <v>2103</v>
      </c>
      <c r="Q177" s="149" t="s">
        <v>2104</v>
      </c>
      <c r="R177" s="149" t="s">
        <v>2713</v>
      </c>
      <c r="S177" s="149">
        <v>6.9400000000000003E-2</v>
      </c>
      <c r="T177" s="149">
        <v>6.7166000000000003E-2</v>
      </c>
      <c r="U177" s="70">
        <f t="shared" si="6"/>
        <v>2.2339999999999999E-3</v>
      </c>
      <c r="V177" s="149">
        <v>1.6879999999999999</v>
      </c>
      <c r="W177" s="149">
        <v>5.7329999999999997</v>
      </c>
      <c r="X177" s="149">
        <f t="shared" si="7"/>
        <v>9.6773039999999995</v>
      </c>
      <c r="Y177" s="149"/>
    </row>
    <row r="178" spans="1:25" ht="16">
      <c r="A178" s="117" t="s">
        <v>3570</v>
      </c>
      <c r="B178" s="150" t="s">
        <v>16</v>
      </c>
      <c r="C178" s="149" t="s">
        <v>1744</v>
      </c>
      <c r="D178" s="149" t="str">
        <f t="shared" si="8"/>
        <v>COFFS</v>
      </c>
      <c r="E178" s="149" t="s">
        <v>2522</v>
      </c>
      <c r="F178" s="160">
        <v>-29.943010999999998</v>
      </c>
      <c r="G178" s="70">
        <v>153.12657400000001</v>
      </c>
      <c r="H178" s="70">
        <v>0</v>
      </c>
      <c r="I178" s="151">
        <v>42866</v>
      </c>
      <c r="J178" s="149" t="s">
        <v>2785</v>
      </c>
      <c r="K178" s="149" t="s">
        <v>177</v>
      </c>
      <c r="L178" s="149" t="s">
        <v>2566</v>
      </c>
      <c r="M178" s="149" t="s">
        <v>2567</v>
      </c>
      <c r="N178" s="149" t="s">
        <v>2668</v>
      </c>
      <c r="O178" s="149" t="s">
        <v>2600</v>
      </c>
      <c r="P178" s="149" t="s">
        <v>2735</v>
      </c>
      <c r="Q178" s="149" t="s">
        <v>2384</v>
      </c>
      <c r="R178" s="149" t="s">
        <v>2713</v>
      </c>
      <c r="S178" s="149">
        <v>7.6600000000000001E-2</v>
      </c>
      <c r="T178" s="149">
        <v>6.7166000000000003E-2</v>
      </c>
      <c r="U178" s="70">
        <f t="shared" si="6"/>
        <v>9.4339999999999979E-3</v>
      </c>
      <c r="V178" s="149">
        <v>3.0680000000000001</v>
      </c>
      <c r="W178" s="149">
        <f>5.727+6.881</f>
        <v>12.608000000000001</v>
      </c>
      <c r="X178" s="149">
        <f t="shared" si="7"/>
        <v>38.681344000000003</v>
      </c>
      <c r="Y178" s="149"/>
    </row>
    <row r="179" spans="1:25" ht="16">
      <c r="A179" s="117" t="s">
        <v>3570</v>
      </c>
      <c r="B179" s="150" t="s">
        <v>17</v>
      </c>
      <c r="C179" s="149" t="s">
        <v>1744</v>
      </c>
      <c r="D179" s="149" t="str">
        <f t="shared" si="8"/>
        <v>COFFS</v>
      </c>
      <c r="E179" s="149" t="s">
        <v>2521</v>
      </c>
      <c r="F179" s="70">
        <v>-29.997240000000001</v>
      </c>
      <c r="G179" s="70">
        <v>153.14993100000001</v>
      </c>
      <c r="H179" s="70">
        <v>0</v>
      </c>
      <c r="I179" s="151">
        <v>42866</v>
      </c>
      <c r="J179" s="149" t="s">
        <v>2785</v>
      </c>
      <c r="K179" s="149" t="s">
        <v>177</v>
      </c>
      <c r="L179" s="149" t="s">
        <v>1687</v>
      </c>
      <c r="M179" s="149" t="s">
        <v>2563</v>
      </c>
      <c r="N179" s="149" t="s">
        <v>2562</v>
      </c>
      <c r="O179" s="149" t="s">
        <v>2106</v>
      </c>
      <c r="P179" s="149" t="s">
        <v>2106</v>
      </c>
      <c r="Q179" s="149" t="s">
        <v>2107</v>
      </c>
      <c r="R179" s="149" t="s">
        <v>2713</v>
      </c>
      <c r="S179" s="149">
        <v>6.8900000000000003E-2</v>
      </c>
      <c r="T179" s="149">
        <v>6.7166000000000003E-2</v>
      </c>
      <c r="U179" s="70">
        <f t="shared" si="6"/>
        <v>1.7339999999999994E-3</v>
      </c>
      <c r="V179" s="149">
        <v>2.4209999999999998</v>
      </c>
      <c r="W179" s="149">
        <f>6.931</f>
        <v>6.931</v>
      </c>
      <c r="X179" s="149">
        <f t="shared" si="7"/>
        <v>16.779951000000001</v>
      </c>
      <c r="Y179" s="149"/>
    </row>
    <row r="180" spans="1:25" ht="16">
      <c r="A180" s="117" t="s">
        <v>3570</v>
      </c>
      <c r="B180" s="150" t="s">
        <v>18</v>
      </c>
      <c r="C180" s="149" t="s">
        <v>1744</v>
      </c>
      <c r="D180" s="149" t="str">
        <f t="shared" si="8"/>
        <v>COFFS</v>
      </c>
      <c r="E180" s="149" t="s">
        <v>2521</v>
      </c>
      <c r="F180" s="70">
        <v>-29.997240000000001</v>
      </c>
      <c r="G180" s="70">
        <v>153.14993100000001</v>
      </c>
      <c r="H180" s="70">
        <v>0</v>
      </c>
      <c r="I180" s="151">
        <v>42866</v>
      </c>
      <c r="J180" s="149" t="s">
        <v>2785</v>
      </c>
      <c r="K180" s="149" t="s">
        <v>177</v>
      </c>
      <c r="L180" s="149" t="s">
        <v>1687</v>
      </c>
      <c r="M180" s="149" t="s">
        <v>2564</v>
      </c>
      <c r="N180" s="149" t="s">
        <v>2565</v>
      </c>
      <c r="O180" s="149" t="s">
        <v>2733</v>
      </c>
      <c r="P180" s="149" t="s">
        <v>2733</v>
      </c>
      <c r="Q180" s="149" t="s">
        <v>2381</v>
      </c>
      <c r="R180" s="149" t="s">
        <v>2713</v>
      </c>
      <c r="S180" s="149">
        <v>6.9199999999999998E-2</v>
      </c>
      <c r="T180" s="149">
        <v>6.7166000000000003E-2</v>
      </c>
      <c r="U180" s="70">
        <f t="shared" si="6"/>
        <v>2.0339999999999941E-3</v>
      </c>
      <c r="V180" s="149">
        <v>2.23</v>
      </c>
      <c r="W180" s="149">
        <v>9.4760000000000009</v>
      </c>
      <c r="X180" s="149">
        <f t="shared" si="7"/>
        <v>21.131480000000003</v>
      </c>
      <c r="Y180" s="149"/>
    </row>
    <row r="181" spans="1:25" ht="16">
      <c r="A181" s="117" t="s">
        <v>3570</v>
      </c>
      <c r="B181" s="150" t="s">
        <v>23</v>
      </c>
      <c r="C181" s="149" t="s">
        <v>1744</v>
      </c>
      <c r="D181" s="149" t="str">
        <f t="shared" si="8"/>
        <v>COFFS</v>
      </c>
      <c r="E181" s="149" t="s">
        <v>2521</v>
      </c>
      <c r="F181" s="70">
        <v>-29.997240000000001</v>
      </c>
      <c r="G181" s="70">
        <v>153.14993100000001</v>
      </c>
      <c r="H181" s="70">
        <v>0</v>
      </c>
      <c r="I181" s="151">
        <v>42866</v>
      </c>
      <c r="J181" s="149" t="s">
        <v>2785</v>
      </c>
      <c r="K181" s="149" t="s">
        <v>177</v>
      </c>
      <c r="L181" s="149" t="s">
        <v>2566</v>
      </c>
      <c r="M181" s="149" t="s">
        <v>2567</v>
      </c>
      <c r="N181" s="149" t="s">
        <v>2668</v>
      </c>
      <c r="O181" s="149" t="s">
        <v>2600</v>
      </c>
      <c r="P181" s="149" t="s">
        <v>2735</v>
      </c>
      <c r="Q181" s="149" t="s">
        <v>2695</v>
      </c>
      <c r="R181" s="149" t="s">
        <v>2712</v>
      </c>
      <c r="S181" s="149">
        <v>6.9900000000000004E-2</v>
      </c>
      <c r="T181" s="149">
        <v>6.7166000000000003E-2</v>
      </c>
      <c r="U181" s="70">
        <f t="shared" si="6"/>
        <v>2.7340000000000003E-3</v>
      </c>
      <c r="V181" s="149">
        <v>2.3919999999999999</v>
      </c>
      <c r="W181" s="149">
        <f>4.169+5.253</f>
        <v>9.4220000000000006</v>
      </c>
      <c r="X181" s="149">
        <f t="shared" si="7"/>
        <v>22.537424000000001</v>
      </c>
      <c r="Y181" s="149"/>
    </row>
    <row r="182" spans="1:25" ht="16">
      <c r="A182" s="117" t="s">
        <v>3570</v>
      </c>
      <c r="B182" s="150" t="s">
        <v>26</v>
      </c>
      <c r="C182" s="149" t="s">
        <v>1744</v>
      </c>
      <c r="D182" s="149" t="str">
        <f t="shared" si="8"/>
        <v>COFFS</v>
      </c>
      <c r="E182" s="149" t="s">
        <v>2521</v>
      </c>
      <c r="F182" s="70">
        <v>-29.997240000000001</v>
      </c>
      <c r="G182" s="70">
        <v>153.14993100000001</v>
      </c>
      <c r="H182" s="70">
        <v>0</v>
      </c>
      <c r="I182" s="151">
        <v>42870</v>
      </c>
      <c r="J182" s="149" t="s">
        <v>2785</v>
      </c>
      <c r="K182" s="149" t="s">
        <v>177</v>
      </c>
      <c r="L182" s="149" t="s">
        <v>1687</v>
      </c>
      <c r="M182" s="149" t="s">
        <v>2563</v>
      </c>
      <c r="N182" s="149" t="s">
        <v>2568</v>
      </c>
      <c r="O182" s="149" t="s">
        <v>2734</v>
      </c>
      <c r="P182" s="149" t="s">
        <v>2736</v>
      </c>
      <c r="Q182" s="149" t="s">
        <v>2393</v>
      </c>
      <c r="R182" s="149" t="s">
        <v>2713</v>
      </c>
      <c r="S182" s="149">
        <v>0.10879999999999999</v>
      </c>
      <c r="T182" s="149">
        <v>6.7166000000000003E-2</v>
      </c>
      <c r="U182" s="70">
        <f t="shared" si="6"/>
        <v>4.163399999999999E-2</v>
      </c>
      <c r="V182" s="149">
        <v>5.61</v>
      </c>
      <c r="W182" s="149">
        <f>11.391+8.518</f>
        <v>19.908999999999999</v>
      </c>
      <c r="X182" s="149">
        <f t="shared" si="7"/>
        <v>111.68949000000001</v>
      </c>
      <c r="Y182" s="149"/>
    </row>
    <row r="183" spans="1:25" ht="16">
      <c r="A183" s="117" t="s">
        <v>3570</v>
      </c>
      <c r="B183" s="150" t="s">
        <v>27</v>
      </c>
      <c r="C183" s="149" t="s">
        <v>1744</v>
      </c>
      <c r="D183" s="149" t="str">
        <f t="shared" si="8"/>
        <v>COFFS</v>
      </c>
      <c r="E183" s="149" t="s">
        <v>2521</v>
      </c>
      <c r="F183" s="70">
        <v>-29.997240000000001</v>
      </c>
      <c r="G183" s="70">
        <v>153.14993100000001</v>
      </c>
      <c r="H183" s="70">
        <v>0</v>
      </c>
      <c r="I183" s="151">
        <v>42870</v>
      </c>
      <c r="J183" s="149" t="s">
        <v>2785</v>
      </c>
      <c r="K183" s="149" t="s">
        <v>177</v>
      </c>
      <c r="L183" s="149" t="s">
        <v>1687</v>
      </c>
      <c r="M183" s="149" t="s">
        <v>2563</v>
      </c>
      <c r="N183" s="149" t="s">
        <v>2568</v>
      </c>
      <c r="O183" s="149" t="s">
        <v>2734</v>
      </c>
      <c r="P183" s="149" t="s">
        <v>2736</v>
      </c>
      <c r="Q183" s="149" t="s">
        <v>2391</v>
      </c>
      <c r="R183" s="149" t="s">
        <v>2713</v>
      </c>
      <c r="S183" s="149">
        <v>9.7100000000000006E-2</v>
      </c>
      <c r="T183" s="149">
        <v>6.7166000000000003E-2</v>
      </c>
      <c r="U183" s="70">
        <f t="shared" si="6"/>
        <v>2.9934000000000002E-2</v>
      </c>
      <c r="V183" s="149">
        <v>5.3230000000000004</v>
      </c>
      <c r="W183" s="149">
        <f>8.955+7.811</f>
        <v>16.765999999999998</v>
      </c>
      <c r="X183" s="149">
        <f t="shared" si="7"/>
        <v>89.245418000000001</v>
      </c>
      <c r="Y183" s="149"/>
    </row>
    <row r="184" spans="1:25" ht="16">
      <c r="A184" s="117" t="s">
        <v>3570</v>
      </c>
      <c r="B184" s="150" t="s">
        <v>30</v>
      </c>
      <c r="C184" s="149" t="s">
        <v>1744</v>
      </c>
      <c r="D184" s="149" t="str">
        <f t="shared" si="8"/>
        <v>COFFS</v>
      </c>
      <c r="E184" s="149" t="s">
        <v>2521</v>
      </c>
      <c r="F184" s="70">
        <v>-29.997240000000001</v>
      </c>
      <c r="G184" s="70">
        <v>153.14993100000001</v>
      </c>
      <c r="H184" s="70">
        <v>0</v>
      </c>
      <c r="I184" s="151">
        <v>42870</v>
      </c>
      <c r="J184" s="149" t="s">
        <v>2785</v>
      </c>
      <c r="K184" s="149" t="s">
        <v>177</v>
      </c>
      <c r="L184" s="149" t="s">
        <v>1687</v>
      </c>
      <c r="M184" s="149" t="s">
        <v>2564</v>
      </c>
      <c r="N184" s="149" t="s">
        <v>2565</v>
      </c>
      <c r="O184" s="149" t="s">
        <v>2095</v>
      </c>
      <c r="P184" s="149" t="s">
        <v>2095</v>
      </c>
      <c r="Q184" s="149" t="s">
        <v>2686</v>
      </c>
      <c r="R184" s="149" t="s">
        <v>2713</v>
      </c>
      <c r="S184" s="149">
        <v>7.0400000000000004E-2</v>
      </c>
      <c r="T184" s="149">
        <v>6.7166000000000003E-2</v>
      </c>
      <c r="U184" s="70">
        <f t="shared" si="6"/>
        <v>3.2340000000000008E-3</v>
      </c>
      <c r="V184" s="149">
        <v>2.601</v>
      </c>
      <c r="W184" s="149">
        <f>6.235+4.324</f>
        <v>10.559000000000001</v>
      </c>
      <c r="X184" s="149">
        <f t="shared" si="7"/>
        <v>27.463959000000003</v>
      </c>
      <c r="Y184" s="149"/>
    </row>
    <row r="185" spans="1:25" ht="16">
      <c r="A185" s="117" t="s">
        <v>3570</v>
      </c>
      <c r="B185" s="150" t="s">
        <v>31</v>
      </c>
      <c r="C185" s="149" t="s">
        <v>1744</v>
      </c>
      <c r="D185" s="149" t="str">
        <f t="shared" si="8"/>
        <v>COFFS</v>
      </c>
      <c r="E185" s="149" t="s">
        <v>2525</v>
      </c>
      <c r="F185" s="160">
        <v>-30.016062000000002</v>
      </c>
      <c r="G185" s="70">
        <v>153.12394800000001</v>
      </c>
      <c r="H185" s="70">
        <v>0</v>
      </c>
      <c r="I185" s="151">
        <v>42866</v>
      </c>
      <c r="J185" s="149" t="s">
        <v>36</v>
      </c>
      <c r="K185" s="149" t="s">
        <v>154</v>
      </c>
      <c r="L185" s="149" t="s">
        <v>2566</v>
      </c>
      <c r="M185" s="149" t="s">
        <v>2567</v>
      </c>
      <c r="N185" s="149" t="s">
        <v>2668</v>
      </c>
      <c r="O185" s="149" t="s">
        <v>2105</v>
      </c>
      <c r="P185" s="140" t="s">
        <v>2105</v>
      </c>
      <c r="Q185" s="149" t="s">
        <v>2387</v>
      </c>
      <c r="R185" s="149" t="s">
        <v>2712</v>
      </c>
      <c r="S185" s="149">
        <v>5.0000000000000001E-4</v>
      </c>
      <c r="T185" s="149">
        <v>0</v>
      </c>
      <c r="U185" s="70">
        <f t="shared" si="6"/>
        <v>5.0000000000000001E-4</v>
      </c>
      <c r="V185" s="149">
        <v>1.369</v>
      </c>
      <c r="W185" s="149">
        <f>2.555+2.929</f>
        <v>5.484</v>
      </c>
      <c r="X185" s="149">
        <f t="shared" si="7"/>
        <v>7.5075960000000004</v>
      </c>
      <c r="Y185" s="149"/>
    </row>
    <row r="186" spans="1:25" ht="16">
      <c r="A186" s="117" t="s">
        <v>3570</v>
      </c>
      <c r="B186" s="150" t="s">
        <v>37</v>
      </c>
      <c r="C186" s="149" t="s">
        <v>1744</v>
      </c>
      <c r="D186" s="149" t="str">
        <f t="shared" si="8"/>
        <v>COFFS</v>
      </c>
      <c r="E186" s="149" t="s">
        <v>2527</v>
      </c>
      <c r="F186" s="160">
        <v>-30.011327999999999</v>
      </c>
      <c r="G186" s="70">
        <v>153.150711</v>
      </c>
      <c r="H186" s="70">
        <v>0</v>
      </c>
      <c r="I186" s="151">
        <v>42866</v>
      </c>
      <c r="J186" s="149" t="s">
        <v>2098</v>
      </c>
      <c r="K186" s="149" t="s">
        <v>177</v>
      </c>
      <c r="L186" s="149" t="s">
        <v>2569</v>
      </c>
      <c r="M186" s="149" t="s">
        <v>2570</v>
      </c>
      <c r="N186" s="149" t="s">
        <v>2571</v>
      </c>
      <c r="O186" s="149" t="s">
        <v>2369</v>
      </c>
      <c r="P186" s="149" t="s">
        <v>2737</v>
      </c>
      <c r="Q186" s="149" t="s">
        <v>2394</v>
      </c>
      <c r="R186" s="149" t="s">
        <v>2712</v>
      </c>
      <c r="S186" s="149">
        <v>9.2399999999999996E-2</v>
      </c>
      <c r="T186" s="149">
        <v>6.7166000000000003E-2</v>
      </c>
      <c r="U186" s="70">
        <f t="shared" si="6"/>
        <v>2.5233999999999993E-2</v>
      </c>
      <c r="V186" s="149">
        <v>5.1970000000000001</v>
      </c>
      <c r="W186" s="149">
        <f>6.671+9.217</f>
        <v>15.888000000000002</v>
      </c>
      <c r="X186" s="149">
        <f t="shared" si="7"/>
        <v>82.569936000000013</v>
      </c>
      <c r="Y186" s="149"/>
    </row>
    <row r="187" spans="1:25" ht="16">
      <c r="A187" s="117" t="s">
        <v>3570</v>
      </c>
      <c r="B187" s="150" t="s">
        <v>38</v>
      </c>
      <c r="C187" s="149" t="s">
        <v>1744</v>
      </c>
      <c r="D187" s="149" t="str">
        <f t="shared" si="8"/>
        <v>COFFS</v>
      </c>
      <c r="E187" s="149" t="s">
        <v>2523</v>
      </c>
      <c r="F187" s="160">
        <v>-30.011327999999999</v>
      </c>
      <c r="G187" s="70">
        <v>153.150711</v>
      </c>
      <c r="H187" s="70">
        <v>0</v>
      </c>
      <c r="I187" s="151">
        <v>42866</v>
      </c>
      <c r="J187" s="149" t="s">
        <v>2098</v>
      </c>
      <c r="K187" s="149" t="s">
        <v>177</v>
      </c>
      <c r="L187" s="149" t="s">
        <v>2569</v>
      </c>
      <c r="M187" s="149" t="s">
        <v>2570</v>
      </c>
      <c r="N187" s="149" t="s">
        <v>2571</v>
      </c>
      <c r="O187" s="149" t="s">
        <v>2369</v>
      </c>
      <c r="P187" s="149" t="s">
        <v>2737</v>
      </c>
      <c r="Q187" s="149" t="s">
        <v>2394</v>
      </c>
      <c r="R187" s="149" t="s">
        <v>2712</v>
      </c>
      <c r="S187" s="149">
        <v>8.8800000000000004E-2</v>
      </c>
      <c r="T187" s="149">
        <v>6.7166000000000003E-2</v>
      </c>
      <c r="U187" s="70">
        <f t="shared" si="6"/>
        <v>2.1634E-2</v>
      </c>
      <c r="V187" s="149">
        <v>5.1180000000000003</v>
      </c>
      <c r="W187" s="149">
        <v>15.803000000000001</v>
      </c>
      <c r="X187" s="149">
        <f t="shared" si="7"/>
        <v>80.879754000000005</v>
      </c>
      <c r="Y187" s="149"/>
    </row>
    <row r="188" spans="1:25" ht="16">
      <c r="A188" s="117" t="s">
        <v>3570</v>
      </c>
      <c r="B188" s="150" t="s">
        <v>41</v>
      </c>
      <c r="C188" s="149" t="s">
        <v>1744</v>
      </c>
      <c r="D188" s="149" t="str">
        <f t="shared" si="8"/>
        <v>COFFS</v>
      </c>
      <c r="E188" s="149" t="s">
        <v>2528</v>
      </c>
      <c r="F188" s="160">
        <v>-30.016062000000002</v>
      </c>
      <c r="G188" s="70">
        <v>153.12394800000001</v>
      </c>
      <c r="H188" s="70">
        <v>0</v>
      </c>
      <c r="I188" s="151">
        <v>42866</v>
      </c>
      <c r="J188" s="149" t="s">
        <v>2098</v>
      </c>
      <c r="K188" s="149" t="s">
        <v>177</v>
      </c>
      <c r="L188" s="149" t="s">
        <v>2566</v>
      </c>
      <c r="M188" s="149" t="s">
        <v>2567</v>
      </c>
      <c r="N188" s="149" t="s">
        <v>2668</v>
      </c>
      <c r="O188" s="149" t="s">
        <v>2105</v>
      </c>
      <c r="P188" s="140" t="s">
        <v>2105</v>
      </c>
      <c r="Q188" s="149" t="s">
        <v>2387</v>
      </c>
      <c r="R188" s="149" t="s">
        <v>2713</v>
      </c>
      <c r="S188" s="149">
        <v>1.8E-3</v>
      </c>
      <c r="T188" s="149">
        <v>0</v>
      </c>
      <c r="U188" s="70">
        <f t="shared" si="6"/>
        <v>1.8E-3</v>
      </c>
      <c r="V188" s="149">
        <v>1.496</v>
      </c>
      <c r="W188" s="149">
        <v>7.0549999999999997</v>
      </c>
      <c r="X188" s="149">
        <f t="shared" si="7"/>
        <v>10.55428</v>
      </c>
      <c r="Y188" s="149"/>
    </row>
    <row r="189" spans="1:25" ht="16">
      <c r="A189" s="117" t="s">
        <v>3570</v>
      </c>
      <c r="B189" s="150" t="s">
        <v>43</v>
      </c>
      <c r="C189" s="149" t="s">
        <v>1744</v>
      </c>
      <c r="D189" s="149" t="str">
        <f t="shared" si="8"/>
        <v>COFFS</v>
      </c>
      <c r="E189" s="149" t="s">
        <v>2523</v>
      </c>
      <c r="F189" s="160">
        <v>-30.011327999999999</v>
      </c>
      <c r="G189" s="70">
        <v>153.150711</v>
      </c>
      <c r="H189" s="70">
        <v>0</v>
      </c>
      <c r="I189" s="151">
        <v>42866</v>
      </c>
      <c r="J189" s="149" t="s">
        <v>2098</v>
      </c>
      <c r="K189" s="149" t="s">
        <v>177</v>
      </c>
      <c r="L189" s="149" t="s">
        <v>2569</v>
      </c>
      <c r="M189" s="149" t="s">
        <v>2570</v>
      </c>
      <c r="N189" s="149" t="s">
        <v>2571</v>
      </c>
      <c r="O189" s="149" t="s">
        <v>2369</v>
      </c>
      <c r="P189" s="149" t="s">
        <v>2737</v>
      </c>
      <c r="Q189" s="149" t="s">
        <v>2394</v>
      </c>
      <c r="R189" s="149" t="s">
        <v>2712</v>
      </c>
      <c r="S189" s="149">
        <v>8.7999999999999995E-2</v>
      </c>
      <c r="T189" s="149">
        <v>6.7166000000000003E-2</v>
      </c>
      <c r="U189" s="70">
        <f t="shared" si="6"/>
        <v>2.0833999999999991E-2</v>
      </c>
      <c r="V189" s="149">
        <v>4.798</v>
      </c>
      <c r="W189" s="149">
        <v>15.225</v>
      </c>
      <c r="X189" s="149">
        <f t="shared" si="7"/>
        <v>73.049549999999996</v>
      </c>
      <c r="Y189" s="149"/>
    </row>
    <row r="190" spans="1:25" ht="16">
      <c r="A190" s="117" t="s">
        <v>3570</v>
      </c>
      <c r="B190" s="150" t="s">
        <v>44</v>
      </c>
      <c r="C190" s="149" t="s">
        <v>1744</v>
      </c>
      <c r="D190" s="149" t="str">
        <f t="shared" si="8"/>
        <v>COFFS</v>
      </c>
      <c r="E190" s="149" t="s">
        <v>2529</v>
      </c>
      <c r="F190" s="70">
        <v>-29.997240000000001</v>
      </c>
      <c r="G190" s="70">
        <v>153.14993100000001</v>
      </c>
      <c r="H190" s="70">
        <v>0</v>
      </c>
      <c r="I190" s="151">
        <v>42866</v>
      </c>
      <c r="J190" s="149" t="s">
        <v>2785</v>
      </c>
      <c r="K190" s="149" t="s">
        <v>177</v>
      </c>
      <c r="L190" s="149" t="s">
        <v>1687</v>
      </c>
      <c r="M190" s="149" t="s">
        <v>2564</v>
      </c>
      <c r="N190" s="149" t="s">
        <v>2565</v>
      </c>
      <c r="O190" s="149" t="s">
        <v>2733</v>
      </c>
      <c r="P190" s="149" t="s">
        <v>2733</v>
      </c>
      <c r="Q190" s="149" t="s">
        <v>2381</v>
      </c>
      <c r="R190" s="149" t="s">
        <v>2713</v>
      </c>
      <c r="S190" s="149">
        <v>7.0300000000000001E-2</v>
      </c>
      <c r="T190" s="149">
        <v>6.7166000000000003E-2</v>
      </c>
      <c r="U190" s="70">
        <f t="shared" si="6"/>
        <v>3.1339999999999979E-3</v>
      </c>
      <c r="V190" s="149">
        <v>2.254</v>
      </c>
      <c r="W190" s="149">
        <v>10.516999999999999</v>
      </c>
      <c r="X190" s="149">
        <f t="shared" si="7"/>
        <v>23.705317999999998</v>
      </c>
      <c r="Y190" s="149"/>
    </row>
    <row r="191" spans="1:25" ht="16">
      <c r="A191" s="117" t="s">
        <v>3570</v>
      </c>
      <c r="B191" s="150" t="s">
        <v>45</v>
      </c>
      <c r="C191" s="149" t="s">
        <v>1744</v>
      </c>
      <c r="D191" s="149" t="str">
        <f t="shared" si="8"/>
        <v>COFFS</v>
      </c>
      <c r="E191" s="149" t="s">
        <v>2522</v>
      </c>
      <c r="F191" s="160">
        <v>-29.943010999999998</v>
      </c>
      <c r="G191" s="70">
        <v>153.12657400000001</v>
      </c>
      <c r="H191" s="70">
        <v>0</v>
      </c>
      <c r="I191" s="151">
        <v>42866</v>
      </c>
      <c r="J191" s="149" t="s">
        <v>36</v>
      </c>
      <c r="K191" s="149" t="s">
        <v>154</v>
      </c>
      <c r="L191" s="149" t="s">
        <v>2566</v>
      </c>
      <c r="M191" s="149" t="s">
        <v>2567</v>
      </c>
      <c r="N191" s="149" t="s">
        <v>2668</v>
      </c>
      <c r="O191" s="149" t="s">
        <v>2600</v>
      </c>
      <c r="P191" s="149" t="s">
        <v>2735</v>
      </c>
      <c r="Q191" s="149" t="s">
        <v>2695</v>
      </c>
      <c r="R191" s="149" t="s">
        <v>2712</v>
      </c>
      <c r="S191" s="149">
        <v>6.9900000000000004E-2</v>
      </c>
      <c r="T191" s="149">
        <v>6.7166000000000003E-2</v>
      </c>
      <c r="U191" s="70">
        <f t="shared" si="6"/>
        <v>2.7340000000000003E-3</v>
      </c>
      <c r="V191" s="149">
        <v>2.2090000000000001</v>
      </c>
      <c r="W191" s="149">
        <f>4.216+4.531</f>
        <v>8.7469999999999999</v>
      </c>
      <c r="X191" s="149">
        <f t="shared" si="7"/>
        <v>19.322123000000001</v>
      </c>
      <c r="Y191" s="149"/>
    </row>
    <row r="192" spans="1:25" ht="16">
      <c r="A192" s="117" t="s">
        <v>3570</v>
      </c>
      <c r="B192" s="150" t="s">
        <v>46</v>
      </c>
      <c r="C192" s="149" t="s">
        <v>1744</v>
      </c>
      <c r="D192" s="149" t="str">
        <f t="shared" si="8"/>
        <v>COFFS</v>
      </c>
      <c r="E192" s="149" t="s">
        <v>2522</v>
      </c>
      <c r="F192" s="160">
        <v>-29.943010999999998</v>
      </c>
      <c r="G192" s="70">
        <v>153.12657400000001</v>
      </c>
      <c r="H192" s="70">
        <v>0</v>
      </c>
      <c r="I192" s="151">
        <v>42866</v>
      </c>
      <c r="J192" s="149" t="s">
        <v>36</v>
      </c>
      <c r="K192" s="149" t="s">
        <v>154</v>
      </c>
      <c r="L192" s="149" t="s">
        <v>2566</v>
      </c>
      <c r="M192" s="149" t="s">
        <v>2567</v>
      </c>
      <c r="N192" s="149" t="s">
        <v>2668</v>
      </c>
      <c r="O192" s="149" t="s">
        <v>2600</v>
      </c>
      <c r="P192" s="149" t="s">
        <v>2735</v>
      </c>
      <c r="Q192" s="149" t="s">
        <v>2384</v>
      </c>
      <c r="R192" s="149" t="s">
        <v>2713</v>
      </c>
      <c r="S192" s="149">
        <v>7.2999999999999995E-2</v>
      </c>
      <c r="T192" s="149">
        <v>6.7166000000000003E-2</v>
      </c>
      <c r="U192" s="70">
        <f t="shared" si="6"/>
        <v>5.833999999999992E-3</v>
      </c>
      <c r="V192" s="149">
        <v>2.6829999999999998</v>
      </c>
      <c r="W192" s="149">
        <f>6.098+5.59</f>
        <v>11.687999999999999</v>
      </c>
      <c r="X192" s="149">
        <f t="shared" si="7"/>
        <v>31.358903999999995</v>
      </c>
      <c r="Y192" s="149"/>
    </row>
    <row r="193" spans="1:25" ht="16">
      <c r="A193" s="117" t="s">
        <v>3570</v>
      </c>
      <c r="B193" s="150" t="s">
        <v>51</v>
      </c>
      <c r="C193" s="149" t="s">
        <v>1744</v>
      </c>
      <c r="D193" s="149" t="str">
        <f t="shared" si="8"/>
        <v>COFFS</v>
      </c>
      <c r="E193" s="149" t="s">
        <v>2528</v>
      </c>
      <c r="F193" s="160">
        <v>-30.016062000000002</v>
      </c>
      <c r="G193" s="70">
        <v>153.12394800000001</v>
      </c>
      <c r="H193" s="70">
        <v>0</v>
      </c>
      <c r="I193" s="151">
        <v>42866</v>
      </c>
      <c r="J193" s="149" t="s">
        <v>2785</v>
      </c>
      <c r="K193" s="149" t="s">
        <v>177</v>
      </c>
      <c r="L193" s="149" t="s">
        <v>1687</v>
      </c>
      <c r="M193" s="149" t="s">
        <v>2564</v>
      </c>
      <c r="N193" s="149" t="s">
        <v>2565</v>
      </c>
      <c r="O193" s="149" t="s">
        <v>2733</v>
      </c>
      <c r="P193" s="149" t="s">
        <v>2733</v>
      </c>
      <c r="Q193" s="149" t="s">
        <v>2381</v>
      </c>
      <c r="R193" s="149" t="s">
        <v>2713</v>
      </c>
      <c r="S193" s="149">
        <v>7.0199999999999999E-2</v>
      </c>
      <c r="T193" s="149">
        <v>6.7166000000000003E-2</v>
      </c>
      <c r="U193" s="70">
        <f t="shared" si="6"/>
        <v>3.033999999999995E-3</v>
      </c>
      <c r="V193" s="149">
        <v>1.8660000000000001</v>
      </c>
      <c r="W193" s="149">
        <v>8.9939999999999998</v>
      </c>
      <c r="X193" s="149">
        <f t="shared" si="7"/>
        <v>16.782804000000002</v>
      </c>
      <c r="Y193" s="149"/>
    </row>
    <row r="194" spans="1:25" ht="16">
      <c r="A194" s="117" t="s">
        <v>3570</v>
      </c>
      <c r="B194" s="150" t="s">
        <v>52</v>
      </c>
      <c r="C194" s="149" t="s">
        <v>1744</v>
      </c>
      <c r="D194" s="149" t="str">
        <f t="shared" si="8"/>
        <v>COFFS</v>
      </c>
      <c r="E194" s="149" t="s">
        <v>2528</v>
      </c>
      <c r="F194" s="160">
        <v>-30.016062000000002</v>
      </c>
      <c r="G194" s="70">
        <v>153.12394800000001</v>
      </c>
      <c r="H194" s="70">
        <v>0</v>
      </c>
      <c r="I194" s="151">
        <v>42866</v>
      </c>
      <c r="J194" s="149" t="s">
        <v>2785</v>
      </c>
      <c r="K194" s="149" t="s">
        <v>177</v>
      </c>
      <c r="L194" s="149" t="s">
        <v>2566</v>
      </c>
      <c r="M194" s="149" t="s">
        <v>2567</v>
      </c>
      <c r="N194" s="149" t="s">
        <v>2668</v>
      </c>
      <c r="O194" s="149" t="s">
        <v>2105</v>
      </c>
      <c r="P194" s="140" t="s">
        <v>2105</v>
      </c>
      <c r="Q194" s="149" t="s">
        <v>2387</v>
      </c>
      <c r="R194" s="149" t="s">
        <v>2713</v>
      </c>
      <c r="S194" s="149">
        <v>1.6999999999999999E-3</v>
      </c>
      <c r="T194" s="149">
        <v>0</v>
      </c>
      <c r="U194" s="70">
        <f t="shared" si="6"/>
        <v>1.6999999999999999E-3</v>
      </c>
      <c r="V194" s="149">
        <v>1.619</v>
      </c>
      <c r="W194" s="149">
        <f>3.687+3.268</f>
        <v>6.9550000000000001</v>
      </c>
      <c r="X194" s="149">
        <f t="shared" si="7"/>
        <v>11.260145</v>
      </c>
      <c r="Y194" s="149"/>
    </row>
    <row r="195" spans="1:25" ht="16">
      <c r="A195" s="117" t="s">
        <v>3570</v>
      </c>
      <c r="B195" s="150" t="s">
        <v>54</v>
      </c>
      <c r="C195" s="149" t="s">
        <v>1744</v>
      </c>
      <c r="D195" s="149" t="str">
        <f t="shared" si="8"/>
        <v>COFFS</v>
      </c>
      <c r="E195" s="149" t="s">
        <v>2522</v>
      </c>
      <c r="F195" s="160">
        <v>-29.943010999999998</v>
      </c>
      <c r="G195" s="70">
        <v>153.12657400000001</v>
      </c>
      <c r="H195" s="70">
        <v>0</v>
      </c>
      <c r="I195" s="151">
        <v>42866</v>
      </c>
      <c r="J195" s="149" t="s">
        <v>2785</v>
      </c>
      <c r="K195" s="149" t="s">
        <v>177</v>
      </c>
      <c r="L195" s="149" t="s">
        <v>2572</v>
      </c>
      <c r="M195" s="149" t="s">
        <v>2573</v>
      </c>
      <c r="N195" s="149" t="s">
        <v>36</v>
      </c>
      <c r="O195" s="149" t="s">
        <v>2606</v>
      </c>
      <c r="P195" s="149" t="s">
        <v>2741</v>
      </c>
      <c r="Q195" s="149" t="s">
        <v>2375</v>
      </c>
      <c r="R195" s="149" t="s">
        <v>2713</v>
      </c>
      <c r="S195" s="149">
        <v>6.9500000000000006E-2</v>
      </c>
      <c r="T195" s="149">
        <v>6.7166000000000003E-2</v>
      </c>
      <c r="U195" s="70">
        <f t="shared" si="6"/>
        <v>2.3340000000000027E-3</v>
      </c>
      <c r="V195" s="149">
        <v>1.823</v>
      </c>
      <c r="W195" s="149">
        <f>3.604+4.259</f>
        <v>7.8630000000000004</v>
      </c>
      <c r="X195" s="149">
        <f t="shared" si="7"/>
        <v>14.334249</v>
      </c>
      <c r="Y195" s="149"/>
    </row>
    <row r="196" spans="1:25" ht="16">
      <c r="A196" s="117" t="s">
        <v>3570</v>
      </c>
      <c r="B196" s="150" t="s">
        <v>55</v>
      </c>
      <c r="C196" s="149" t="s">
        <v>1744</v>
      </c>
      <c r="D196" s="149" t="str">
        <f t="shared" si="8"/>
        <v>COFFS</v>
      </c>
      <c r="E196" s="149" t="s">
        <v>2522</v>
      </c>
      <c r="F196" s="160">
        <v>-29.943010999999998</v>
      </c>
      <c r="G196" s="70">
        <v>153.12657400000001</v>
      </c>
      <c r="H196" s="70">
        <v>0</v>
      </c>
      <c r="I196" s="151">
        <v>42870</v>
      </c>
      <c r="J196" s="149" t="s">
        <v>2785</v>
      </c>
      <c r="K196" s="149" t="s">
        <v>177</v>
      </c>
      <c r="L196" s="149" t="s">
        <v>2566</v>
      </c>
      <c r="M196" s="149" t="s">
        <v>2567</v>
      </c>
      <c r="N196" s="149" t="s">
        <v>2668</v>
      </c>
      <c r="O196" s="149" t="s">
        <v>2600</v>
      </c>
      <c r="P196" s="149" t="s">
        <v>2735</v>
      </c>
      <c r="Q196" s="149" t="s">
        <v>2384</v>
      </c>
      <c r="R196" s="149" t="s">
        <v>2713</v>
      </c>
      <c r="S196" s="149">
        <v>7.7600000000000002E-2</v>
      </c>
      <c r="T196" s="149">
        <v>6.7166000000000003E-2</v>
      </c>
      <c r="U196" s="70">
        <f t="shared" si="6"/>
        <v>1.0433999999999999E-2</v>
      </c>
      <c r="V196" s="149">
        <v>3.3730000000000002</v>
      </c>
      <c r="W196" s="149">
        <v>13.066000000000001</v>
      </c>
      <c r="X196" s="149">
        <f t="shared" si="7"/>
        <v>44.071618000000008</v>
      </c>
      <c r="Y196" s="149"/>
    </row>
    <row r="197" spans="1:25" ht="16">
      <c r="A197" s="117" t="s">
        <v>3570</v>
      </c>
      <c r="B197" s="150" t="s">
        <v>56</v>
      </c>
      <c r="C197" s="149" t="s">
        <v>1744</v>
      </c>
      <c r="D197" s="149" t="str">
        <f t="shared" si="8"/>
        <v>COFFS</v>
      </c>
      <c r="E197" s="149" t="s">
        <v>2522</v>
      </c>
      <c r="F197" s="160">
        <v>-29.943010999999998</v>
      </c>
      <c r="G197" s="70">
        <v>153.12657400000001</v>
      </c>
      <c r="H197" s="70">
        <v>0</v>
      </c>
      <c r="I197" s="151">
        <v>42870</v>
      </c>
      <c r="J197" s="149" t="s">
        <v>2785</v>
      </c>
      <c r="K197" s="149" t="s">
        <v>177</v>
      </c>
      <c r="L197" s="149" t="s">
        <v>2566</v>
      </c>
      <c r="M197" s="149" t="s">
        <v>2567</v>
      </c>
      <c r="N197" s="149" t="s">
        <v>2668</v>
      </c>
      <c r="O197" s="149" t="s">
        <v>2600</v>
      </c>
      <c r="P197" s="149" t="s">
        <v>2735</v>
      </c>
      <c r="Q197" s="149" t="s">
        <v>2384</v>
      </c>
      <c r="R197" s="149" t="s">
        <v>2713</v>
      </c>
      <c r="S197" s="149">
        <v>7.6200000000000004E-2</v>
      </c>
      <c r="T197" s="149">
        <v>6.7166000000000003E-2</v>
      </c>
      <c r="U197" s="70">
        <f t="shared" si="6"/>
        <v>9.0340000000000004E-3</v>
      </c>
      <c r="V197" s="149">
        <v>3.5059999999999998</v>
      </c>
      <c r="W197" s="149">
        <f>11.219</f>
        <v>11.218999999999999</v>
      </c>
      <c r="X197" s="149">
        <f t="shared" si="7"/>
        <v>39.333813999999997</v>
      </c>
      <c r="Y197" s="149"/>
    </row>
    <row r="198" spans="1:25" ht="16">
      <c r="A198" s="117" t="s">
        <v>3570</v>
      </c>
      <c r="B198" s="150" t="s">
        <v>57</v>
      </c>
      <c r="C198" s="149" t="s">
        <v>1744</v>
      </c>
      <c r="D198" s="149" t="str">
        <f t="shared" si="8"/>
        <v>COFFS</v>
      </c>
      <c r="E198" s="149" t="s">
        <v>2521</v>
      </c>
      <c r="F198" s="70">
        <v>-29.997240000000001</v>
      </c>
      <c r="G198" s="70">
        <v>153.14993100000001</v>
      </c>
      <c r="H198" s="70">
        <v>0</v>
      </c>
      <c r="I198" s="151">
        <v>42866</v>
      </c>
      <c r="J198" s="149" t="s">
        <v>2785</v>
      </c>
      <c r="K198" s="149" t="s">
        <v>177</v>
      </c>
      <c r="L198" s="149" t="s">
        <v>2566</v>
      </c>
      <c r="M198" s="149" t="s">
        <v>2567</v>
      </c>
      <c r="N198" s="149" t="s">
        <v>2668</v>
      </c>
      <c r="O198" s="149" t="s">
        <v>2600</v>
      </c>
      <c r="P198" s="149" t="s">
        <v>2735</v>
      </c>
      <c r="Q198" s="149" t="s">
        <v>2695</v>
      </c>
      <c r="R198" s="149" t="s">
        <v>2712</v>
      </c>
      <c r="S198" s="149">
        <v>7.0300000000000001E-2</v>
      </c>
      <c r="T198" s="149">
        <v>6.7166000000000003E-2</v>
      </c>
      <c r="U198" s="70">
        <f t="shared" si="6"/>
        <v>3.1339999999999979E-3</v>
      </c>
      <c r="V198" s="149">
        <v>2.2069999999999999</v>
      </c>
      <c r="W198" s="149">
        <f>3.542+4.707</f>
        <v>8.2489999999999988</v>
      </c>
      <c r="X198" s="149">
        <f t="shared" si="7"/>
        <v>18.205542999999995</v>
      </c>
      <c r="Y198" s="149"/>
    </row>
    <row r="199" spans="1:25" ht="16">
      <c r="A199" s="117" t="s">
        <v>3570</v>
      </c>
      <c r="B199" s="150" t="s">
        <v>59</v>
      </c>
      <c r="C199" s="149" t="s">
        <v>1744</v>
      </c>
      <c r="D199" s="149" t="str">
        <f t="shared" si="8"/>
        <v>COFFS</v>
      </c>
      <c r="E199" s="149" t="s">
        <v>2530</v>
      </c>
      <c r="F199" s="160">
        <v>-30.016062000000002</v>
      </c>
      <c r="G199" s="70">
        <v>153.12394800000001</v>
      </c>
      <c r="H199" s="70">
        <v>0</v>
      </c>
      <c r="I199" s="151">
        <v>42866</v>
      </c>
      <c r="J199" s="149" t="s">
        <v>2098</v>
      </c>
      <c r="K199" s="149" t="s">
        <v>177</v>
      </c>
      <c r="L199" s="149" t="s">
        <v>2572</v>
      </c>
      <c r="M199" s="149" t="s">
        <v>2573</v>
      </c>
      <c r="N199" s="149" t="s">
        <v>36</v>
      </c>
      <c r="O199" s="149" t="s">
        <v>2606</v>
      </c>
      <c r="P199" s="149" t="s">
        <v>2738</v>
      </c>
      <c r="Q199" s="149" t="s">
        <v>2374</v>
      </c>
      <c r="R199" s="149" t="s">
        <v>2713</v>
      </c>
      <c r="S199" s="149">
        <v>7.5700000000000003E-2</v>
      </c>
      <c r="T199" s="149">
        <v>6.7166000000000003E-2</v>
      </c>
      <c r="U199" s="70">
        <f t="shared" si="6"/>
        <v>8.5339999999999999E-3</v>
      </c>
      <c r="V199" s="149">
        <v>3.1339999999999999</v>
      </c>
      <c r="W199" s="149">
        <f>5.335+6.467</f>
        <v>11.802</v>
      </c>
      <c r="X199" s="149">
        <f t="shared" si="7"/>
        <v>36.987468</v>
      </c>
      <c r="Y199" s="149"/>
    </row>
    <row r="200" spans="1:25" ht="16">
      <c r="A200" s="117" t="s">
        <v>3570</v>
      </c>
      <c r="B200" s="150" t="s">
        <v>62</v>
      </c>
      <c r="C200" s="149" t="s">
        <v>1744</v>
      </c>
      <c r="D200" s="149" t="str">
        <f t="shared" si="8"/>
        <v>COFFS</v>
      </c>
      <c r="E200" s="149" t="s">
        <v>2532</v>
      </c>
      <c r="F200" s="160">
        <v>-30.004933000000001</v>
      </c>
      <c r="G200" s="70">
        <v>153.09672599999999</v>
      </c>
      <c r="H200" s="70">
        <v>0</v>
      </c>
      <c r="I200" s="151">
        <v>42871</v>
      </c>
      <c r="J200" s="149" t="s">
        <v>36</v>
      </c>
      <c r="K200" s="149" t="s">
        <v>154</v>
      </c>
      <c r="L200" s="149" t="s">
        <v>2566</v>
      </c>
      <c r="M200" s="149" t="s">
        <v>2574</v>
      </c>
      <c r="N200" s="140" t="s">
        <v>3191</v>
      </c>
      <c r="O200" s="149" t="s">
        <v>2111</v>
      </c>
      <c r="P200" s="149" t="s">
        <v>2739</v>
      </c>
      <c r="Q200" s="149" t="s">
        <v>2401</v>
      </c>
      <c r="R200" s="149" t="s">
        <v>2713</v>
      </c>
      <c r="S200" s="149">
        <v>7.0099999999999996E-2</v>
      </c>
      <c r="T200" s="149">
        <v>6.7166000000000003E-2</v>
      </c>
      <c r="U200" s="70">
        <f t="shared" si="6"/>
        <v>2.9339999999999922E-3</v>
      </c>
      <c r="V200" s="149">
        <v>2.6739999999999999</v>
      </c>
      <c r="W200" s="149">
        <f>5.797+5.139</f>
        <v>10.936</v>
      </c>
      <c r="X200" s="149">
        <f t="shared" si="7"/>
        <v>29.242864000000001</v>
      </c>
      <c r="Y200" s="149"/>
    </row>
    <row r="201" spans="1:25" ht="16">
      <c r="A201" s="117" t="s">
        <v>3570</v>
      </c>
      <c r="B201" s="150" t="s">
        <v>63</v>
      </c>
      <c r="C201" s="149" t="s">
        <v>1744</v>
      </c>
      <c r="D201" s="149" t="str">
        <f t="shared" si="8"/>
        <v>COFFS</v>
      </c>
      <c r="E201" s="149" t="s">
        <v>2532</v>
      </c>
      <c r="F201" s="160">
        <v>-30.004933000000001</v>
      </c>
      <c r="G201" s="70">
        <v>153.09672599999999</v>
      </c>
      <c r="H201" s="70">
        <v>0</v>
      </c>
      <c r="I201" s="151">
        <v>42871</v>
      </c>
      <c r="J201" s="149" t="s">
        <v>36</v>
      </c>
      <c r="K201" s="149" t="s">
        <v>154</v>
      </c>
      <c r="L201" s="149" t="s">
        <v>1687</v>
      </c>
      <c r="M201" s="149" t="s">
        <v>2563</v>
      </c>
      <c r="N201" s="149" t="s">
        <v>2568</v>
      </c>
      <c r="O201" s="149" t="s">
        <v>2734</v>
      </c>
      <c r="P201" s="149" t="s">
        <v>2736</v>
      </c>
      <c r="Q201" s="149" t="s">
        <v>2391</v>
      </c>
      <c r="R201" s="149" t="s">
        <v>2713</v>
      </c>
      <c r="S201" s="149">
        <v>0.1007</v>
      </c>
      <c r="T201" s="149">
        <v>6.7166000000000003E-2</v>
      </c>
      <c r="U201" s="70">
        <f t="shared" si="6"/>
        <v>3.3533999999999994E-2</v>
      </c>
      <c r="V201" s="149">
        <v>5.5259999999999998</v>
      </c>
      <c r="W201" s="149">
        <v>17.399999999999999</v>
      </c>
      <c r="X201" s="149">
        <f t="shared" si="7"/>
        <v>96.152399999999986</v>
      </c>
      <c r="Y201" s="149"/>
    </row>
    <row r="202" spans="1:25" ht="16">
      <c r="A202" s="117" t="s">
        <v>3570</v>
      </c>
      <c r="B202" s="150" t="s">
        <v>64</v>
      </c>
      <c r="C202" s="149" t="s">
        <v>1744</v>
      </c>
      <c r="D202" s="149" t="str">
        <f t="shared" si="8"/>
        <v>COFFS</v>
      </c>
      <c r="E202" s="149" t="s">
        <v>2532</v>
      </c>
      <c r="F202" s="160">
        <v>-30.004933000000001</v>
      </c>
      <c r="G202" s="70">
        <v>153.09672599999999</v>
      </c>
      <c r="H202" s="70">
        <v>0</v>
      </c>
      <c r="I202" s="151">
        <v>42871</v>
      </c>
      <c r="J202" s="149" t="s">
        <v>36</v>
      </c>
      <c r="K202" s="149" t="s">
        <v>154</v>
      </c>
      <c r="L202" s="149" t="s">
        <v>1687</v>
      </c>
      <c r="M202" s="149" t="s">
        <v>2563</v>
      </c>
      <c r="N202" s="149" t="s">
        <v>2568</v>
      </c>
      <c r="O202" s="149" t="s">
        <v>2734</v>
      </c>
      <c r="P202" s="149" t="s">
        <v>2736</v>
      </c>
      <c r="Q202" s="149" t="s">
        <v>2390</v>
      </c>
      <c r="R202" s="149" t="s">
        <v>2713</v>
      </c>
      <c r="S202" s="149">
        <v>9.6000000000000002E-2</v>
      </c>
      <c r="T202" s="149">
        <v>3.8671999999999984E-2</v>
      </c>
      <c r="U202" s="70">
        <f t="shared" si="6"/>
        <v>5.7328000000000018E-2</v>
      </c>
      <c r="V202" s="149">
        <v>6.4669999999999996</v>
      </c>
      <c r="W202" s="149">
        <f>9.692+10.07</f>
        <v>19.762</v>
      </c>
      <c r="X202" s="149">
        <f t="shared" si="7"/>
        <v>127.800854</v>
      </c>
      <c r="Y202" s="149"/>
    </row>
    <row r="203" spans="1:25" ht="16">
      <c r="A203" s="117" t="s">
        <v>3570</v>
      </c>
      <c r="B203" s="150" t="s">
        <v>65</v>
      </c>
      <c r="C203" s="149" t="s">
        <v>1744</v>
      </c>
      <c r="D203" s="149" t="str">
        <f t="shared" si="8"/>
        <v>COFFS</v>
      </c>
      <c r="E203" s="149" t="s">
        <v>2533</v>
      </c>
      <c r="F203" s="160">
        <v>-29.941600000000001</v>
      </c>
      <c r="G203" s="70">
        <v>153.12843699999999</v>
      </c>
      <c r="H203" s="70">
        <v>0</v>
      </c>
      <c r="I203" s="151">
        <v>42880</v>
      </c>
      <c r="J203" s="149" t="s">
        <v>2788</v>
      </c>
      <c r="K203" s="149" t="s">
        <v>177</v>
      </c>
      <c r="L203" s="149" t="s">
        <v>2566</v>
      </c>
      <c r="M203" s="149" t="s">
        <v>2567</v>
      </c>
      <c r="N203" s="149" t="s">
        <v>2668</v>
      </c>
      <c r="O203" s="149" t="s">
        <v>2105</v>
      </c>
      <c r="P203" s="140" t="s">
        <v>2105</v>
      </c>
      <c r="Q203" s="149" t="s">
        <v>2387</v>
      </c>
      <c r="R203" s="149" t="s">
        <v>2713</v>
      </c>
      <c r="S203" s="149">
        <v>1.6000000000000001E-3</v>
      </c>
      <c r="T203" s="149">
        <v>0</v>
      </c>
      <c r="U203" s="70">
        <f t="shared" si="6"/>
        <v>1.6000000000000001E-3</v>
      </c>
      <c r="V203" s="149">
        <v>1.726</v>
      </c>
      <c r="W203" s="149">
        <f>3.516+3.337</f>
        <v>6.8529999999999998</v>
      </c>
      <c r="X203" s="149">
        <f t="shared" si="7"/>
        <v>11.828277999999999</v>
      </c>
      <c r="Y203" s="149"/>
    </row>
    <row r="204" spans="1:25" ht="16">
      <c r="A204" s="117" t="s">
        <v>3570</v>
      </c>
      <c r="B204" s="150" t="s">
        <v>66</v>
      </c>
      <c r="C204" s="149" t="s">
        <v>1744</v>
      </c>
      <c r="D204" s="149" t="str">
        <f t="shared" si="8"/>
        <v>COFFS</v>
      </c>
      <c r="E204" s="149" t="s">
        <v>2534</v>
      </c>
      <c r="F204" s="160">
        <v>-29.983162</v>
      </c>
      <c r="G204" s="70">
        <v>153.229219</v>
      </c>
      <c r="H204" s="70">
        <v>0</v>
      </c>
      <c r="I204" s="151">
        <v>42877</v>
      </c>
      <c r="J204" s="149" t="s">
        <v>2100</v>
      </c>
      <c r="K204" s="149" t="s">
        <v>154</v>
      </c>
      <c r="L204" s="149" t="s">
        <v>1687</v>
      </c>
      <c r="M204" s="149" t="s">
        <v>2563</v>
      </c>
      <c r="N204" s="149" t="s">
        <v>2568</v>
      </c>
      <c r="O204" s="149" t="s">
        <v>2734</v>
      </c>
      <c r="P204" s="149" t="s">
        <v>2736</v>
      </c>
      <c r="Q204" s="149" t="s">
        <v>2390</v>
      </c>
      <c r="R204" s="149" t="s">
        <v>2713</v>
      </c>
      <c r="S204" s="149">
        <v>0.156</v>
      </c>
      <c r="T204" s="149">
        <v>9.6175999999999984E-2</v>
      </c>
      <c r="U204" s="70">
        <f t="shared" si="6"/>
        <v>5.9824000000000016E-2</v>
      </c>
      <c r="V204" s="149">
        <v>6.5830000000000002</v>
      </c>
      <c r="W204" s="149">
        <f>9.4835+12.314</f>
        <v>21.797499999999999</v>
      </c>
      <c r="X204" s="149">
        <f t="shared" si="7"/>
        <v>143.4929425</v>
      </c>
      <c r="Y204" s="149"/>
    </row>
    <row r="205" spans="1:25" ht="16">
      <c r="A205" s="117" t="s">
        <v>3570</v>
      </c>
      <c r="B205" s="150" t="s">
        <v>69</v>
      </c>
      <c r="C205" s="149" t="s">
        <v>1744</v>
      </c>
      <c r="D205" s="149" t="str">
        <f t="shared" si="8"/>
        <v>COFFS</v>
      </c>
      <c r="E205" s="149" t="s">
        <v>2535</v>
      </c>
      <c r="F205" s="160">
        <v>-30.011405</v>
      </c>
      <c r="G205" s="70">
        <v>153.11167499999999</v>
      </c>
      <c r="H205" s="70">
        <v>0</v>
      </c>
      <c r="I205" s="151">
        <v>42878</v>
      </c>
      <c r="J205" s="149" t="s">
        <v>2788</v>
      </c>
      <c r="K205" s="149" t="s">
        <v>177</v>
      </c>
      <c r="L205" s="149" t="s">
        <v>1687</v>
      </c>
      <c r="M205" s="149" t="s">
        <v>2564</v>
      </c>
      <c r="N205" s="149" t="s">
        <v>2577</v>
      </c>
      <c r="O205" s="149" t="s">
        <v>2742</v>
      </c>
      <c r="P205" s="149" t="s">
        <v>2740</v>
      </c>
      <c r="Q205" s="149" t="s">
        <v>2389</v>
      </c>
      <c r="R205" s="149" t="s">
        <v>2713</v>
      </c>
      <c r="S205" s="149">
        <v>0.21590000000000001</v>
      </c>
      <c r="T205" s="149">
        <v>9.6175999999999984E-2</v>
      </c>
      <c r="U205" s="70">
        <f t="shared" si="6"/>
        <v>0.11972400000000002</v>
      </c>
      <c r="V205" s="149">
        <v>8.0190000000000001</v>
      </c>
      <c r="W205" s="149">
        <f>14.087+12.198</f>
        <v>26.285</v>
      </c>
      <c r="X205" s="149">
        <f t="shared" si="7"/>
        <v>210.779415</v>
      </c>
      <c r="Y205" s="149"/>
    </row>
    <row r="206" spans="1:25" ht="16">
      <c r="A206" s="117" t="s">
        <v>3570</v>
      </c>
      <c r="B206" s="150" t="s">
        <v>70</v>
      </c>
      <c r="C206" s="149" t="s">
        <v>1744</v>
      </c>
      <c r="D206" s="149" t="str">
        <f t="shared" si="8"/>
        <v>COFFS</v>
      </c>
      <c r="E206" s="149" t="s">
        <v>2523</v>
      </c>
      <c r="F206" s="160">
        <v>-30.011327999999999</v>
      </c>
      <c r="G206" s="70">
        <v>153.150711</v>
      </c>
      <c r="H206" s="70">
        <v>0</v>
      </c>
      <c r="I206" s="151">
        <v>42871</v>
      </c>
      <c r="J206" s="149" t="s">
        <v>2098</v>
      </c>
      <c r="K206" s="149" t="s">
        <v>177</v>
      </c>
      <c r="L206" s="149" t="s">
        <v>1687</v>
      </c>
      <c r="M206" s="149" t="s">
        <v>2564</v>
      </c>
      <c r="N206" s="149" t="s">
        <v>2565</v>
      </c>
      <c r="O206" s="149" t="s">
        <v>2095</v>
      </c>
      <c r="P206" s="149" t="s">
        <v>2095</v>
      </c>
      <c r="Q206" s="149" t="s">
        <v>2686</v>
      </c>
      <c r="R206" s="149" t="s">
        <v>2713</v>
      </c>
      <c r="S206" s="149">
        <v>6.9699999999999998E-2</v>
      </c>
      <c r="T206" s="149">
        <v>6.7166000000000003E-2</v>
      </c>
      <c r="U206" s="70">
        <f t="shared" si="6"/>
        <v>2.5339999999999946E-3</v>
      </c>
      <c r="V206" s="149">
        <v>2.2509999999999999</v>
      </c>
      <c r="W206" s="149">
        <f>5.715+4.666</f>
        <v>10.381</v>
      </c>
      <c r="X206" s="149">
        <f t="shared" si="7"/>
        <v>23.367630999999999</v>
      </c>
      <c r="Y206" s="149"/>
    </row>
    <row r="207" spans="1:25" ht="16">
      <c r="A207" s="117" t="s">
        <v>3570</v>
      </c>
      <c r="B207" s="150" t="s">
        <v>71</v>
      </c>
      <c r="C207" s="149" t="s">
        <v>1744</v>
      </c>
      <c r="D207" s="149" t="str">
        <f t="shared" si="8"/>
        <v>COFFS</v>
      </c>
      <c r="E207" s="149" t="s">
        <v>2523</v>
      </c>
      <c r="F207" s="160">
        <v>-30.011327999999999</v>
      </c>
      <c r="G207" s="70">
        <v>153.150711</v>
      </c>
      <c r="H207" s="70">
        <v>0</v>
      </c>
      <c r="I207" s="151">
        <v>42871</v>
      </c>
      <c r="J207" s="149" t="s">
        <v>2098</v>
      </c>
      <c r="K207" s="149" t="s">
        <v>177</v>
      </c>
      <c r="L207" s="149" t="s">
        <v>2566</v>
      </c>
      <c r="M207" s="149" t="s">
        <v>2574</v>
      </c>
      <c r="N207" s="140" t="s">
        <v>3191</v>
      </c>
      <c r="O207" s="149" t="s">
        <v>2397</v>
      </c>
      <c r="P207" s="149" t="s">
        <v>2397</v>
      </c>
      <c r="Q207" s="149" t="s">
        <v>2687</v>
      </c>
      <c r="R207" s="149" t="s">
        <v>2713</v>
      </c>
      <c r="S207" s="149">
        <v>8.9499999999999996E-2</v>
      </c>
      <c r="T207" s="149">
        <v>6.7166000000000003E-2</v>
      </c>
      <c r="U207" s="70">
        <f t="shared" si="6"/>
        <v>2.2333999999999993E-2</v>
      </c>
      <c r="V207" s="149">
        <v>4.3390000000000004</v>
      </c>
      <c r="W207" s="149">
        <v>16.844999999999999</v>
      </c>
      <c r="X207" s="149">
        <f t="shared" si="7"/>
        <v>73.090455000000006</v>
      </c>
      <c r="Y207" s="149"/>
    </row>
    <row r="208" spans="1:25" ht="16">
      <c r="A208" s="117" t="s">
        <v>3570</v>
      </c>
      <c r="B208" s="150" t="s">
        <v>73</v>
      </c>
      <c r="C208" s="149" t="s">
        <v>1744</v>
      </c>
      <c r="D208" s="149" t="str">
        <f t="shared" si="8"/>
        <v>COFFS</v>
      </c>
      <c r="E208" s="149" t="s">
        <v>2522</v>
      </c>
      <c r="F208" s="160">
        <v>-29.943010999999998</v>
      </c>
      <c r="G208" s="70">
        <v>153.12657400000001</v>
      </c>
      <c r="H208" s="70">
        <v>0</v>
      </c>
      <c r="I208" s="151">
        <v>42871</v>
      </c>
      <c r="J208" s="149" t="s">
        <v>2785</v>
      </c>
      <c r="K208" s="149" t="s">
        <v>177</v>
      </c>
      <c r="L208" s="149" t="s">
        <v>2569</v>
      </c>
      <c r="M208" s="149" t="s">
        <v>2570</v>
      </c>
      <c r="N208" s="149" t="s">
        <v>2571</v>
      </c>
      <c r="O208" s="149" t="s">
        <v>2369</v>
      </c>
      <c r="P208" s="140" t="s">
        <v>2737</v>
      </c>
      <c r="Q208" s="149" t="s">
        <v>2373</v>
      </c>
      <c r="R208" s="149" t="s">
        <v>2713</v>
      </c>
      <c r="S208" s="149">
        <v>7.4800000000000005E-2</v>
      </c>
      <c r="T208" s="149">
        <v>6.7166000000000003E-2</v>
      </c>
      <c r="U208" s="70">
        <f t="shared" si="6"/>
        <v>7.6340000000000019E-3</v>
      </c>
      <c r="V208" s="149">
        <v>2.9649999999999999</v>
      </c>
      <c r="W208" s="149">
        <v>11.666</v>
      </c>
      <c r="X208" s="149">
        <f t="shared" si="7"/>
        <v>34.589689999999997</v>
      </c>
      <c r="Y208" s="149"/>
    </row>
    <row r="209" spans="1:25" ht="16">
      <c r="A209" s="117" t="s">
        <v>3570</v>
      </c>
      <c r="B209" s="150" t="s">
        <v>74</v>
      </c>
      <c r="C209" s="149" t="s">
        <v>1744</v>
      </c>
      <c r="D209" s="149" t="str">
        <f t="shared" si="8"/>
        <v>COFFS</v>
      </c>
      <c r="E209" s="149" t="s">
        <v>2522</v>
      </c>
      <c r="F209" s="160">
        <v>-29.943010999999998</v>
      </c>
      <c r="G209" s="70">
        <v>153.12657400000001</v>
      </c>
      <c r="H209" s="70">
        <v>0</v>
      </c>
      <c r="I209" s="151">
        <v>42871</v>
      </c>
      <c r="J209" s="149" t="s">
        <v>2785</v>
      </c>
      <c r="K209" s="149" t="s">
        <v>177</v>
      </c>
      <c r="L209" s="149" t="s">
        <v>2569</v>
      </c>
      <c r="M209" s="149" t="s">
        <v>2570</v>
      </c>
      <c r="N209" s="149" t="s">
        <v>2571</v>
      </c>
      <c r="O209" s="149" t="s">
        <v>2369</v>
      </c>
      <c r="P209" s="149" t="s">
        <v>2737</v>
      </c>
      <c r="Q209" s="149" t="s">
        <v>2396</v>
      </c>
      <c r="R209" s="149" t="s">
        <v>2713</v>
      </c>
      <c r="S209" s="149">
        <v>5.5300000000000002E-2</v>
      </c>
      <c r="T209" s="149">
        <v>3.8671999999999984E-2</v>
      </c>
      <c r="U209" s="70">
        <f t="shared" si="6"/>
        <v>1.6628000000000018E-2</v>
      </c>
      <c r="V209" s="149">
        <v>4.3150000000000004</v>
      </c>
      <c r="W209" s="149">
        <v>13.86</v>
      </c>
      <c r="X209" s="149">
        <f t="shared" si="7"/>
        <v>59.805900000000001</v>
      </c>
      <c r="Y209" s="149"/>
    </row>
    <row r="210" spans="1:25" ht="16">
      <c r="A210" s="117" t="s">
        <v>3570</v>
      </c>
      <c r="B210" s="150" t="s">
        <v>75</v>
      </c>
      <c r="C210" s="149" t="s">
        <v>1744</v>
      </c>
      <c r="D210" s="149" t="str">
        <f t="shared" si="8"/>
        <v>COFFS</v>
      </c>
      <c r="E210" s="149" t="s">
        <v>2522</v>
      </c>
      <c r="F210" s="160">
        <v>-29.943010999999998</v>
      </c>
      <c r="G210" s="70">
        <v>153.12657400000001</v>
      </c>
      <c r="H210" s="70">
        <v>0</v>
      </c>
      <c r="I210" s="151">
        <v>42871</v>
      </c>
      <c r="J210" s="149" t="s">
        <v>2785</v>
      </c>
      <c r="K210" s="149" t="s">
        <v>177</v>
      </c>
      <c r="L210" s="149" t="s">
        <v>1687</v>
      </c>
      <c r="M210" s="149" t="s">
        <v>2563</v>
      </c>
      <c r="N210" s="149" t="s">
        <v>2562</v>
      </c>
      <c r="O210" s="149" t="s">
        <v>2103</v>
      </c>
      <c r="P210" s="149" t="s">
        <v>2103</v>
      </c>
      <c r="Q210" s="149" t="s">
        <v>2104</v>
      </c>
      <c r="R210" s="149" t="s">
        <v>2713</v>
      </c>
      <c r="S210" s="149">
        <v>6.9199999999999998E-2</v>
      </c>
      <c r="T210" s="149">
        <v>6.7166000000000003E-2</v>
      </c>
      <c r="U210" s="70">
        <f t="shared" si="6"/>
        <v>2.0339999999999941E-3</v>
      </c>
      <c r="V210" s="149">
        <v>1.7889999999999999</v>
      </c>
      <c r="W210" s="149">
        <v>6.51</v>
      </c>
      <c r="X210" s="149">
        <f t="shared" si="7"/>
        <v>11.646389999999998</v>
      </c>
      <c r="Y210" s="149"/>
    </row>
    <row r="211" spans="1:25" ht="16">
      <c r="A211" s="117" t="s">
        <v>3570</v>
      </c>
      <c r="B211" s="150" t="s">
        <v>79</v>
      </c>
      <c r="C211" s="149" t="s">
        <v>1744</v>
      </c>
      <c r="D211" s="149" t="str">
        <f t="shared" si="8"/>
        <v>COFFS</v>
      </c>
      <c r="E211" s="149" t="s">
        <v>2522</v>
      </c>
      <c r="F211" s="160">
        <v>-29.943010999999998</v>
      </c>
      <c r="G211" s="70">
        <v>153.12657400000001</v>
      </c>
      <c r="H211" s="70">
        <v>0</v>
      </c>
      <c r="I211" s="151">
        <v>42871</v>
      </c>
      <c r="J211" s="149" t="s">
        <v>2785</v>
      </c>
      <c r="K211" s="149" t="s">
        <v>177</v>
      </c>
      <c r="L211" s="149" t="s">
        <v>2566</v>
      </c>
      <c r="M211" s="149" t="s">
        <v>2567</v>
      </c>
      <c r="N211" s="149" t="s">
        <v>2668</v>
      </c>
      <c r="O211" s="140" t="s">
        <v>2600</v>
      </c>
      <c r="P211" s="149" t="s">
        <v>2735</v>
      </c>
      <c r="Q211" s="149" t="s">
        <v>2700</v>
      </c>
      <c r="R211" s="149" t="s">
        <v>2712</v>
      </c>
      <c r="S211" s="149">
        <v>4.19E-2</v>
      </c>
      <c r="T211" s="149">
        <v>3.8671999999999984E-2</v>
      </c>
      <c r="U211" s="70">
        <f t="shared" si="6"/>
        <v>3.2280000000000156E-3</v>
      </c>
      <c r="V211" s="149">
        <v>2.1520000000000001</v>
      </c>
      <c r="W211" s="149">
        <f>4.43+1.267+2.782</f>
        <v>8.4789999999999992</v>
      </c>
      <c r="X211" s="149">
        <f t="shared" si="7"/>
        <v>18.246807999999998</v>
      </c>
      <c r="Y211" s="149"/>
    </row>
    <row r="212" spans="1:25" ht="16">
      <c r="A212" s="117" t="s">
        <v>3570</v>
      </c>
      <c r="B212" s="150" t="s">
        <v>82</v>
      </c>
      <c r="C212" s="149" t="s">
        <v>1744</v>
      </c>
      <c r="D212" s="149" t="str">
        <f t="shared" si="8"/>
        <v>COFFS</v>
      </c>
      <c r="E212" s="149" t="s">
        <v>2522</v>
      </c>
      <c r="F212" s="160">
        <v>-29.943010999999998</v>
      </c>
      <c r="G212" s="70">
        <v>153.12657400000001</v>
      </c>
      <c r="H212" s="70">
        <v>0</v>
      </c>
      <c r="I212" s="151">
        <v>42871</v>
      </c>
      <c r="J212" s="149" t="s">
        <v>2785</v>
      </c>
      <c r="K212" s="149" t="s">
        <v>177</v>
      </c>
      <c r="L212" s="149" t="s">
        <v>2566</v>
      </c>
      <c r="M212" s="149" t="s">
        <v>2567</v>
      </c>
      <c r="N212" s="149" t="s">
        <v>2668</v>
      </c>
      <c r="O212" s="149" t="s">
        <v>2105</v>
      </c>
      <c r="P212" s="140" t="s">
        <v>2105</v>
      </c>
      <c r="Q212" s="149" t="s">
        <v>2387</v>
      </c>
      <c r="R212" s="149" t="s">
        <v>2712</v>
      </c>
      <c r="S212" s="149">
        <v>6.9999999999999999E-4</v>
      </c>
      <c r="T212" s="149">
        <v>0</v>
      </c>
      <c r="U212" s="70">
        <f t="shared" si="6"/>
        <v>6.9999999999999999E-4</v>
      </c>
      <c r="V212" s="149">
        <v>1.2989999999999999</v>
      </c>
      <c r="W212" s="149">
        <f>2.462+0.981+1.265</f>
        <v>4.7080000000000002</v>
      </c>
      <c r="X212" s="149">
        <f t="shared" si="7"/>
        <v>6.1156920000000001</v>
      </c>
      <c r="Y212" s="149"/>
    </row>
    <row r="213" spans="1:25" ht="16">
      <c r="A213" s="117" t="s">
        <v>3570</v>
      </c>
      <c r="B213" s="150" t="s">
        <v>83</v>
      </c>
      <c r="C213" s="149" t="s">
        <v>1744</v>
      </c>
      <c r="D213" s="149" t="str">
        <f t="shared" si="8"/>
        <v>COFFS</v>
      </c>
      <c r="E213" s="149" t="s">
        <v>2522</v>
      </c>
      <c r="F213" s="160">
        <v>-29.943010999999998</v>
      </c>
      <c r="G213" s="70">
        <v>153.12657400000001</v>
      </c>
      <c r="H213" s="70">
        <v>0</v>
      </c>
      <c r="I213" s="151">
        <v>42871</v>
      </c>
      <c r="J213" s="149" t="s">
        <v>2785</v>
      </c>
      <c r="K213" s="149" t="s">
        <v>177</v>
      </c>
      <c r="L213" s="149" t="s">
        <v>1687</v>
      </c>
      <c r="M213" s="149" t="s">
        <v>2563</v>
      </c>
      <c r="N213" s="149" t="s">
        <v>2575</v>
      </c>
      <c r="O213" s="149" t="s">
        <v>2379</v>
      </c>
      <c r="P213" s="149" t="s">
        <v>2379</v>
      </c>
      <c r="Q213" s="149" t="s">
        <v>2380</v>
      </c>
      <c r="R213" s="149" t="s">
        <v>2712</v>
      </c>
      <c r="S213" s="149">
        <v>9.3100000000000002E-2</v>
      </c>
      <c r="T213" s="149">
        <v>6.7166000000000003E-2</v>
      </c>
      <c r="U213" s="70">
        <f t="shared" si="6"/>
        <v>2.5933999999999999E-2</v>
      </c>
      <c r="V213" s="149">
        <v>4.9630000000000001</v>
      </c>
      <c r="W213" s="149">
        <v>15.112</v>
      </c>
      <c r="X213" s="149">
        <f t="shared" si="7"/>
        <v>75.000855999999999</v>
      </c>
      <c r="Y213" s="149"/>
    </row>
    <row r="214" spans="1:25" ht="16">
      <c r="A214" s="117" t="s">
        <v>3570</v>
      </c>
      <c r="B214" s="150" t="s">
        <v>84</v>
      </c>
      <c r="C214" s="149" t="s">
        <v>1744</v>
      </c>
      <c r="D214" s="149" t="str">
        <f t="shared" si="8"/>
        <v>COFFS</v>
      </c>
      <c r="E214" s="149" t="s">
        <v>2523</v>
      </c>
      <c r="F214" s="160">
        <v>-30.011327999999999</v>
      </c>
      <c r="G214" s="70">
        <v>153.150711</v>
      </c>
      <c r="H214" s="70">
        <v>0</v>
      </c>
      <c r="I214" s="151">
        <v>42871</v>
      </c>
      <c r="J214" s="149" t="s">
        <v>2098</v>
      </c>
      <c r="K214" s="149" t="s">
        <v>177</v>
      </c>
      <c r="L214" s="149" t="s">
        <v>1687</v>
      </c>
      <c r="M214" s="149" t="s">
        <v>2564</v>
      </c>
      <c r="N214" s="149" t="s">
        <v>2565</v>
      </c>
      <c r="O214" s="149" t="s">
        <v>2733</v>
      </c>
      <c r="P214" s="149" t="s">
        <v>2733</v>
      </c>
      <c r="Q214" s="149" t="s">
        <v>2381</v>
      </c>
      <c r="R214" s="149" t="s">
        <v>2713</v>
      </c>
      <c r="S214" s="149">
        <v>4.2599999999999999E-2</v>
      </c>
      <c r="T214" s="149">
        <v>3.8671999999999984E-2</v>
      </c>
      <c r="U214" s="70">
        <f t="shared" si="6"/>
        <v>3.9280000000000148E-3</v>
      </c>
      <c r="V214" s="149">
        <v>2.4209999999999998</v>
      </c>
      <c r="W214" s="149">
        <v>11.164999999999999</v>
      </c>
      <c r="X214" s="149">
        <f t="shared" si="7"/>
        <v>27.030464999999996</v>
      </c>
      <c r="Y214" s="149"/>
    </row>
    <row r="215" spans="1:25" ht="16">
      <c r="A215" s="117" t="s">
        <v>3570</v>
      </c>
      <c r="B215" s="150" t="s">
        <v>88</v>
      </c>
      <c r="C215" s="149" t="s">
        <v>1744</v>
      </c>
      <c r="D215" s="149" t="str">
        <f t="shared" si="8"/>
        <v>COFFS</v>
      </c>
      <c r="E215" s="149" t="s">
        <v>2523</v>
      </c>
      <c r="F215" s="160">
        <v>-30.011327999999999</v>
      </c>
      <c r="G215" s="70">
        <v>153.150711</v>
      </c>
      <c r="H215" s="70">
        <v>0</v>
      </c>
      <c r="I215" s="151">
        <v>42871</v>
      </c>
      <c r="J215" s="149" t="s">
        <v>2785</v>
      </c>
      <c r="K215" s="149" t="s">
        <v>177</v>
      </c>
      <c r="L215" s="149" t="s">
        <v>1687</v>
      </c>
      <c r="M215" s="149" t="s">
        <v>2563</v>
      </c>
      <c r="N215" s="149" t="s">
        <v>2562</v>
      </c>
      <c r="O215" s="149" t="s">
        <v>2103</v>
      </c>
      <c r="P215" s="149" t="s">
        <v>2103</v>
      </c>
      <c r="Q215" s="149" t="s">
        <v>2104</v>
      </c>
      <c r="R215" s="149" t="s">
        <v>2713</v>
      </c>
      <c r="S215" s="149">
        <v>4.1099999999999998E-2</v>
      </c>
      <c r="T215" s="149">
        <v>3.8671999999999984E-2</v>
      </c>
      <c r="U215" s="70">
        <f t="shared" si="6"/>
        <v>2.4280000000000135E-3</v>
      </c>
      <c r="V215" s="149">
        <v>1.9750000000000001</v>
      </c>
      <c r="W215" s="149">
        <f>3.578+2.782</f>
        <v>6.3599999999999994</v>
      </c>
      <c r="X215" s="149">
        <f t="shared" si="7"/>
        <v>12.561</v>
      </c>
      <c r="Y215" s="149"/>
    </row>
    <row r="216" spans="1:25" ht="16">
      <c r="A216" s="117" t="s">
        <v>3570</v>
      </c>
      <c r="B216" s="150" t="s">
        <v>89</v>
      </c>
      <c r="C216" s="149" t="s">
        <v>1744</v>
      </c>
      <c r="D216" s="149" t="str">
        <f t="shared" si="8"/>
        <v>COFFS</v>
      </c>
      <c r="E216" s="149" t="s">
        <v>2523</v>
      </c>
      <c r="F216" s="160">
        <v>-30.011327999999999</v>
      </c>
      <c r="G216" s="70">
        <v>153.150711</v>
      </c>
      <c r="H216" s="70">
        <v>0</v>
      </c>
      <c r="I216" s="151">
        <v>42871</v>
      </c>
      <c r="J216" s="149" t="s">
        <v>2785</v>
      </c>
      <c r="K216" s="149" t="s">
        <v>177</v>
      </c>
      <c r="L216" s="149" t="s">
        <v>1687</v>
      </c>
      <c r="M216" s="149" t="s">
        <v>2563</v>
      </c>
      <c r="N216" s="149" t="s">
        <v>2562</v>
      </c>
      <c r="O216" s="149" t="s">
        <v>2103</v>
      </c>
      <c r="P216" s="149" t="s">
        <v>2103</v>
      </c>
      <c r="Q216" s="149" t="s">
        <v>2104</v>
      </c>
      <c r="R216" s="149" t="s">
        <v>2713</v>
      </c>
      <c r="S216" s="149">
        <v>4.0500000000000001E-2</v>
      </c>
      <c r="T216" s="149">
        <v>3.8671999999999984E-2</v>
      </c>
      <c r="U216" s="70">
        <f t="shared" si="6"/>
        <v>1.8280000000000171E-3</v>
      </c>
      <c r="V216" s="149">
        <v>2.044</v>
      </c>
      <c r="W216" s="149">
        <f>4.123+2.837</f>
        <v>6.9600000000000009</v>
      </c>
      <c r="X216" s="149">
        <f t="shared" si="7"/>
        <v>14.226240000000002</v>
      </c>
      <c r="Y216" s="149"/>
    </row>
    <row r="217" spans="1:25" ht="16">
      <c r="A217" s="117" t="s">
        <v>3570</v>
      </c>
      <c r="B217" s="150" t="s">
        <v>90</v>
      </c>
      <c r="C217" s="149" t="s">
        <v>1744</v>
      </c>
      <c r="D217" s="149" t="str">
        <f t="shared" si="8"/>
        <v>COFFS</v>
      </c>
      <c r="E217" s="149" t="s">
        <v>2523</v>
      </c>
      <c r="F217" s="160">
        <v>-30.011327999999999</v>
      </c>
      <c r="G217" s="70">
        <v>153.150711</v>
      </c>
      <c r="H217" s="70">
        <v>0</v>
      </c>
      <c r="I217" s="151">
        <v>42871</v>
      </c>
      <c r="J217" s="149" t="s">
        <v>2098</v>
      </c>
      <c r="K217" s="149" t="s">
        <v>177</v>
      </c>
      <c r="L217" s="149" t="s">
        <v>2569</v>
      </c>
      <c r="M217" s="149" t="s">
        <v>2570</v>
      </c>
      <c r="N217" s="149" t="s">
        <v>2571</v>
      </c>
      <c r="O217" s="149" t="s">
        <v>2369</v>
      </c>
      <c r="P217" s="149" t="s">
        <v>2737</v>
      </c>
      <c r="Q217" s="149" t="s">
        <v>2394</v>
      </c>
      <c r="R217" s="149" t="s">
        <v>2713</v>
      </c>
      <c r="S217" s="149">
        <v>0.13769999999999999</v>
      </c>
      <c r="T217" s="149">
        <v>9.6175999999999984E-2</v>
      </c>
      <c r="U217" s="70">
        <f t="shared" si="6"/>
        <v>4.1524000000000005E-2</v>
      </c>
      <c r="V217" s="149">
        <v>6.2220000000000004</v>
      </c>
      <c r="W217" s="149">
        <v>20.071999999999999</v>
      </c>
      <c r="X217" s="149">
        <f t="shared" si="7"/>
        <v>124.887984</v>
      </c>
      <c r="Y217" s="149"/>
    </row>
    <row r="218" spans="1:25" ht="16">
      <c r="A218" s="117" t="s">
        <v>3570</v>
      </c>
      <c r="B218" s="150" t="s">
        <v>91</v>
      </c>
      <c r="C218" s="149" t="s">
        <v>1744</v>
      </c>
      <c r="D218" s="149" t="str">
        <f t="shared" si="8"/>
        <v>COFFS</v>
      </c>
      <c r="E218" s="149" t="s">
        <v>2522</v>
      </c>
      <c r="F218" s="160">
        <v>-29.943010999999998</v>
      </c>
      <c r="G218" s="70">
        <v>153.12657400000001</v>
      </c>
      <c r="H218" s="70">
        <v>0</v>
      </c>
      <c r="I218" s="151">
        <v>42871</v>
      </c>
      <c r="J218" s="149" t="s">
        <v>2785</v>
      </c>
      <c r="K218" s="149" t="s">
        <v>177</v>
      </c>
      <c r="L218" s="149" t="s">
        <v>2566</v>
      </c>
      <c r="M218" s="149" t="s">
        <v>2574</v>
      </c>
      <c r="N218" s="140" t="s">
        <v>3191</v>
      </c>
      <c r="O218" s="149" t="s">
        <v>2111</v>
      </c>
      <c r="P218" s="149" t="s">
        <v>2739</v>
      </c>
      <c r="Q218" s="149" t="s">
        <v>2689</v>
      </c>
      <c r="R218" s="149" t="s">
        <v>2712</v>
      </c>
      <c r="S218" s="149">
        <v>7.8899999999999998E-2</v>
      </c>
      <c r="T218" s="149">
        <v>6.7166000000000003E-2</v>
      </c>
      <c r="U218" s="70">
        <f t="shared" si="6"/>
        <v>1.1733999999999994E-2</v>
      </c>
      <c r="V218" s="149">
        <v>3.6059999999999999</v>
      </c>
      <c r="W218" s="149">
        <f>6.749+6.837</f>
        <v>13.585999999999999</v>
      </c>
      <c r="X218" s="149">
        <f t="shared" si="7"/>
        <v>48.991115999999991</v>
      </c>
      <c r="Y218" s="149"/>
    </row>
    <row r="219" spans="1:25" ht="16">
      <c r="A219" s="117" t="s">
        <v>3570</v>
      </c>
      <c r="B219" s="150" t="s">
        <v>93</v>
      </c>
      <c r="C219" s="149" t="s">
        <v>1744</v>
      </c>
      <c r="D219" s="149" t="str">
        <f t="shared" si="8"/>
        <v>COFFS</v>
      </c>
      <c r="E219" s="149" t="s">
        <v>2522</v>
      </c>
      <c r="F219" s="160">
        <v>-29.943010999999998</v>
      </c>
      <c r="G219" s="70">
        <v>153.12657400000001</v>
      </c>
      <c r="H219" s="70">
        <v>0</v>
      </c>
      <c r="I219" s="151">
        <v>42872</v>
      </c>
      <c r="J219" s="149" t="s">
        <v>36</v>
      </c>
      <c r="K219" s="149" t="s">
        <v>2787</v>
      </c>
      <c r="L219" s="149" t="s">
        <v>2566</v>
      </c>
      <c r="M219" s="149" t="s">
        <v>2567</v>
      </c>
      <c r="N219" s="149" t="s">
        <v>2668</v>
      </c>
      <c r="O219" s="149" t="s">
        <v>2105</v>
      </c>
      <c r="P219" s="140" t="s">
        <v>2105</v>
      </c>
      <c r="Q219" s="149" t="s">
        <v>2387</v>
      </c>
      <c r="R219" s="149" t="s">
        <v>2713</v>
      </c>
      <c r="S219" s="149">
        <v>2.5999999999999999E-3</v>
      </c>
      <c r="T219" s="149">
        <v>0</v>
      </c>
      <c r="U219" s="70">
        <f t="shared" si="6"/>
        <v>2.5999999999999999E-3</v>
      </c>
      <c r="V219" s="149">
        <v>1.645</v>
      </c>
      <c r="W219" s="149">
        <f>3.831+3.404</f>
        <v>7.2349999999999994</v>
      </c>
      <c r="X219" s="149">
        <f t="shared" si="7"/>
        <v>11.901574999999999</v>
      </c>
      <c r="Y219" s="149"/>
    </row>
    <row r="220" spans="1:25" ht="16">
      <c r="A220" s="117" t="s">
        <v>3570</v>
      </c>
      <c r="B220" s="150" t="s">
        <v>97</v>
      </c>
      <c r="C220" s="149" t="s">
        <v>1744</v>
      </c>
      <c r="D220" s="149" t="str">
        <f t="shared" si="8"/>
        <v>COFFS</v>
      </c>
      <c r="E220" s="149" t="s">
        <v>2522</v>
      </c>
      <c r="F220" s="160">
        <v>-29.943010999999998</v>
      </c>
      <c r="G220" s="70">
        <v>153.12657400000001</v>
      </c>
      <c r="H220" s="70">
        <v>0</v>
      </c>
      <c r="I220" s="151">
        <v>42872</v>
      </c>
      <c r="J220" s="149" t="s">
        <v>36</v>
      </c>
      <c r="K220" s="149" t="s">
        <v>2787</v>
      </c>
      <c r="L220" s="149" t="s">
        <v>2566</v>
      </c>
      <c r="M220" s="149" t="s">
        <v>2567</v>
      </c>
      <c r="N220" s="149" t="s">
        <v>2668</v>
      </c>
      <c r="O220" s="140" t="s">
        <v>2600</v>
      </c>
      <c r="P220" s="149" t="s">
        <v>2735</v>
      </c>
      <c r="Q220" s="149" t="s">
        <v>2384</v>
      </c>
      <c r="R220" s="149" t="s">
        <v>2713</v>
      </c>
      <c r="S220" s="149">
        <v>7.6600000000000001E-2</v>
      </c>
      <c r="T220" s="149">
        <v>6.7166000000000003E-2</v>
      </c>
      <c r="U220" s="70">
        <f t="shared" si="6"/>
        <v>9.4339999999999979E-3</v>
      </c>
      <c r="V220" s="149">
        <v>3.3220000000000001</v>
      </c>
      <c r="W220" s="149">
        <f>6.429+7.053</f>
        <v>13.481999999999999</v>
      </c>
      <c r="X220" s="149">
        <f t="shared" si="7"/>
        <v>44.787203999999996</v>
      </c>
      <c r="Y220" s="149"/>
    </row>
    <row r="221" spans="1:25" ht="16">
      <c r="A221" s="117" t="s">
        <v>3570</v>
      </c>
      <c r="B221" s="150" t="s">
        <v>98</v>
      </c>
      <c r="C221" s="149" t="s">
        <v>1744</v>
      </c>
      <c r="D221" s="149" t="str">
        <f t="shared" si="8"/>
        <v>COFFS</v>
      </c>
      <c r="E221" s="149" t="s">
        <v>2522</v>
      </c>
      <c r="F221" s="160">
        <v>-29.943010999999998</v>
      </c>
      <c r="G221" s="70">
        <v>153.12657400000001</v>
      </c>
      <c r="H221" s="70">
        <v>0</v>
      </c>
      <c r="I221" s="151">
        <v>42872</v>
      </c>
      <c r="J221" s="149" t="s">
        <v>36</v>
      </c>
      <c r="K221" s="149" t="s">
        <v>2787</v>
      </c>
      <c r="L221" s="149" t="s">
        <v>2566</v>
      </c>
      <c r="M221" s="149" t="s">
        <v>2567</v>
      </c>
      <c r="N221" s="149" t="s">
        <v>2668</v>
      </c>
      <c r="O221" s="140" t="s">
        <v>2600</v>
      </c>
      <c r="P221" s="149" t="s">
        <v>2735</v>
      </c>
      <c r="Q221" s="149" t="s">
        <v>2384</v>
      </c>
      <c r="R221" s="149" t="s">
        <v>2713</v>
      </c>
      <c r="S221" s="149">
        <v>7.5499999999999998E-2</v>
      </c>
      <c r="T221" s="149">
        <v>6.7166000000000003E-2</v>
      </c>
      <c r="U221" s="70">
        <f t="shared" si="6"/>
        <v>8.3339999999999942E-3</v>
      </c>
      <c r="V221" s="149">
        <v>3.319</v>
      </c>
      <c r="W221" s="149">
        <f>6.201+4.797</f>
        <v>10.997999999999999</v>
      </c>
      <c r="X221" s="149">
        <f t="shared" si="7"/>
        <v>36.502361999999998</v>
      </c>
      <c r="Y221" s="149"/>
    </row>
    <row r="222" spans="1:25" ht="16">
      <c r="A222" s="117" t="s">
        <v>3570</v>
      </c>
      <c r="B222" s="150" t="s">
        <v>99</v>
      </c>
      <c r="C222" s="149" t="s">
        <v>1744</v>
      </c>
      <c r="D222" s="149" t="str">
        <f t="shared" si="8"/>
        <v>COFFS</v>
      </c>
      <c r="E222" s="149" t="s">
        <v>2522</v>
      </c>
      <c r="F222" s="160">
        <v>-29.943010999999998</v>
      </c>
      <c r="G222" s="70">
        <v>153.12657400000001</v>
      </c>
      <c r="H222" s="70">
        <v>0</v>
      </c>
      <c r="I222" s="151">
        <v>42872</v>
      </c>
      <c r="J222" s="149" t="s">
        <v>36</v>
      </c>
      <c r="K222" s="149" t="s">
        <v>2787</v>
      </c>
      <c r="L222" s="149" t="s">
        <v>2566</v>
      </c>
      <c r="M222" s="149" t="s">
        <v>2567</v>
      </c>
      <c r="N222" s="149" t="s">
        <v>2668</v>
      </c>
      <c r="O222" s="140" t="s">
        <v>2600</v>
      </c>
      <c r="P222" s="149" t="s">
        <v>2735</v>
      </c>
      <c r="Q222" s="149" t="s">
        <v>2384</v>
      </c>
      <c r="R222" s="149" t="s">
        <v>2713</v>
      </c>
      <c r="S222" s="149">
        <v>4.4999999999999998E-2</v>
      </c>
      <c r="T222" s="149">
        <v>3.8671999999999984E-2</v>
      </c>
      <c r="U222" s="70">
        <f t="shared" si="6"/>
        <v>6.3280000000000142E-3</v>
      </c>
      <c r="V222" s="149">
        <v>3.0659999999999998</v>
      </c>
      <c r="W222" s="149">
        <f>5.774+4.913</f>
        <v>10.687000000000001</v>
      </c>
      <c r="X222" s="149">
        <f t="shared" si="7"/>
        <v>32.766342000000002</v>
      </c>
      <c r="Y222" s="149"/>
    </row>
    <row r="223" spans="1:25" ht="16">
      <c r="A223" s="117" t="s">
        <v>3570</v>
      </c>
      <c r="B223" s="150" t="s">
        <v>100</v>
      </c>
      <c r="C223" s="149" t="s">
        <v>1744</v>
      </c>
      <c r="D223" s="149" t="str">
        <f t="shared" si="8"/>
        <v>COFFS</v>
      </c>
      <c r="E223" s="149" t="s">
        <v>2522</v>
      </c>
      <c r="F223" s="160">
        <v>-29.943010999999998</v>
      </c>
      <c r="G223" s="70">
        <v>153.12657400000001</v>
      </c>
      <c r="H223" s="70">
        <v>0</v>
      </c>
      <c r="I223" s="151">
        <v>42872</v>
      </c>
      <c r="J223" s="149" t="s">
        <v>36</v>
      </c>
      <c r="K223" s="149" t="s">
        <v>2787</v>
      </c>
      <c r="L223" s="149" t="s">
        <v>2566</v>
      </c>
      <c r="M223" s="149" t="s">
        <v>2567</v>
      </c>
      <c r="N223" s="149" t="s">
        <v>2668</v>
      </c>
      <c r="O223" s="140" t="s">
        <v>2600</v>
      </c>
      <c r="P223" s="149" t="s">
        <v>2735</v>
      </c>
      <c r="Q223" s="149" t="s">
        <v>2384</v>
      </c>
      <c r="R223" s="149" t="s">
        <v>2713</v>
      </c>
      <c r="S223" s="149">
        <v>4.6699999999999998E-2</v>
      </c>
      <c r="T223" s="149">
        <v>3.8671999999999984E-2</v>
      </c>
      <c r="U223" s="70">
        <f t="shared" si="6"/>
        <v>8.0280000000000143E-3</v>
      </c>
      <c r="V223" s="149">
        <v>3.3530000000000002</v>
      </c>
      <c r="W223" s="149">
        <v>13.441000000000001</v>
      </c>
      <c r="X223" s="149">
        <f t="shared" si="7"/>
        <v>45.067673000000006</v>
      </c>
      <c r="Y223" s="149"/>
    </row>
    <row r="224" spans="1:25" ht="16">
      <c r="A224" s="117" t="s">
        <v>3570</v>
      </c>
      <c r="B224" s="150" t="s">
        <v>101</v>
      </c>
      <c r="C224" s="149" t="s">
        <v>1744</v>
      </c>
      <c r="D224" s="149" t="str">
        <f t="shared" si="8"/>
        <v>COFFS</v>
      </c>
      <c r="E224" s="149" t="s">
        <v>2522</v>
      </c>
      <c r="F224" s="160">
        <v>-29.943010999999998</v>
      </c>
      <c r="G224" s="70">
        <v>153.12657400000001</v>
      </c>
      <c r="H224" s="70">
        <v>0</v>
      </c>
      <c r="I224" s="151">
        <v>42872</v>
      </c>
      <c r="J224" s="149" t="s">
        <v>36</v>
      </c>
      <c r="K224" s="149" t="s">
        <v>2787</v>
      </c>
      <c r="L224" s="149" t="s">
        <v>2566</v>
      </c>
      <c r="M224" s="149" t="s">
        <v>2567</v>
      </c>
      <c r="N224" s="149" t="s">
        <v>2668</v>
      </c>
      <c r="O224" s="140" t="s">
        <v>2600</v>
      </c>
      <c r="P224" s="149" t="s">
        <v>2735</v>
      </c>
      <c r="Q224" s="149" t="s">
        <v>2384</v>
      </c>
      <c r="R224" s="149" t="s">
        <v>2713</v>
      </c>
      <c r="S224" s="149">
        <v>4.7E-2</v>
      </c>
      <c r="T224" s="149">
        <v>3.8671999999999984E-2</v>
      </c>
      <c r="U224" s="70">
        <f t="shared" si="6"/>
        <v>8.3280000000000159E-3</v>
      </c>
      <c r="V224" s="149">
        <v>3.161</v>
      </c>
      <c r="W224" s="149">
        <v>11.659000000000001</v>
      </c>
      <c r="X224" s="149">
        <f t="shared" si="7"/>
        <v>36.854099000000005</v>
      </c>
      <c r="Y224" s="149"/>
    </row>
    <row r="225" spans="1:25" ht="16">
      <c r="A225" s="117" t="s">
        <v>3570</v>
      </c>
      <c r="B225" s="150" t="s">
        <v>102</v>
      </c>
      <c r="C225" s="149" t="s">
        <v>1744</v>
      </c>
      <c r="D225" s="149" t="str">
        <f t="shared" si="8"/>
        <v>COFFS</v>
      </c>
      <c r="E225" s="149" t="s">
        <v>2522</v>
      </c>
      <c r="F225" s="160">
        <v>-29.943010999999998</v>
      </c>
      <c r="G225" s="70">
        <v>153.12657400000001</v>
      </c>
      <c r="H225" s="70">
        <v>0</v>
      </c>
      <c r="I225" s="151">
        <v>42872</v>
      </c>
      <c r="J225" s="149" t="s">
        <v>36</v>
      </c>
      <c r="K225" s="149" t="s">
        <v>2787</v>
      </c>
      <c r="L225" s="149" t="s">
        <v>2566</v>
      </c>
      <c r="M225" s="149" t="s">
        <v>2567</v>
      </c>
      <c r="N225" s="149" t="s">
        <v>2668</v>
      </c>
      <c r="O225" s="140" t="s">
        <v>2600</v>
      </c>
      <c r="P225" s="149" t="s">
        <v>2735</v>
      </c>
      <c r="Q225" s="149" t="s">
        <v>2384</v>
      </c>
      <c r="R225" s="149" t="s">
        <v>2713</v>
      </c>
      <c r="S225" s="149">
        <v>4.6600000000000003E-2</v>
      </c>
      <c r="T225" s="149">
        <v>3.8671999999999984E-2</v>
      </c>
      <c r="U225" s="70">
        <f t="shared" si="6"/>
        <v>7.9280000000000184E-3</v>
      </c>
      <c r="V225" s="149">
        <v>3.2320000000000002</v>
      </c>
      <c r="W225" s="149">
        <f>6.04+6.466</f>
        <v>12.506</v>
      </c>
      <c r="X225" s="149">
        <f t="shared" si="7"/>
        <v>40.419392000000002</v>
      </c>
      <c r="Y225" s="149"/>
    </row>
    <row r="226" spans="1:25" ht="16">
      <c r="A226" s="117" t="s">
        <v>3570</v>
      </c>
      <c r="B226" s="150" t="s">
        <v>103</v>
      </c>
      <c r="C226" s="149" t="s">
        <v>1744</v>
      </c>
      <c r="D226" s="149" t="str">
        <f t="shared" si="8"/>
        <v>COFFS</v>
      </c>
      <c r="E226" s="149" t="s">
        <v>2522</v>
      </c>
      <c r="F226" s="160">
        <v>-29.943010999999998</v>
      </c>
      <c r="G226" s="70">
        <v>153.12657400000001</v>
      </c>
      <c r="H226" s="70">
        <v>0</v>
      </c>
      <c r="I226" s="151">
        <v>42872</v>
      </c>
      <c r="J226" s="149" t="s">
        <v>36</v>
      </c>
      <c r="K226" s="149" t="s">
        <v>2787</v>
      </c>
      <c r="L226" s="149" t="s">
        <v>2566</v>
      </c>
      <c r="M226" s="149" t="s">
        <v>2567</v>
      </c>
      <c r="N226" s="149" t="s">
        <v>2668</v>
      </c>
      <c r="O226" s="140" t="s">
        <v>2600</v>
      </c>
      <c r="P226" s="149" t="s">
        <v>2735</v>
      </c>
      <c r="Q226" s="149" t="s">
        <v>2384</v>
      </c>
      <c r="R226" s="149" t="s">
        <v>2713</v>
      </c>
      <c r="S226" s="149">
        <v>4.6899999999999997E-2</v>
      </c>
      <c r="T226" s="149">
        <v>3.8671999999999984E-2</v>
      </c>
      <c r="U226" s="70">
        <f t="shared" si="6"/>
        <v>8.2280000000000131E-3</v>
      </c>
      <c r="V226" s="149">
        <v>3.2690000000000001</v>
      </c>
      <c r="W226" s="149">
        <f>6.007+6.24</f>
        <v>12.247</v>
      </c>
      <c r="X226" s="149">
        <f t="shared" si="7"/>
        <v>40.035443000000001</v>
      </c>
      <c r="Y226" s="149"/>
    </row>
    <row r="227" spans="1:25" ht="16">
      <c r="A227" s="117" t="s">
        <v>3570</v>
      </c>
      <c r="B227" s="150" t="s">
        <v>104</v>
      </c>
      <c r="C227" s="149" t="s">
        <v>1744</v>
      </c>
      <c r="D227" s="149" t="str">
        <f t="shared" si="8"/>
        <v>COFFS</v>
      </c>
      <c r="E227" s="149" t="s">
        <v>2522</v>
      </c>
      <c r="F227" s="160">
        <v>-29.943010999999998</v>
      </c>
      <c r="G227" s="70">
        <v>153.12657400000001</v>
      </c>
      <c r="H227" s="70">
        <v>0</v>
      </c>
      <c r="I227" s="151">
        <v>42872</v>
      </c>
      <c r="J227" s="149" t="s">
        <v>36</v>
      </c>
      <c r="K227" s="149" t="s">
        <v>2787</v>
      </c>
      <c r="L227" s="149" t="s">
        <v>2566</v>
      </c>
      <c r="M227" s="149" t="s">
        <v>2574</v>
      </c>
      <c r="N227" s="140" t="s">
        <v>3191</v>
      </c>
      <c r="O227" s="149" t="s">
        <v>2111</v>
      </c>
      <c r="P227" s="149" t="s">
        <v>2739</v>
      </c>
      <c r="Q227" s="149" t="s">
        <v>2401</v>
      </c>
      <c r="R227" s="149" t="s">
        <v>2713</v>
      </c>
      <c r="S227" s="149">
        <v>4.7899999999999998E-2</v>
      </c>
      <c r="T227" s="149">
        <v>3.8671999999999984E-2</v>
      </c>
      <c r="U227" s="70">
        <f t="shared" si="6"/>
        <v>9.228000000000014E-3</v>
      </c>
      <c r="V227" s="149">
        <v>2.6680000000000001</v>
      </c>
      <c r="W227" s="149">
        <v>10.456</v>
      </c>
      <c r="X227" s="149">
        <f t="shared" si="7"/>
        <v>27.896608000000001</v>
      </c>
      <c r="Y227" s="149"/>
    </row>
    <row r="228" spans="1:25" ht="16">
      <c r="A228" s="117" t="s">
        <v>3570</v>
      </c>
      <c r="B228" s="150" t="s">
        <v>105</v>
      </c>
      <c r="C228" s="149" t="s">
        <v>1744</v>
      </c>
      <c r="D228" s="149" t="str">
        <f t="shared" si="8"/>
        <v>COFFS</v>
      </c>
      <c r="E228" s="149" t="s">
        <v>2522</v>
      </c>
      <c r="F228" s="160">
        <v>-29.943010999999998</v>
      </c>
      <c r="G228" s="70">
        <v>153.12657400000001</v>
      </c>
      <c r="H228" s="70">
        <v>0</v>
      </c>
      <c r="I228" s="151">
        <v>42872</v>
      </c>
      <c r="J228" s="149" t="s">
        <v>36</v>
      </c>
      <c r="K228" s="149" t="s">
        <v>2787</v>
      </c>
      <c r="L228" s="149" t="s">
        <v>2566</v>
      </c>
      <c r="M228" s="149" t="s">
        <v>2567</v>
      </c>
      <c r="N228" s="149" t="s">
        <v>2668</v>
      </c>
      <c r="O228" s="140" t="s">
        <v>2600</v>
      </c>
      <c r="P228" s="149" t="s">
        <v>2735</v>
      </c>
      <c r="Q228" s="149" t="s">
        <v>2384</v>
      </c>
      <c r="R228" s="149" t="s">
        <v>2713</v>
      </c>
      <c r="S228" s="149">
        <v>4.6300000000000001E-2</v>
      </c>
      <c r="T228" s="149">
        <v>3.8671999999999984E-2</v>
      </c>
      <c r="U228" s="70">
        <f t="shared" si="6"/>
        <v>7.6280000000000167E-3</v>
      </c>
      <c r="V228" s="149">
        <v>3.1059999999999999</v>
      </c>
      <c r="W228" s="149">
        <f>6.026+5.568</f>
        <v>11.593999999999999</v>
      </c>
      <c r="X228" s="149">
        <f t="shared" si="7"/>
        <v>36.010963999999994</v>
      </c>
      <c r="Y228" s="149"/>
    </row>
    <row r="229" spans="1:25" ht="16">
      <c r="A229" s="117" t="s">
        <v>3570</v>
      </c>
      <c r="B229" s="150" t="s">
        <v>106</v>
      </c>
      <c r="C229" s="149" t="s">
        <v>1744</v>
      </c>
      <c r="D229" s="149" t="str">
        <f t="shared" si="8"/>
        <v>COFFS</v>
      </c>
      <c r="E229" s="149" t="s">
        <v>2522</v>
      </c>
      <c r="F229" s="160">
        <v>-29.943010999999998</v>
      </c>
      <c r="G229" s="70">
        <v>153.12657400000001</v>
      </c>
      <c r="H229" s="70">
        <v>0</v>
      </c>
      <c r="I229" s="151">
        <v>42872</v>
      </c>
      <c r="J229" s="149" t="s">
        <v>36</v>
      </c>
      <c r="K229" s="149" t="s">
        <v>2787</v>
      </c>
      <c r="L229" s="149" t="s">
        <v>2566</v>
      </c>
      <c r="M229" s="149" t="s">
        <v>2567</v>
      </c>
      <c r="N229" s="149" t="s">
        <v>2668</v>
      </c>
      <c r="O229" s="149" t="s">
        <v>2105</v>
      </c>
      <c r="P229" s="149" t="s">
        <v>2105</v>
      </c>
      <c r="Q229" s="149" t="s">
        <v>2386</v>
      </c>
      <c r="R229" s="149" t="s">
        <v>2713</v>
      </c>
      <c r="S229" s="149">
        <v>7.2700000000000001E-2</v>
      </c>
      <c r="T229" s="149">
        <v>6.7166000000000003E-2</v>
      </c>
      <c r="U229" s="70">
        <f t="shared" si="6"/>
        <v>5.5339999999999973E-3</v>
      </c>
      <c r="V229" s="149">
        <v>2.6760000000000002</v>
      </c>
      <c r="W229" s="149">
        <f>5.447+4.868</f>
        <v>10.315000000000001</v>
      </c>
      <c r="X229" s="149">
        <f t="shared" si="7"/>
        <v>27.602940000000004</v>
      </c>
      <c r="Y229" s="149"/>
    </row>
    <row r="230" spans="1:25" ht="16">
      <c r="A230" s="117" t="s">
        <v>3570</v>
      </c>
      <c r="B230" s="150" t="s">
        <v>107</v>
      </c>
      <c r="C230" s="149" t="s">
        <v>1744</v>
      </c>
      <c r="D230" s="149" t="str">
        <f t="shared" si="8"/>
        <v>COFFS</v>
      </c>
      <c r="E230" s="149" t="s">
        <v>2522</v>
      </c>
      <c r="F230" s="160">
        <v>-29.943010999999998</v>
      </c>
      <c r="G230" s="70">
        <v>153.12657400000001</v>
      </c>
      <c r="H230" s="70">
        <v>0</v>
      </c>
      <c r="I230" s="151">
        <v>42872</v>
      </c>
      <c r="J230" s="149" t="s">
        <v>36</v>
      </c>
      <c r="K230" s="149" t="s">
        <v>2787</v>
      </c>
      <c r="L230" s="149" t="s">
        <v>2566</v>
      </c>
      <c r="M230" s="149" t="s">
        <v>2567</v>
      </c>
      <c r="N230" s="149" t="s">
        <v>2668</v>
      </c>
      <c r="O230" s="140" t="s">
        <v>2600</v>
      </c>
      <c r="P230" s="149" t="s">
        <v>2735</v>
      </c>
      <c r="Q230" s="149" t="s">
        <v>2384</v>
      </c>
      <c r="R230" s="149" t="s">
        <v>2713</v>
      </c>
      <c r="S230" s="149">
        <v>4.8099999999999997E-2</v>
      </c>
      <c r="T230" s="149">
        <v>3.8671999999999984E-2</v>
      </c>
      <c r="U230" s="70">
        <f t="shared" si="6"/>
        <v>9.4280000000000128E-3</v>
      </c>
      <c r="V230" s="149">
        <v>2.9950000000000001</v>
      </c>
      <c r="W230" s="149">
        <f>5.899+5.274</f>
        <v>11.173</v>
      </c>
      <c r="X230" s="149">
        <f t="shared" si="7"/>
        <v>33.463135000000001</v>
      </c>
      <c r="Y230" s="149"/>
    </row>
    <row r="231" spans="1:25" ht="16">
      <c r="A231" s="117" t="s">
        <v>3570</v>
      </c>
      <c r="B231" s="150" t="s">
        <v>108</v>
      </c>
      <c r="C231" s="149" t="s">
        <v>1744</v>
      </c>
      <c r="D231" s="149" t="str">
        <f t="shared" si="8"/>
        <v>COFFS</v>
      </c>
      <c r="E231" s="149" t="s">
        <v>2522</v>
      </c>
      <c r="F231" s="160">
        <v>-29.943010999999998</v>
      </c>
      <c r="G231" s="70">
        <v>153.12657400000001</v>
      </c>
      <c r="H231" s="70">
        <v>0</v>
      </c>
      <c r="I231" s="151">
        <v>42872</v>
      </c>
      <c r="J231" s="149" t="s">
        <v>36</v>
      </c>
      <c r="K231" s="149" t="s">
        <v>2787</v>
      </c>
      <c r="L231" s="149" t="s">
        <v>2566</v>
      </c>
      <c r="M231" s="149" t="s">
        <v>2567</v>
      </c>
      <c r="N231" s="149" t="s">
        <v>2668</v>
      </c>
      <c r="O231" s="140" t="s">
        <v>2600</v>
      </c>
      <c r="P231" s="149" t="s">
        <v>2735</v>
      </c>
      <c r="Q231" s="149" t="s">
        <v>2384</v>
      </c>
      <c r="R231" s="149" t="s">
        <v>2713</v>
      </c>
      <c r="S231" s="149">
        <v>4.7100000000000003E-2</v>
      </c>
      <c r="T231" s="149">
        <v>3.8671999999999984E-2</v>
      </c>
      <c r="U231" s="70">
        <f t="shared" si="6"/>
        <v>8.4280000000000188E-3</v>
      </c>
      <c r="V231" s="149">
        <v>3.1240000000000001</v>
      </c>
      <c r="W231" s="149">
        <f>6.246+5.577</f>
        <v>11.823</v>
      </c>
      <c r="X231" s="149">
        <f t="shared" si="7"/>
        <v>36.935052000000006</v>
      </c>
      <c r="Y231" s="149"/>
    </row>
    <row r="232" spans="1:25" ht="16">
      <c r="A232" s="117" t="s">
        <v>3570</v>
      </c>
      <c r="B232" s="150" t="s">
        <v>109</v>
      </c>
      <c r="C232" s="149" t="s">
        <v>1744</v>
      </c>
      <c r="D232" s="149" t="str">
        <f t="shared" si="8"/>
        <v>COFFS</v>
      </c>
      <c r="E232" s="149" t="s">
        <v>2522</v>
      </c>
      <c r="F232" s="160">
        <v>-29.943010999999998</v>
      </c>
      <c r="G232" s="70">
        <v>153.12657400000001</v>
      </c>
      <c r="H232" s="70">
        <v>0</v>
      </c>
      <c r="I232" s="151">
        <v>42872</v>
      </c>
      <c r="J232" s="149" t="s">
        <v>36</v>
      </c>
      <c r="K232" s="149" t="s">
        <v>2787</v>
      </c>
      <c r="L232" s="149" t="s">
        <v>2566</v>
      </c>
      <c r="M232" s="149" t="s">
        <v>2567</v>
      </c>
      <c r="N232" s="149" t="s">
        <v>2668</v>
      </c>
      <c r="O232" s="140" t="s">
        <v>2600</v>
      </c>
      <c r="P232" s="149" t="s">
        <v>2735</v>
      </c>
      <c r="Q232" s="149" t="s">
        <v>2384</v>
      </c>
      <c r="R232" s="149" t="s">
        <v>2713</v>
      </c>
      <c r="S232" s="149">
        <v>7.7200000000000005E-2</v>
      </c>
      <c r="T232" s="149">
        <v>6.7166000000000003E-2</v>
      </c>
      <c r="U232" s="70">
        <f t="shared" si="6"/>
        <v>1.0034000000000001E-2</v>
      </c>
      <c r="V232" s="149">
        <v>2.794</v>
      </c>
      <c r="W232" s="149">
        <f>5.99+5.714</f>
        <v>11.704000000000001</v>
      </c>
      <c r="X232" s="149">
        <f t="shared" si="7"/>
        <v>32.700976000000004</v>
      </c>
      <c r="Y232" s="149"/>
    </row>
    <row r="233" spans="1:25" ht="16">
      <c r="A233" s="117" t="s">
        <v>3570</v>
      </c>
      <c r="B233" s="150" t="s">
        <v>110</v>
      </c>
      <c r="C233" s="149" t="s">
        <v>1744</v>
      </c>
      <c r="D233" s="149" t="str">
        <f t="shared" si="8"/>
        <v>COFFS</v>
      </c>
      <c r="E233" s="149" t="s">
        <v>2522</v>
      </c>
      <c r="F233" s="160">
        <v>-29.943010999999998</v>
      </c>
      <c r="G233" s="70">
        <v>153.12657400000001</v>
      </c>
      <c r="H233" s="70">
        <v>0</v>
      </c>
      <c r="I233" s="151">
        <v>42872</v>
      </c>
      <c r="J233" s="149" t="s">
        <v>36</v>
      </c>
      <c r="K233" s="149" t="s">
        <v>2787</v>
      </c>
      <c r="L233" s="149" t="s">
        <v>2566</v>
      </c>
      <c r="M233" s="149" t="s">
        <v>2567</v>
      </c>
      <c r="N233" s="149" t="s">
        <v>2668</v>
      </c>
      <c r="O233" s="140" t="s">
        <v>2600</v>
      </c>
      <c r="P233" s="149" t="s">
        <v>2735</v>
      </c>
      <c r="Q233" s="149" t="s">
        <v>2384</v>
      </c>
      <c r="R233" s="149" t="s">
        <v>2713</v>
      </c>
      <c r="S233" s="149">
        <v>7.5999999999999998E-2</v>
      </c>
      <c r="T233" s="149">
        <v>6.7166000000000003E-2</v>
      </c>
      <c r="U233" s="70">
        <f t="shared" si="6"/>
        <v>8.8339999999999946E-3</v>
      </c>
      <c r="V233" s="149">
        <v>3.1179999999999999</v>
      </c>
      <c r="W233" s="149">
        <f>5.996+6.09</f>
        <v>12.086</v>
      </c>
      <c r="X233" s="149">
        <f t="shared" si="7"/>
        <v>37.684148</v>
      </c>
      <c r="Y233" s="149"/>
    </row>
    <row r="234" spans="1:25" ht="16">
      <c r="A234" s="117" t="s">
        <v>3570</v>
      </c>
      <c r="B234" s="150" t="s">
        <v>114</v>
      </c>
      <c r="C234" s="149" t="s">
        <v>1744</v>
      </c>
      <c r="D234" s="149" t="str">
        <f t="shared" si="8"/>
        <v>COFFS</v>
      </c>
      <c r="E234" s="149" t="s">
        <v>2537</v>
      </c>
      <c r="F234" s="160">
        <v>-30.091795000000001</v>
      </c>
      <c r="G234" s="70">
        <v>153.161948</v>
      </c>
      <c r="H234" s="70">
        <v>0</v>
      </c>
      <c r="I234" s="151">
        <v>42878</v>
      </c>
      <c r="J234" s="149" t="s">
        <v>115</v>
      </c>
      <c r="K234" s="149" t="s">
        <v>177</v>
      </c>
      <c r="L234" s="149" t="s">
        <v>2566</v>
      </c>
      <c r="M234" s="149" t="s">
        <v>2567</v>
      </c>
      <c r="N234" s="149" t="s">
        <v>2668</v>
      </c>
      <c r="O234" s="140" t="s">
        <v>2600</v>
      </c>
      <c r="P234" s="149" t="s">
        <v>2735</v>
      </c>
      <c r="Q234" s="149" t="s">
        <v>2384</v>
      </c>
      <c r="R234" s="149" t="s">
        <v>2713</v>
      </c>
      <c r="S234" s="149">
        <v>4.4400000000000002E-2</v>
      </c>
      <c r="T234" s="149">
        <v>3.8671999999999984E-2</v>
      </c>
      <c r="U234" s="70">
        <f t="shared" si="6"/>
        <v>5.7280000000000178E-3</v>
      </c>
      <c r="V234" s="149">
        <v>2.9159999999999999</v>
      </c>
      <c r="W234" s="149">
        <v>11.068</v>
      </c>
      <c r="X234" s="149">
        <f t="shared" si="7"/>
        <v>32.274287999999999</v>
      </c>
      <c r="Y234" s="149"/>
    </row>
    <row r="235" spans="1:25" ht="16">
      <c r="A235" s="117" t="s">
        <v>3570</v>
      </c>
      <c r="B235" s="150" t="s">
        <v>116</v>
      </c>
      <c r="C235" s="149" t="s">
        <v>1744</v>
      </c>
      <c r="D235" s="149" t="str">
        <f t="shared" si="8"/>
        <v>COFFS</v>
      </c>
      <c r="E235" s="149" t="s">
        <v>2537</v>
      </c>
      <c r="F235" s="160">
        <v>-30.091795000000001</v>
      </c>
      <c r="G235" s="70">
        <v>153.161948</v>
      </c>
      <c r="H235" s="70">
        <v>0</v>
      </c>
      <c r="I235" s="151">
        <v>42878</v>
      </c>
      <c r="J235" s="149" t="s">
        <v>117</v>
      </c>
      <c r="K235" s="149" t="s">
        <v>177</v>
      </c>
      <c r="L235" s="149" t="s">
        <v>2566</v>
      </c>
      <c r="M235" s="149" t="s">
        <v>2567</v>
      </c>
      <c r="N235" s="149" t="s">
        <v>2668</v>
      </c>
      <c r="O235" s="140" t="s">
        <v>2600</v>
      </c>
      <c r="P235" s="149" t="s">
        <v>2775</v>
      </c>
      <c r="Q235" s="149" t="s">
        <v>2371</v>
      </c>
      <c r="R235" s="149" t="s">
        <v>2712</v>
      </c>
      <c r="S235" s="149">
        <v>7.2800000000000004E-2</v>
      </c>
      <c r="T235" s="149">
        <v>6.7166000000000003E-2</v>
      </c>
      <c r="U235" s="70">
        <f t="shared" si="6"/>
        <v>5.6340000000000001E-3</v>
      </c>
      <c r="V235" s="149">
        <v>2.8109999999999999</v>
      </c>
      <c r="W235" s="149">
        <f>6.298+4.722</f>
        <v>11.02</v>
      </c>
      <c r="X235" s="149">
        <f t="shared" si="7"/>
        <v>30.977219999999999</v>
      </c>
      <c r="Y235" s="149"/>
    </row>
    <row r="236" spans="1:25" ht="16">
      <c r="A236" s="117" t="s">
        <v>3570</v>
      </c>
      <c r="B236" s="150" t="s">
        <v>118</v>
      </c>
      <c r="C236" s="149" t="s">
        <v>1744</v>
      </c>
      <c r="D236" s="149" t="str">
        <f t="shared" si="8"/>
        <v>COFFS</v>
      </c>
      <c r="E236" s="149" t="s">
        <v>2537</v>
      </c>
      <c r="F236" s="160">
        <v>-30.091795000000001</v>
      </c>
      <c r="G236" s="70">
        <v>153.161948</v>
      </c>
      <c r="H236" s="70">
        <v>0</v>
      </c>
      <c r="I236" s="151">
        <v>42878</v>
      </c>
      <c r="J236" s="149" t="s">
        <v>117</v>
      </c>
      <c r="K236" s="149" t="s">
        <v>177</v>
      </c>
      <c r="L236" s="149" t="s">
        <v>2566</v>
      </c>
      <c r="M236" s="149" t="s">
        <v>2567</v>
      </c>
      <c r="N236" s="149" t="s">
        <v>2668</v>
      </c>
      <c r="O236" s="140" t="s">
        <v>2600</v>
      </c>
      <c r="P236" s="149" t="s">
        <v>2775</v>
      </c>
      <c r="Q236" s="149" t="s">
        <v>2371</v>
      </c>
      <c r="R236" s="149" t="s">
        <v>2712</v>
      </c>
      <c r="S236" s="149">
        <v>7.2599999999999998E-2</v>
      </c>
      <c r="T236" s="149">
        <v>6.7166000000000003E-2</v>
      </c>
      <c r="U236" s="70">
        <f t="shared" si="6"/>
        <v>5.4339999999999944E-3</v>
      </c>
      <c r="V236" s="149">
        <v>2.48</v>
      </c>
      <c r="W236" s="149">
        <f>5.696+5.883</f>
        <v>11.579000000000001</v>
      </c>
      <c r="X236" s="149">
        <f t="shared" si="7"/>
        <v>28.715920000000001</v>
      </c>
      <c r="Y236" s="149"/>
    </row>
    <row r="237" spans="1:25" ht="16">
      <c r="A237" s="117" t="s">
        <v>3570</v>
      </c>
      <c r="B237" s="150" t="s">
        <v>120</v>
      </c>
      <c r="C237" s="149" t="s">
        <v>1744</v>
      </c>
      <c r="D237" s="149" t="str">
        <f t="shared" si="8"/>
        <v>COFFS</v>
      </c>
      <c r="E237" s="149" t="s">
        <v>2538</v>
      </c>
      <c r="F237" s="160">
        <v>-30.011405</v>
      </c>
      <c r="G237" s="70">
        <v>153.11167499999999</v>
      </c>
      <c r="H237" s="70">
        <v>0</v>
      </c>
      <c r="I237" s="151">
        <v>42878</v>
      </c>
      <c r="J237" s="149" t="s">
        <v>2788</v>
      </c>
      <c r="K237" s="149" t="s">
        <v>177</v>
      </c>
      <c r="L237" s="149" t="s">
        <v>2572</v>
      </c>
      <c r="M237" s="149" t="s">
        <v>2576</v>
      </c>
      <c r="N237" s="149" t="s">
        <v>3192</v>
      </c>
      <c r="O237" s="149" t="s">
        <v>2777</v>
      </c>
      <c r="P237" s="149" t="s">
        <v>2776</v>
      </c>
      <c r="Q237" s="149" t="s">
        <v>2402</v>
      </c>
      <c r="R237" s="149" t="s">
        <v>2712</v>
      </c>
      <c r="S237" s="149">
        <v>4.4499999999999998E-2</v>
      </c>
      <c r="T237" s="149">
        <v>3.8671999999999984E-2</v>
      </c>
      <c r="U237" s="70">
        <f t="shared" si="6"/>
        <v>5.8280000000000137E-3</v>
      </c>
      <c r="V237" s="149">
        <v>2.798</v>
      </c>
      <c r="W237" s="149">
        <f>7.311+6.4076</f>
        <v>13.7186</v>
      </c>
      <c r="X237" s="149">
        <f t="shared" si="7"/>
        <v>38.384642800000002</v>
      </c>
      <c r="Y237" s="149"/>
    </row>
    <row r="238" spans="1:25" ht="16">
      <c r="A238" s="117" t="s">
        <v>3570</v>
      </c>
      <c r="B238" s="150" t="s">
        <v>123</v>
      </c>
      <c r="C238" s="149" t="s">
        <v>1744</v>
      </c>
      <c r="D238" s="149" t="str">
        <f t="shared" si="8"/>
        <v>COFFS</v>
      </c>
      <c r="E238" s="149" t="s">
        <v>2537</v>
      </c>
      <c r="F238" s="160">
        <v>-30.091795000000001</v>
      </c>
      <c r="G238" s="70">
        <v>153.161948</v>
      </c>
      <c r="H238" s="70">
        <v>0</v>
      </c>
      <c r="I238" s="151">
        <v>42878</v>
      </c>
      <c r="J238" s="149" t="s">
        <v>124</v>
      </c>
      <c r="K238" s="149" t="s">
        <v>177</v>
      </c>
      <c r="L238" s="149" t="s">
        <v>2566</v>
      </c>
      <c r="M238" s="149" t="s">
        <v>2567</v>
      </c>
      <c r="N238" s="149" t="s">
        <v>2668</v>
      </c>
      <c r="O238" s="140" t="s">
        <v>2600</v>
      </c>
      <c r="P238" s="149" t="s">
        <v>2775</v>
      </c>
      <c r="Q238" s="149" t="s">
        <v>2371</v>
      </c>
      <c r="R238" s="149" t="s">
        <v>2713</v>
      </c>
      <c r="S238" s="149">
        <v>4.7300000000000002E-2</v>
      </c>
      <c r="T238" s="149">
        <v>3.8671999999999984E-2</v>
      </c>
      <c r="U238" s="70">
        <f t="shared" si="6"/>
        <v>8.6280000000000176E-3</v>
      </c>
      <c r="V238" s="149">
        <v>3.11</v>
      </c>
      <c r="W238" s="149">
        <f>6.189+5.417</f>
        <v>11.606</v>
      </c>
      <c r="X238" s="149">
        <f t="shared" si="7"/>
        <v>36.094659999999998</v>
      </c>
      <c r="Y238" s="149"/>
    </row>
    <row r="239" spans="1:25" ht="16">
      <c r="A239" s="117" t="s">
        <v>3570</v>
      </c>
      <c r="B239" s="150" t="s">
        <v>129</v>
      </c>
      <c r="C239" s="149" t="s">
        <v>1744</v>
      </c>
      <c r="D239" s="149" t="str">
        <f t="shared" si="8"/>
        <v>COFFS</v>
      </c>
      <c r="E239" s="149" t="s">
        <v>2538</v>
      </c>
      <c r="F239" s="160">
        <v>-30.011405</v>
      </c>
      <c r="G239" s="70">
        <v>153.11167499999999</v>
      </c>
      <c r="H239" s="70">
        <v>0</v>
      </c>
      <c r="I239" s="151">
        <v>42878</v>
      </c>
      <c r="J239" s="149" t="s">
        <v>2785</v>
      </c>
      <c r="K239" s="149" t="s">
        <v>177</v>
      </c>
      <c r="L239" s="149" t="s">
        <v>2566</v>
      </c>
      <c r="M239" s="149" t="s">
        <v>2574</v>
      </c>
      <c r="N239" s="140" t="s">
        <v>3191</v>
      </c>
      <c r="O239" s="149" t="s">
        <v>2111</v>
      </c>
      <c r="P239" s="149" t="s">
        <v>2739</v>
      </c>
      <c r="Q239" s="149" t="s">
        <v>2399</v>
      </c>
      <c r="R239" s="149" t="s">
        <v>2712</v>
      </c>
      <c r="S239" s="149">
        <v>8.6499999999999994E-2</v>
      </c>
      <c r="T239" s="149">
        <v>6.7166000000000003E-2</v>
      </c>
      <c r="U239" s="70">
        <f t="shared" si="6"/>
        <v>1.933399999999999E-2</v>
      </c>
      <c r="V239" s="149">
        <v>4.4969999999999999</v>
      </c>
      <c r="W239" s="149">
        <v>16.451000000000001</v>
      </c>
      <c r="X239" s="149">
        <f t="shared" si="7"/>
        <v>73.980147000000002</v>
      </c>
      <c r="Y239" s="149"/>
    </row>
    <row r="240" spans="1:25" ht="16">
      <c r="A240" s="117" t="s">
        <v>3570</v>
      </c>
      <c r="B240" s="150" t="s">
        <v>130</v>
      </c>
      <c r="C240" s="149" t="s">
        <v>1744</v>
      </c>
      <c r="D240" s="149" t="str">
        <f t="shared" si="8"/>
        <v>COFFS</v>
      </c>
      <c r="E240" s="149" t="s">
        <v>2537</v>
      </c>
      <c r="F240" s="160">
        <v>-30.091795000000001</v>
      </c>
      <c r="G240" s="70">
        <v>153.161948</v>
      </c>
      <c r="H240" s="70">
        <v>0</v>
      </c>
      <c r="I240" s="151">
        <v>42878</v>
      </c>
      <c r="J240" s="149" t="s">
        <v>131</v>
      </c>
      <c r="K240" s="149" t="s">
        <v>177</v>
      </c>
      <c r="L240" s="149" t="s">
        <v>2566</v>
      </c>
      <c r="M240" s="149" t="s">
        <v>2567</v>
      </c>
      <c r="N240" s="149" t="s">
        <v>2668</v>
      </c>
      <c r="O240" s="140" t="s">
        <v>2600</v>
      </c>
      <c r="P240" s="149" t="s">
        <v>2775</v>
      </c>
      <c r="Q240" s="149" t="s">
        <v>2371</v>
      </c>
      <c r="R240" s="149" t="s">
        <v>2712</v>
      </c>
      <c r="S240" s="149">
        <v>4.4999999999999998E-2</v>
      </c>
      <c r="T240" s="149">
        <v>3.8671999999999984E-2</v>
      </c>
      <c r="U240" s="70">
        <f t="shared" ref="U240:U303" si="9">S240-T240</f>
        <v>6.3280000000000142E-3</v>
      </c>
      <c r="V240" s="149">
        <v>3.1440000000000001</v>
      </c>
      <c r="W240" s="149">
        <f>6.411+5.707</f>
        <v>12.117999999999999</v>
      </c>
      <c r="X240" s="149">
        <f t="shared" ref="X240:X303" si="10">V240*W240</f>
        <v>38.098991999999996</v>
      </c>
      <c r="Y240" s="149"/>
    </row>
    <row r="241" spans="1:25" ht="16">
      <c r="A241" s="117" t="s">
        <v>3570</v>
      </c>
      <c r="B241" s="150" t="s">
        <v>132</v>
      </c>
      <c r="C241" s="149" t="s">
        <v>1744</v>
      </c>
      <c r="D241" s="149" t="str">
        <f t="shared" ref="D241:D304" si="11">LEFT(E241,5)</f>
        <v>COFFS</v>
      </c>
      <c r="E241" s="149" t="s">
        <v>2538</v>
      </c>
      <c r="F241" s="160">
        <v>-30.011405</v>
      </c>
      <c r="G241" s="70">
        <v>153.11167499999999</v>
      </c>
      <c r="H241" s="70">
        <v>0</v>
      </c>
      <c r="I241" s="151">
        <v>42878</v>
      </c>
      <c r="J241" s="149" t="s">
        <v>2785</v>
      </c>
      <c r="K241" s="149" t="s">
        <v>177</v>
      </c>
      <c r="L241" s="149" t="s">
        <v>1687</v>
      </c>
      <c r="M241" s="149" t="s">
        <v>2563</v>
      </c>
      <c r="N241" s="149" t="s">
        <v>2562</v>
      </c>
      <c r="O241" s="149" t="s">
        <v>2103</v>
      </c>
      <c r="P241" s="149" t="s">
        <v>2103</v>
      </c>
      <c r="Q241" s="149" t="s">
        <v>2104</v>
      </c>
      <c r="R241" s="149" t="s">
        <v>2713</v>
      </c>
      <c r="S241" s="149">
        <v>4.0399999999999998E-2</v>
      </c>
      <c r="T241" s="149">
        <v>3.8671999999999984E-2</v>
      </c>
      <c r="U241" s="70">
        <f t="shared" si="9"/>
        <v>1.7280000000000142E-3</v>
      </c>
      <c r="V241" s="149">
        <v>1.974</v>
      </c>
      <c r="W241" s="149">
        <v>6.7080000000000002</v>
      </c>
      <c r="X241" s="149">
        <f t="shared" si="10"/>
        <v>13.241592000000001</v>
      </c>
      <c r="Y241" s="149"/>
    </row>
    <row r="242" spans="1:25" ht="16">
      <c r="A242" s="117" t="s">
        <v>3570</v>
      </c>
      <c r="B242" s="150" t="s">
        <v>135</v>
      </c>
      <c r="C242" s="149" t="s">
        <v>1744</v>
      </c>
      <c r="D242" s="149" t="str">
        <f t="shared" si="11"/>
        <v>COFFS</v>
      </c>
      <c r="E242" s="149" t="s">
        <v>2537</v>
      </c>
      <c r="F242" s="160">
        <v>-30.091795000000001</v>
      </c>
      <c r="G242" s="70">
        <v>153.161948</v>
      </c>
      <c r="H242" s="70">
        <v>0</v>
      </c>
      <c r="I242" s="151">
        <v>42878</v>
      </c>
      <c r="J242" s="149" t="s">
        <v>124</v>
      </c>
      <c r="K242" s="149" t="s">
        <v>177</v>
      </c>
      <c r="L242" s="149" t="s">
        <v>2566</v>
      </c>
      <c r="M242" s="149" t="s">
        <v>2567</v>
      </c>
      <c r="N242" s="149" t="s">
        <v>2668</v>
      </c>
      <c r="O242" s="140" t="s">
        <v>2600</v>
      </c>
      <c r="P242" s="149" t="s">
        <v>2735</v>
      </c>
      <c r="Q242" s="149" t="s">
        <v>2384</v>
      </c>
      <c r="R242" s="149" t="s">
        <v>2713</v>
      </c>
      <c r="S242" s="149">
        <v>5.62E-2</v>
      </c>
      <c r="T242" s="149">
        <v>3.8671999999999984E-2</v>
      </c>
      <c r="U242" s="70">
        <f t="shared" si="9"/>
        <v>1.7528000000000016E-2</v>
      </c>
      <c r="V242" s="149">
        <v>3.2959999999999998</v>
      </c>
      <c r="W242" s="149">
        <f>6.912+7.205</f>
        <v>14.117000000000001</v>
      </c>
      <c r="X242" s="149">
        <f t="shared" si="10"/>
        <v>46.529631999999999</v>
      </c>
      <c r="Y242" s="149"/>
    </row>
    <row r="243" spans="1:25" ht="16">
      <c r="A243" s="117" t="s">
        <v>3570</v>
      </c>
      <c r="B243" s="150" t="s">
        <v>139</v>
      </c>
      <c r="C243" s="149" t="s">
        <v>1744</v>
      </c>
      <c r="D243" s="149" t="str">
        <f t="shared" si="11"/>
        <v>COFFS</v>
      </c>
      <c r="E243" s="149" t="s">
        <v>2538</v>
      </c>
      <c r="F243" s="160">
        <v>-30.011405</v>
      </c>
      <c r="G243" s="70">
        <v>153.11167499999999</v>
      </c>
      <c r="H243" s="70">
        <v>0</v>
      </c>
      <c r="I243" s="151">
        <v>42879</v>
      </c>
      <c r="J243" s="149" t="s">
        <v>140</v>
      </c>
      <c r="K243" s="149" t="s">
        <v>177</v>
      </c>
      <c r="L243" s="149" t="s">
        <v>2572</v>
      </c>
      <c r="M243" s="149" t="s">
        <v>2576</v>
      </c>
      <c r="N243" s="149" t="s">
        <v>3192</v>
      </c>
      <c r="O243" s="149" t="s">
        <v>2777</v>
      </c>
      <c r="P243" s="149" t="s">
        <v>2776</v>
      </c>
      <c r="Q243" s="149" t="s">
        <v>2402</v>
      </c>
      <c r="R243" s="149" t="s">
        <v>2712</v>
      </c>
      <c r="S243" s="149">
        <v>4.5999999999999999E-2</v>
      </c>
      <c r="T243" s="149">
        <v>3.8671999999999984E-2</v>
      </c>
      <c r="U243" s="70">
        <f t="shared" si="9"/>
        <v>7.3280000000000151E-3</v>
      </c>
      <c r="V243" s="149">
        <v>3.0329999999999999</v>
      </c>
      <c r="W243" s="149">
        <f>5.931+6.901</f>
        <v>12.832000000000001</v>
      </c>
      <c r="X243" s="149">
        <f t="shared" si="10"/>
        <v>38.919456000000004</v>
      </c>
      <c r="Y243" s="149"/>
    </row>
    <row r="244" spans="1:25" ht="16">
      <c r="A244" s="117" t="s">
        <v>3570</v>
      </c>
      <c r="B244" s="150" t="s">
        <v>141</v>
      </c>
      <c r="C244" s="149" t="s">
        <v>1744</v>
      </c>
      <c r="D244" s="149" t="str">
        <f t="shared" si="11"/>
        <v>COFFS</v>
      </c>
      <c r="E244" s="149" t="s">
        <v>2538</v>
      </c>
      <c r="F244" s="160">
        <v>-30.011405</v>
      </c>
      <c r="G244" s="70">
        <v>153.11167499999999</v>
      </c>
      <c r="H244" s="70">
        <v>0</v>
      </c>
      <c r="I244" s="151">
        <v>42879</v>
      </c>
      <c r="J244" s="149" t="s">
        <v>140</v>
      </c>
      <c r="K244" s="149" t="s">
        <v>177</v>
      </c>
      <c r="L244" s="149" t="s">
        <v>2572</v>
      </c>
      <c r="M244" s="149" t="s">
        <v>2576</v>
      </c>
      <c r="N244" s="149" t="s">
        <v>3192</v>
      </c>
      <c r="O244" s="149" t="s">
        <v>2777</v>
      </c>
      <c r="P244" s="149" t="s">
        <v>2776</v>
      </c>
      <c r="Q244" s="149" t="s">
        <v>2402</v>
      </c>
      <c r="R244" s="149" t="s">
        <v>2712</v>
      </c>
      <c r="S244" s="149">
        <v>4.53E-2</v>
      </c>
      <c r="T244" s="149">
        <v>3.8671999999999984E-2</v>
      </c>
      <c r="U244" s="70">
        <f t="shared" si="9"/>
        <v>6.6280000000000158E-3</v>
      </c>
      <c r="V244" s="149">
        <v>2.702</v>
      </c>
      <c r="W244" s="149">
        <f>6.531+5.114</f>
        <v>11.645</v>
      </c>
      <c r="X244" s="149">
        <f t="shared" si="10"/>
        <v>31.464789999999997</v>
      </c>
      <c r="Y244" s="149"/>
    </row>
    <row r="245" spans="1:25" ht="16">
      <c r="A245" s="117" t="s">
        <v>3570</v>
      </c>
      <c r="B245" s="150" t="s">
        <v>142</v>
      </c>
      <c r="C245" s="149" t="s">
        <v>1744</v>
      </c>
      <c r="D245" s="149" t="str">
        <f t="shared" si="11"/>
        <v>COFFS</v>
      </c>
      <c r="E245" s="149" t="s">
        <v>2538</v>
      </c>
      <c r="F245" s="160">
        <v>-30.011405</v>
      </c>
      <c r="G245" s="70">
        <v>153.11167499999999</v>
      </c>
      <c r="H245" s="70">
        <v>0</v>
      </c>
      <c r="I245" s="151">
        <v>42879</v>
      </c>
      <c r="J245" s="149" t="s">
        <v>140</v>
      </c>
      <c r="K245" s="149" t="s">
        <v>177</v>
      </c>
      <c r="L245" s="149" t="s">
        <v>1687</v>
      </c>
      <c r="M245" s="149" t="s">
        <v>2564</v>
      </c>
      <c r="N245" s="149" t="s">
        <v>2577</v>
      </c>
      <c r="O245" s="149" t="s">
        <v>2742</v>
      </c>
      <c r="P245" s="149" t="s">
        <v>2740</v>
      </c>
      <c r="Q245" s="149" t="s">
        <v>2389</v>
      </c>
      <c r="R245" s="149" t="s">
        <v>2713</v>
      </c>
      <c r="S245" s="149">
        <v>0.1817</v>
      </c>
      <c r="T245" s="149">
        <v>9.6175999999999984E-2</v>
      </c>
      <c r="U245" s="70">
        <f t="shared" si="9"/>
        <v>8.5524000000000017E-2</v>
      </c>
      <c r="V245" s="149">
        <v>6.9409999999999998</v>
      </c>
      <c r="W245" s="149">
        <f>10.373+10.374</f>
        <v>20.747</v>
      </c>
      <c r="X245" s="149">
        <f t="shared" si="10"/>
        <v>144.00492700000001</v>
      </c>
      <c r="Y245" s="149"/>
    </row>
    <row r="246" spans="1:25" ht="16">
      <c r="A246" s="117" t="s">
        <v>3570</v>
      </c>
      <c r="B246" s="150" t="s">
        <v>146</v>
      </c>
      <c r="C246" s="149" t="s">
        <v>1744</v>
      </c>
      <c r="D246" s="149" t="str">
        <f t="shared" si="11"/>
        <v>COFFS</v>
      </c>
      <c r="E246" s="149" t="s">
        <v>2538</v>
      </c>
      <c r="F246" s="160">
        <v>-30.011405</v>
      </c>
      <c r="G246" s="70">
        <v>153.11167499999999</v>
      </c>
      <c r="H246" s="70">
        <v>0</v>
      </c>
      <c r="I246" s="151">
        <v>42879</v>
      </c>
      <c r="J246" s="149" t="s">
        <v>140</v>
      </c>
      <c r="K246" s="149" t="s">
        <v>177</v>
      </c>
      <c r="L246" s="149" t="s">
        <v>1687</v>
      </c>
      <c r="M246" s="149" t="s">
        <v>2564</v>
      </c>
      <c r="N246" s="149" t="s">
        <v>2565</v>
      </c>
      <c r="O246" s="149" t="s">
        <v>2733</v>
      </c>
      <c r="P246" s="149" t="s">
        <v>2733</v>
      </c>
      <c r="Q246" s="149" t="s">
        <v>2381</v>
      </c>
      <c r="R246" s="149" t="s">
        <v>2713</v>
      </c>
      <c r="S246" s="149">
        <v>4.3799999999999999E-2</v>
      </c>
      <c r="T246" s="149">
        <v>3.8671999999999984E-2</v>
      </c>
      <c r="U246" s="70">
        <f t="shared" si="9"/>
        <v>5.1280000000000145E-3</v>
      </c>
      <c r="V246" s="149">
        <v>2.7130000000000001</v>
      </c>
      <c r="W246" s="149">
        <v>11.228</v>
      </c>
      <c r="X246" s="149">
        <f t="shared" si="10"/>
        <v>30.461563999999999</v>
      </c>
      <c r="Y246" s="149"/>
    </row>
    <row r="247" spans="1:25" ht="16">
      <c r="A247" s="117" t="s">
        <v>3570</v>
      </c>
      <c r="B247" s="150" t="s">
        <v>149</v>
      </c>
      <c r="C247" s="149" t="s">
        <v>1744</v>
      </c>
      <c r="D247" s="149" t="str">
        <f t="shared" si="11"/>
        <v>COFFS</v>
      </c>
      <c r="E247" s="152" t="s">
        <v>2538</v>
      </c>
      <c r="F247" s="160">
        <v>-30.011405</v>
      </c>
      <c r="G247" s="70">
        <v>153.11167499999999</v>
      </c>
      <c r="H247" s="70">
        <v>0</v>
      </c>
      <c r="I247" s="153">
        <v>42880</v>
      </c>
      <c r="J247" s="152" t="s">
        <v>140</v>
      </c>
      <c r="K247" s="149" t="s">
        <v>177</v>
      </c>
      <c r="L247" s="149" t="s">
        <v>2566</v>
      </c>
      <c r="M247" s="149" t="s">
        <v>2567</v>
      </c>
      <c r="N247" s="152" t="s">
        <v>2668</v>
      </c>
      <c r="O247" s="140" t="s">
        <v>2600</v>
      </c>
      <c r="P247" s="149" t="s">
        <v>2735</v>
      </c>
      <c r="Q247" s="149" t="s">
        <v>2384</v>
      </c>
      <c r="R247" s="152" t="s">
        <v>2713</v>
      </c>
      <c r="S247" s="149">
        <v>4.7E-2</v>
      </c>
      <c r="T247" s="149">
        <v>3.8671999999999984E-2</v>
      </c>
      <c r="U247" s="70">
        <f t="shared" si="9"/>
        <v>8.3280000000000159E-3</v>
      </c>
      <c r="V247" s="149">
        <v>2.9980000000000002</v>
      </c>
      <c r="W247" s="149">
        <f>5.831+5.565</f>
        <v>11.396000000000001</v>
      </c>
      <c r="X247" s="149">
        <f t="shared" si="10"/>
        <v>34.165208000000007</v>
      </c>
      <c r="Y247" s="149"/>
    </row>
    <row r="248" spans="1:25" ht="16">
      <c r="A248" s="117" t="s">
        <v>3570</v>
      </c>
      <c r="B248" s="150" t="s">
        <v>155</v>
      </c>
      <c r="C248" s="149" t="s">
        <v>1744</v>
      </c>
      <c r="D248" s="149" t="str">
        <f t="shared" si="11"/>
        <v>COFFS</v>
      </c>
      <c r="E248" s="149" t="s">
        <v>2540</v>
      </c>
      <c r="F248" s="160">
        <v>-30.037337000000001</v>
      </c>
      <c r="G248" s="70">
        <v>153.147063</v>
      </c>
      <c r="H248" s="70">
        <v>0</v>
      </c>
      <c r="I248" s="151">
        <v>42886</v>
      </c>
      <c r="J248" s="149" t="s">
        <v>36</v>
      </c>
      <c r="K248" s="149" t="s">
        <v>154</v>
      </c>
      <c r="L248" s="149" t="s">
        <v>2566</v>
      </c>
      <c r="M248" s="149" t="s">
        <v>2567</v>
      </c>
      <c r="N248" s="149" t="s">
        <v>2668</v>
      </c>
      <c r="O248" s="149" t="s">
        <v>2105</v>
      </c>
      <c r="P248" s="140" t="s">
        <v>2105</v>
      </c>
      <c r="Q248" s="149" t="s">
        <v>2387</v>
      </c>
      <c r="R248" s="149" t="s">
        <v>2713</v>
      </c>
      <c r="S248" s="149">
        <v>8.0000000000000004E-4</v>
      </c>
      <c r="T248" s="149">
        <v>0</v>
      </c>
      <c r="U248" s="70">
        <f t="shared" si="9"/>
        <v>8.0000000000000004E-4</v>
      </c>
      <c r="V248" s="149">
        <v>1.4770000000000001</v>
      </c>
      <c r="W248" s="149">
        <v>6.0410000000000004</v>
      </c>
      <c r="X248" s="149">
        <f t="shared" si="10"/>
        <v>8.9225570000000012</v>
      </c>
      <c r="Y248" s="149"/>
    </row>
    <row r="249" spans="1:25" ht="16">
      <c r="A249" s="117" t="s">
        <v>3570</v>
      </c>
      <c r="B249" s="150" t="s">
        <v>156</v>
      </c>
      <c r="C249" s="149" t="s">
        <v>1744</v>
      </c>
      <c r="D249" s="149" t="str">
        <f t="shared" si="11"/>
        <v>COFFS</v>
      </c>
      <c r="E249" s="149" t="s">
        <v>2538</v>
      </c>
      <c r="F249" s="160">
        <v>-30.011405</v>
      </c>
      <c r="G249" s="70">
        <v>153.11167499999999</v>
      </c>
      <c r="H249" s="70">
        <v>0</v>
      </c>
      <c r="I249" s="151">
        <v>42879</v>
      </c>
      <c r="J249" s="149" t="s">
        <v>140</v>
      </c>
      <c r="K249" s="149" t="s">
        <v>177</v>
      </c>
      <c r="L249" s="149" t="s">
        <v>1687</v>
      </c>
      <c r="M249" s="149" t="s">
        <v>2564</v>
      </c>
      <c r="N249" s="149" t="s">
        <v>2577</v>
      </c>
      <c r="O249" s="149" t="s">
        <v>2742</v>
      </c>
      <c r="P249" s="149" t="s">
        <v>2740</v>
      </c>
      <c r="Q249" s="149" t="s">
        <v>2389</v>
      </c>
      <c r="R249" s="149" t="s">
        <v>2713</v>
      </c>
      <c r="S249" s="149">
        <v>0.19159999999999999</v>
      </c>
      <c r="T249" s="149">
        <v>9.6175999999999984E-2</v>
      </c>
      <c r="U249" s="70">
        <f t="shared" si="9"/>
        <v>9.5424000000000009E-2</v>
      </c>
      <c r="V249" s="149">
        <v>7.867</v>
      </c>
      <c r="W249" s="149">
        <f>12.357+11.935</f>
        <v>24.292000000000002</v>
      </c>
      <c r="X249" s="149">
        <f t="shared" si="10"/>
        <v>191.105164</v>
      </c>
      <c r="Y249" s="149"/>
    </row>
    <row r="250" spans="1:25" ht="16">
      <c r="A250" s="117" t="s">
        <v>3570</v>
      </c>
      <c r="B250" s="150" t="s">
        <v>157</v>
      </c>
      <c r="C250" s="149" t="s">
        <v>1744</v>
      </c>
      <c r="D250" s="149" t="str">
        <f t="shared" si="11"/>
        <v>COFFS</v>
      </c>
      <c r="E250" s="149" t="s">
        <v>2538</v>
      </c>
      <c r="F250" s="160">
        <v>-30.011405</v>
      </c>
      <c r="G250" s="70">
        <v>153.11167499999999</v>
      </c>
      <c r="H250" s="70">
        <v>0</v>
      </c>
      <c r="I250" s="151">
        <v>42879</v>
      </c>
      <c r="J250" s="149" t="s">
        <v>140</v>
      </c>
      <c r="K250" s="149" t="s">
        <v>177</v>
      </c>
      <c r="L250" s="149" t="s">
        <v>1687</v>
      </c>
      <c r="M250" s="149" t="s">
        <v>2564</v>
      </c>
      <c r="N250" s="149" t="s">
        <v>2577</v>
      </c>
      <c r="O250" s="149" t="s">
        <v>2742</v>
      </c>
      <c r="P250" s="149" t="s">
        <v>2740</v>
      </c>
      <c r="Q250" s="149" t="s">
        <v>2389</v>
      </c>
      <c r="R250" s="149" t="s">
        <v>2713</v>
      </c>
      <c r="S250" s="149">
        <v>0.1867</v>
      </c>
      <c r="T250" s="149">
        <v>9.6175999999999984E-2</v>
      </c>
      <c r="U250" s="70">
        <f t="shared" si="9"/>
        <v>9.0524000000000021E-2</v>
      </c>
      <c r="V250" s="149">
        <v>7.6130000000000004</v>
      </c>
      <c r="W250" s="149">
        <f>11.431+12.2099</f>
        <v>23.640899999999998</v>
      </c>
      <c r="X250" s="149">
        <f t="shared" si="10"/>
        <v>179.97817169999999</v>
      </c>
      <c r="Y250" s="149"/>
    </row>
    <row r="251" spans="1:25" ht="16">
      <c r="A251" s="117" t="s">
        <v>3570</v>
      </c>
      <c r="B251" s="150" t="s">
        <v>160</v>
      </c>
      <c r="C251" s="149" t="s">
        <v>1744</v>
      </c>
      <c r="D251" s="149" t="str">
        <f t="shared" si="11"/>
        <v>COFFS</v>
      </c>
      <c r="E251" s="149" t="s">
        <v>2538</v>
      </c>
      <c r="F251" s="160">
        <v>-30.011405</v>
      </c>
      <c r="G251" s="70">
        <v>153.11167499999999</v>
      </c>
      <c r="H251" s="70">
        <v>0</v>
      </c>
      <c r="I251" s="151">
        <v>42879</v>
      </c>
      <c r="J251" s="149" t="s">
        <v>140</v>
      </c>
      <c r="K251" s="149" t="s">
        <v>177</v>
      </c>
      <c r="L251" s="149" t="s">
        <v>2566</v>
      </c>
      <c r="M251" s="149" t="s">
        <v>2574</v>
      </c>
      <c r="N251" s="140" t="s">
        <v>3191</v>
      </c>
      <c r="O251" s="149" t="s">
        <v>2111</v>
      </c>
      <c r="P251" s="149" t="s">
        <v>2739</v>
      </c>
      <c r="Q251" s="149" t="s">
        <v>2399</v>
      </c>
      <c r="R251" s="149" t="s">
        <v>2712</v>
      </c>
      <c r="S251" s="149">
        <v>5.8599999999999999E-2</v>
      </c>
      <c r="T251" s="149">
        <v>3.8671999999999984E-2</v>
      </c>
      <c r="U251" s="70">
        <f t="shared" si="9"/>
        <v>1.9928000000000015E-2</v>
      </c>
      <c r="V251" s="149">
        <v>4.4029999999999996</v>
      </c>
      <c r="W251" s="149">
        <f>7.834+8.942</f>
        <v>16.776</v>
      </c>
      <c r="X251" s="149">
        <f t="shared" si="10"/>
        <v>73.864727999999985</v>
      </c>
      <c r="Y251" s="149"/>
    </row>
    <row r="252" spans="1:25" ht="16">
      <c r="A252" s="117" t="s">
        <v>3570</v>
      </c>
      <c r="B252" s="150" t="s">
        <v>161</v>
      </c>
      <c r="C252" s="149" t="s">
        <v>1744</v>
      </c>
      <c r="D252" s="149" t="str">
        <f t="shared" si="11"/>
        <v>COFFS</v>
      </c>
      <c r="E252" s="149" t="s">
        <v>2538</v>
      </c>
      <c r="F252" s="160">
        <v>-30.011405</v>
      </c>
      <c r="G252" s="70">
        <v>153.11167499999999</v>
      </c>
      <c r="H252" s="70">
        <v>0</v>
      </c>
      <c r="I252" s="151">
        <v>42880</v>
      </c>
      <c r="J252" s="149" t="s">
        <v>140</v>
      </c>
      <c r="K252" s="149" t="s">
        <v>177</v>
      </c>
      <c r="L252" s="149" t="s">
        <v>2566</v>
      </c>
      <c r="M252" s="149" t="s">
        <v>2567</v>
      </c>
      <c r="N252" s="149" t="s">
        <v>2668</v>
      </c>
      <c r="O252" s="140" t="s">
        <v>2600</v>
      </c>
      <c r="P252" s="149" t="s">
        <v>2735</v>
      </c>
      <c r="Q252" s="149" t="s">
        <v>2384</v>
      </c>
      <c r="R252" s="149" t="s">
        <v>2713</v>
      </c>
      <c r="S252" s="149">
        <v>4.4600000000000001E-2</v>
      </c>
      <c r="T252" s="149">
        <v>3.8671999999999984E-2</v>
      </c>
      <c r="U252" s="70">
        <f t="shared" si="9"/>
        <v>5.9280000000000166E-3</v>
      </c>
      <c r="V252" s="149">
        <v>2.9180000000000001</v>
      </c>
      <c r="W252" s="149">
        <v>11.334</v>
      </c>
      <c r="X252" s="149">
        <f t="shared" si="10"/>
        <v>33.072611999999999</v>
      </c>
      <c r="Y252" s="149"/>
    </row>
    <row r="253" spans="1:25" ht="16">
      <c r="A253" s="117" t="s">
        <v>3570</v>
      </c>
      <c r="B253" s="150" t="s">
        <v>162</v>
      </c>
      <c r="C253" s="149" t="s">
        <v>1744</v>
      </c>
      <c r="D253" s="149" t="str">
        <f t="shared" si="11"/>
        <v>COFFS</v>
      </c>
      <c r="E253" s="149" t="s">
        <v>2538</v>
      </c>
      <c r="F253" s="160">
        <v>-30.011405</v>
      </c>
      <c r="G253" s="70">
        <v>153.11167499999999</v>
      </c>
      <c r="H253" s="70">
        <v>0</v>
      </c>
      <c r="I253" s="151">
        <v>42879</v>
      </c>
      <c r="J253" s="149" t="s">
        <v>140</v>
      </c>
      <c r="K253" s="149" t="s">
        <v>177</v>
      </c>
      <c r="L253" s="149" t="s">
        <v>2566</v>
      </c>
      <c r="M253" s="149" t="s">
        <v>2567</v>
      </c>
      <c r="N253" s="149" t="s">
        <v>2668</v>
      </c>
      <c r="O253" s="140" t="s">
        <v>2600</v>
      </c>
      <c r="P253" s="149" t="s">
        <v>2735</v>
      </c>
      <c r="Q253" s="149" t="s">
        <v>2384</v>
      </c>
      <c r="R253" s="149" t="s">
        <v>2713</v>
      </c>
      <c r="S253" s="149">
        <v>4.3799999999999999E-2</v>
      </c>
      <c r="T253" s="149">
        <v>3.8671999999999984E-2</v>
      </c>
      <c r="U253" s="70">
        <f t="shared" si="9"/>
        <v>5.1280000000000145E-3</v>
      </c>
      <c r="V253" s="149">
        <v>2.7269999999999999</v>
      </c>
      <c r="W253" s="149">
        <v>11.199</v>
      </c>
      <c r="X253" s="149">
        <f t="shared" si="10"/>
        <v>30.539672999999997</v>
      </c>
      <c r="Y253" s="149"/>
    </row>
    <row r="254" spans="1:25" ht="16">
      <c r="A254" s="117" t="s">
        <v>3570</v>
      </c>
      <c r="B254" s="150" t="s">
        <v>163</v>
      </c>
      <c r="C254" s="149" t="s">
        <v>1744</v>
      </c>
      <c r="D254" s="149" t="str">
        <f t="shared" si="11"/>
        <v>COFFS</v>
      </c>
      <c r="E254" s="149" t="s">
        <v>2541</v>
      </c>
      <c r="F254" s="160">
        <v>-30.033556999999998</v>
      </c>
      <c r="G254" s="70">
        <v>153.18147200000001</v>
      </c>
      <c r="H254" s="70">
        <v>0</v>
      </c>
      <c r="I254" s="151">
        <v>42885</v>
      </c>
      <c r="J254" s="149" t="s">
        <v>36</v>
      </c>
      <c r="K254" s="149" t="s">
        <v>154</v>
      </c>
      <c r="L254" s="149" t="s">
        <v>1687</v>
      </c>
      <c r="M254" s="149" t="s">
        <v>2563</v>
      </c>
      <c r="N254" s="149" t="s">
        <v>2568</v>
      </c>
      <c r="O254" s="149" t="s">
        <v>2734</v>
      </c>
      <c r="P254" s="149" t="s">
        <v>2736</v>
      </c>
      <c r="Q254" s="149" t="s">
        <v>2390</v>
      </c>
      <c r="R254" s="149" t="s">
        <v>2713</v>
      </c>
      <c r="S254" s="149">
        <v>0.161</v>
      </c>
      <c r="T254" s="149">
        <v>9.6175999999999984E-2</v>
      </c>
      <c r="U254" s="70">
        <f t="shared" si="9"/>
        <v>6.482400000000002E-2</v>
      </c>
      <c r="V254" s="149">
        <v>6.5229999999999997</v>
      </c>
      <c r="W254" s="149">
        <f>9.32+11.149</f>
        <v>20.469000000000001</v>
      </c>
      <c r="X254" s="149">
        <f t="shared" si="10"/>
        <v>133.51928699999999</v>
      </c>
      <c r="Y254" s="149"/>
    </row>
    <row r="255" spans="1:25" ht="16">
      <c r="A255" s="117" t="s">
        <v>3570</v>
      </c>
      <c r="B255" s="150" t="s">
        <v>164</v>
      </c>
      <c r="C255" s="149" t="s">
        <v>1744</v>
      </c>
      <c r="D255" s="149" t="str">
        <f t="shared" si="11"/>
        <v>COFFS</v>
      </c>
      <c r="E255" s="149" t="s">
        <v>2538</v>
      </c>
      <c r="F255" s="160">
        <v>-30.011405</v>
      </c>
      <c r="G255" s="70">
        <v>153.11167499999999</v>
      </c>
      <c r="H255" s="70">
        <v>0</v>
      </c>
      <c r="I255" s="151">
        <v>42879</v>
      </c>
      <c r="J255" s="149" t="s">
        <v>140</v>
      </c>
      <c r="K255" s="149" t="s">
        <v>177</v>
      </c>
      <c r="L255" s="149" t="s">
        <v>2572</v>
      </c>
      <c r="M255" s="149" t="s">
        <v>2576</v>
      </c>
      <c r="N255" s="149" t="s">
        <v>3192</v>
      </c>
      <c r="O255" s="149" t="s">
        <v>2777</v>
      </c>
      <c r="P255" s="149" t="s">
        <v>2776</v>
      </c>
      <c r="Q255" s="149" t="s">
        <v>2402</v>
      </c>
      <c r="R255" s="149" t="s">
        <v>2712</v>
      </c>
      <c r="S255" s="149">
        <v>4.4900000000000002E-2</v>
      </c>
      <c r="T255" s="149">
        <v>3.8671999999999984E-2</v>
      </c>
      <c r="U255" s="70">
        <f t="shared" si="9"/>
        <v>6.2280000000000182E-3</v>
      </c>
      <c r="V255" s="149">
        <v>2.867</v>
      </c>
      <c r="W255" s="149">
        <f>5.061+6.783</f>
        <v>11.844000000000001</v>
      </c>
      <c r="X255" s="149">
        <f t="shared" si="10"/>
        <v>33.956748000000005</v>
      </c>
      <c r="Y255" s="149"/>
    </row>
    <row r="256" spans="1:25" ht="16">
      <c r="A256" s="117" t="s">
        <v>3570</v>
      </c>
      <c r="B256" s="150" t="s">
        <v>165</v>
      </c>
      <c r="C256" s="149" t="s">
        <v>1744</v>
      </c>
      <c r="D256" s="149" t="str">
        <f t="shared" si="11"/>
        <v>COFFS</v>
      </c>
      <c r="E256" s="149" t="s">
        <v>2538</v>
      </c>
      <c r="F256" s="160">
        <v>-30.011405</v>
      </c>
      <c r="G256" s="70">
        <v>153.11167499999999</v>
      </c>
      <c r="H256" s="70">
        <v>0</v>
      </c>
      <c r="I256" s="151">
        <v>42880</v>
      </c>
      <c r="J256" s="149" t="s">
        <v>140</v>
      </c>
      <c r="K256" s="149" t="s">
        <v>177</v>
      </c>
      <c r="L256" s="149" t="s">
        <v>2572</v>
      </c>
      <c r="M256" s="149" t="s">
        <v>2573</v>
      </c>
      <c r="N256" s="149" t="s">
        <v>36</v>
      </c>
      <c r="O256" s="149" t="s">
        <v>2606</v>
      </c>
      <c r="P256" s="149" t="s">
        <v>2778</v>
      </c>
      <c r="Q256" s="149" t="s">
        <v>2376</v>
      </c>
      <c r="R256" s="149" t="s">
        <v>2713</v>
      </c>
      <c r="S256" s="149">
        <v>4.7600000000000003E-2</v>
      </c>
      <c r="T256" s="149">
        <v>3.8671999999999984E-2</v>
      </c>
      <c r="U256" s="70">
        <f t="shared" si="9"/>
        <v>8.9280000000000193E-3</v>
      </c>
      <c r="V256" s="149">
        <v>3.214</v>
      </c>
      <c r="W256" s="149">
        <f>5.109+6.736</f>
        <v>11.844999999999999</v>
      </c>
      <c r="X256" s="149">
        <f t="shared" si="10"/>
        <v>38.069829999999996</v>
      </c>
      <c r="Y256" s="149"/>
    </row>
    <row r="257" spans="1:25" ht="16">
      <c r="A257" s="117" t="s">
        <v>3570</v>
      </c>
      <c r="B257" s="150" t="s">
        <v>166</v>
      </c>
      <c r="C257" s="149" t="s">
        <v>1744</v>
      </c>
      <c r="D257" s="149" t="str">
        <f t="shared" si="11"/>
        <v>COFFS</v>
      </c>
      <c r="E257" s="149" t="s">
        <v>2538</v>
      </c>
      <c r="F257" s="160">
        <v>-30.011405</v>
      </c>
      <c r="G257" s="70">
        <v>153.11167499999999</v>
      </c>
      <c r="H257" s="70">
        <v>0</v>
      </c>
      <c r="I257" s="151">
        <v>42879</v>
      </c>
      <c r="J257" s="149" t="s">
        <v>140</v>
      </c>
      <c r="K257" s="149" t="s">
        <v>177</v>
      </c>
      <c r="L257" s="149" t="s">
        <v>2566</v>
      </c>
      <c r="M257" s="149" t="s">
        <v>2574</v>
      </c>
      <c r="N257" s="140" t="s">
        <v>3191</v>
      </c>
      <c r="O257" s="149" t="s">
        <v>2111</v>
      </c>
      <c r="P257" s="149" t="s">
        <v>2739</v>
      </c>
      <c r="Q257" s="149" t="s">
        <v>2399</v>
      </c>
      <c r="R257" s="149" t="s">
        <v>2712</v>
      </c>
      <c r="S257" s="149">
        <v>5.9700000000000003E-2</v>
      </c>
      <c r="T257" s="149">
        <v>3.8671999999999984E-2</v>
      </c>
      <c r="U257" s="70">
        <f t="shared" si="9"/>
        <v>2.1028000000000019E-2</v>
      </c>
      <c r="V257" s="149">
        <v>4.4630000000000001</v>
      </c>
      <c r="W257" s="149">
        <f>8.097+8.203</f>
        <v>16.299999999999997</v>
      </c>
      <c r="X257" s="149">
        <f t="shared" si="10"/>
        <v>72.746899999999982</v>
      </c>
      <c r="Y257" s="149"/>
    </row>
    <row r="258" spans="1:25" ht="16">
      <c r="A258" s="117" t="s">
        <v>3570</v>
      </c>
      <c r="B258" s="150" t="s">
        <v>167</v>
      </c>
      <c r="C258" s="149" t="s">
        <v>1744</v>
      </c>
      <c r="D258" s="149" t="str">
        <f t="shared" si="11"/>
        <v>COFFS</v>
      </c>
      <c r="E258" s="149" t="s">
        <v>2538</v>
      </c>
      <c r="F258" s="160">
        <v>-30.011405</v>
      </c>
      <c r="G258" s="70">
        <v>153.11167499999999</v>
      </c>
      <c r="H258" s="70">
        <v>0</v>
      </c>
      <c r="I258" s="151">
        <v>42880</v>
      </c>
      <c r="J258" s="149" t="s">
        <v>126</v>
      </c>
      <c r="K258" s="149" t="s">
        <v>177</v>
      </c>
      <c r="L258" s="149" t="s">
        <v>2566</v>
      </c>
      <c r="M258" s="149" t="s">
        <v>2574</v>
      </c>
      <c r="N258" s="140" t="s">
        <v>3191</v>
      </c>
      <c r="O258" s="149" t="s">
        <v>2111</v>
      </c>
      <c r="P258" s="149" t="s">
        <v>2739</v>
      </c>
      <c r="Q258" s="149" t="s">
        <v>2399</v>
      </c>
      <c r="R258" s="149" t="s">
        <v>2712</v>
      </c>
      <c r="S258" s="149">
        <v>6.2100000000000002E-2</v>
      </c>
      <c r="T258" s="149">
        <v>3.8671999999999984E-2</v>
      </c>
      <c r="U258" s="70">
        <f t="shared" si="9"/>
        <v>2.3428000000000018E-2</v>
      </c>
      <c r="V258" s="149">
        <v>4.3630000000000004</v>
      </c>
      <c r="W258" s="149">
        <f>7.699+7.995</f>
        <v>15.693999999999999</v>
      </c>
      <c r="X258" s="149">
        <f t="shared" si="10"/>
        <v>68.472921999999997</v>
      </c>
      <c r="Y258" s="149"/>
    </row>
    <row r="259" spans="1:25" ht="16">
      <c r="A259" s="117" t="s">
        <v>3570</v>
      </c>
      <c r="B259" s="150" t="s">
        <v>168</v>
      </c>
      <c r="C259" s="149" t="s">
        <v>1744</v>
      </c>
      <c r="D259" s="149" t="str">
        <f t="shared" si="11"/>
        <v>COFFS</v>
      </c>
      <c r="E259" s="149" t="s">
        <v>2538</v>
      </c>
      <c r="F259" s="160">
        <v>-30.011405</v>
      </c>
      <c r="G259" s="70">
        <v>153.11167499999999</v>
      </c>
      <c r="H259" s="70">
        <v>0</v>
      </c>
      <c r="I259" s="151">
        <v>42886</v>
      </c>
      <c r="J259" s="149" t="s">
        <v>36</v>
      </c>
      <c r="K259" s="149" t="s">
        <v>154</v>
      </c>
      <c r="L259" s="149" t="s">
        <v>2566</v>
      </c>
      <c r="M259" s="149" t="s">
        <v>2567</v>
      </c>
      <c r="N259" s="149" t="s">
        <v>2668</v>
      </c>
      <c r="O259" s="140" t="s">
        <v>2600</v>
      </c>
      <c r="P259" s="149" t="s">
        <v>2735</v>
      </c>
      <c r="Q259" s="149" t="s">
        <v>2384</v>
      </c>
      <c r="R259" s="149" t="s">
        <v>2713</v>
      </c>
      <c r="S259" s="149">
        <v>4.65E-2</v>
      </c>
      <c r="T259" s="149">
        <v>3.8671999999999984E-2</v>
      </c>
      <c r="U259" s="70">
        <f t="shared" si="9"/>
        <v>7.8280000000000155E-3</v>
      </c>
      <c r="V259" s="149">
        <v>3.0710000000000002</v>
      </c>
      <c r="W259" s="149">
        <v>11.821</v>
      </c>
      <c r="X259" s="149">
        <f t="shared" si="10"/>
        <v>36.302291000000004</v>
      </c>
      <c r="Y259" s="149"/>
    </row>
    <row r="260" spans="1:25" ht="16">
      <c r="A260" s="117" t="s">
        <v>3570</v>
      </c>
      <c r="B260" s="150" t="s">
        <v>169</v>
      </c>
      <c r="C260" s="149" t="s">
        <v>1744</v>
      </c>
      <c r="D260" s="149" t="str">
        <f t="shared" si="11"/>
        <v>COFFS</v>
      </c>
      <c r="E260" s="149" t="s">
        <v>2538</v>
      </c>
      <c r="F260" s="160">
        <v>-30.011405</v>
      </c>
      <c r="G260" s="70">
        <v>153.11167499999999</v>
      </c>
      <c r="H260" s="70">
        <v>0</v>
      </c>
      <c r="I260" s="151">
        <v>42886</v>
      </c>
      <c r="J260" s="149" t="s">
        <v>36</v>
      </c>
      <c r="K260" s="149" t="s">
        <v>154</v>
      </c>
      <c r="L260" s="149" t="s">
        <v>2566</v>
      </c>
      <c r="M260" s="149" t="s">
        <v>2567</v>
      </c>
      <c r="N260" s="149" t="s">
        <v>2668</v>
      </c>
      <c r="O260" s="149" t="s">
        <v>2105</v>
      </c>
      <c r="P260" s="140" t="s">
        <v>2105</v>
      </c>
      <c r="Q260" s="149" t="s">
        <v>2387</v>
      </c>
      <c r="R260" s="149" t="s">
        <v>2713</v>
      </c>
      <c r="S260" s="149">
        <v>1.9E-3</v>
      </c>
      <c r="T260" s="149">
        <v>0</v>
      </c>
      <c r="U260" s="70">
        <f t="shared" si="9"/>
        <v>1.9E-3</v>
      </c>
      <c r="V260" s="149">
        <v>1.6519999999999999</v>
      </c>
      <c r="W260" s="149">
        <f>3.106+3.446</f>
        <v>6.5519999999999996</v>
      </c>
      <c r="X260" s="149">
        <f t="shared" si="10"/>
        <v>10.823903999999999</v>
      </c>
      <c r="Y260" s="149"/>
    </row>
    <row r="261" spans="1:25" ht="16">
      <c r="A261" s="117" t="s">
        <v>3570</v>
      </c>
      <c r="B261" s="150" t="s">
        <v>175</v>
      </c>
      <c r="C261" s="149" t="s">
        <v>1744</v>
      </c>
      <c r="D261" s="149" t="str">
        <f t="shared" si="11"/>
        <v>COFFS</v>
      </c>
      <c r="E261" s="149" t="s">
        <v>2542</v>
      </c>
      <c r="F261" s="160">
        <v>-30.009444999999999</v>
      </c>
      <c r="G261" s="70">
        <v>153.10040100000001</v>
      </c>
      <c r="H261" s="70">
        <v>0</v>
      </c>
      <c r="I261" s="151">
        <v>42863</v>
      </c>
      <c r="J261" s="149" t="s">
        <v>36</v>
      </c>
      <c r="K261" s="149" t="s">
        <v>154</v>
      </c>
      <c r="L261" s="149" t="s">
        <v>1687</v>
      </c>
      <c r="M261" s="149" t="s">
        <v>2563</v>
      </c>
      <c r="N261" s="149" t="s">
        <v>2562</v>
      </c>
      <c r="O261" s="149" t="s">
        <v>2103</v>
      </c>
      <c r="P261" s="149" t="s">
        <v>2103</v>
      </c>
      <c r="Q261" s="149" t="s">
        <v>2104</v>
      </c>
      <c r="R261" s="149" t="s">
        <v>2713</v>
      </c>
      <c r="S261" s="149">
        <v>1.5E-3</v>
      </c>
      <c r="T261" s="149">
        <v>0</v>
      </c>
      <c r="U261" s="70">
        <f t="shared" si="9"/>
        <v>1.5E-3</v>
      </c>
      <c r="V261" s="149">
        <v>1.784</v>
      </c>
      <c r="W261" s="149">
        <f>3.252+3.373</f>
        <v>6.625</v>
      </c>
      <c r="X261" s="149">
        <f t="shared" si="10"/>
        <v>11.819000000000001</v>
      </c>
      <c r="Y261" s="149"/>
    </row>
    <row r="262" spans="1:25" ht="16">
      <c r="A262" s="117" t="s">
        <v>3570</v>
      </c>
      <c r="B262" s="150" t="s">
        <v>176</v>
      </c>
      <c r="C262" s="149" t="s">
        <v>1744</v>
      </c>
      <c r="D262" s="149" t="str">
        <f t="shared" si="11"/>
        <v>COFFS</v>
      </c>
      <c r="E262" s="149" t="s">
        <v>2529</v>
      </c>
      <c r="F262" s="70">
        <v>-29.997240000000001</v>
      </c>
      <c r="G262" s="70">
        <v>153.14993100000001</v>
      </c>
      <c r="H262" s="70">
        <v>0</v>
      </c>
      <c r="I262" s="151">
        <v>42863</v>
      </c>
      <c r="J262" s="149" t="s">
        <v>2785</v>
      </c>
      <c r="K262" s="149" t="s">
        <v>177</v>
      </c>
      <c r="L262" s="149" t="s">
        <v>2566</v>
      </c>
      <c r="M262" s="149" t="s">
        <v>2567</v>
      </c>
      <c r="N262" s="149" t="s">
        <v>2668</v>
      </c>
      <c r="O262" s="140" t="s">
        <v>2600</v>
      </c>
      <c r="P262" s="149" t="s">
        <v>2735</v>
      </c>
      <c r="Q262" s="149" t="s">
        <v>2697</v>
      </c>
      <c r="R262" s="149" t="s">
        <v>2712</v>
      </c>
      <c r="S262" s="149">
        <v>2.3E-3</v>
      </c>
      <c r="T262" s="149">
        <v>0</v>
      </c>
      <c r="U262" s="70">
        <f t="shared" si="9"/>
        <v>2.3E-3</v>
      </c>
      <c r="V262" s="149">
        <v>2.0059999999999998</v>
      </c>
      <c r="W262" s="149">
        <f>4.542+1.256+2.438</f>
        <v>8.2360000000000007</v>
      </c>
      <c r="X262" s="149">
        <f t="shared" si="10"/>
        <v>16.521415999999999</v>
      </c>
      <c r="Y262" s="149"/>
    </row>
    <row r="263" spans="1:25" ht="16">
      <c r="A263" s="117" t="s">
        <v>3570</v>
      </c>
      <c r="B263" s="154" t="s">
        <v>178</v>
      </c>
      <c r="C263" s="149" t="s">
        <v>1744</v>
      </c>
      <c r="D263" s="149" t="str">
        <f t="shared" si="11"/>
        <v>COFFS</v>
      </c>
      <c r="E263" s="155" t="s">
        <v>2528</v>
      </c>
      <c r="F263" s="160">
        <v>-30.016062000000002</v>
      </c>
      <c r="G263" s="70">
        <v>153.12394800000001</v>
      </c>
      <c r="H263" s="70">
        <v>0</v>
      </c>
      <c r="I263" s="156">
        <v>42863</v>
      </c>
      <c r="J263" s="149" t="s">
        <v>36</v>
      </c>
      <c r="K263" s="155" t="s">
        <v>154</v>
      </c>
      <c r="L263" s="149" t="s">
        <v>2566</v>
      </c>
      <c r="M263" s="149" t="s">
        <v>2567</v>
      </c>
      <c r="N263" s="155" t="s">
        <v>2668</v>
      </c>
      <c r="O263" s="149" t="s">
        <v>2105</v>
      </c>
      <c r="P263" s="140" t="s">
        <v>2105</v>
      </c>
      <c r="Q263" s="149" t="s">
        <v>2387</v>
      </c>
      <c r="R263" s="149" t="s">
        <v>2713</v>
      </c>
      <c r="S263" s="149">
        <f>0.0019/2</f>
        <v>9.5E-4</v>
      </c>
      <c r="T263" s="149">
        <v>0</v>
      </c>
      <c r="U263" s="70">
        <f t="shared" si="9"/>
        <v>9.5E-4</v>
      </c>
      <c r="V263" s="149">
        <v>1.5609999999999999</v>
      </c>
      <c r="W263" s="149">
        <f>3.505+2.962</f>
        <v>6.4670000000000005</v>
      </c>
      <c r="X263" s="149">
        <f t="shared" si="10"/>
        <v>10.094987</v>
      </c>
      <c r="Y263" s="149"/>
    </row>
    <row r="264" spans="1:25" ht="16">
      <c r="A264" s="117" t="s">
        <v>3570</v>
      </c>
      <c r="B264" s="150" t="s">
        <v>2109</v>
      </c>
      <c r="C264" s="149" t="s">
        <v>1744</v>
      </c>
      <c r="D264" s="149" t="str">
        <f t="shared" si="11"/>
        <v>COFFS</v>
      </c>
      <c r="E264" s="149" t="s">
        <v>2528</v>
      </c>
      <c r="F264" s="160">
        <v>-30.016062000000002</v>
      </c>
      <c r="G264" s="70">
        <v>153.12394800000001</v>
      </c>
      <c r="H264" s="70">
        <v>0</v>
      </c>
      <c r="I264" s="151">
        <v>42863</v>
      </c>
      <c r="J264" s="149" t="s">
        <v>36</v>
      </c>
      <c r="K264" s="149" t="s">
        <v>154</v>
      </c>
      <c r="L264" s="149" t="s">
        <v>2566</v>
      </c>
      <c r="M264" s="149" t="s">
        <v>2567</v>
      </c>
      <c r="N264" s="149" t="s">
        <v>2668</v>
      </c>
      <c r="O264" s="149" t="s">
        <v>2105</v>
      </c>
      <c r="P264" s="140" t="s">
        <v>2105</v>
      </c>
      <c r="Q264" s="149" t="s">
        <v>2387</v>
      </c>
      <c r="R264" s="149" t="s">
        <v>2713</v>
      </c>
      <c r="S264" s="149">
        <f>0.0019/2</f>
        <v>9.5E-4</v>
      </c>
      <c r="T264" s="149">
        <v>0</v>
      </c>
      <c r="U264" s="70">
        <f t="shared" si="9"/>
        <v>9.5E-4</v>
      </c>
      <c r="V264" s="149">
        <v>1.5469999999999999</v>
      </c>
      <c r="W264" s="149">
        <f>2.757+1.763+1.496</f>
        <v>6.016</v>
      </c>
      <c r="X264" s="149">
        <f t="shared" si="10"/>
        <v>9.3067519999999995</v>
      </c>
      <c r="Y264" s="149"/>
    </row>
    <row r="265" spans="1:25" ht="16">
      <c r="A265" s="117" t="s">
        <v>3570</v>
      </c>
      <c r="B265" s="150" t="s">
        <v>179</v>
      </c>
      <c r="C265" s="149" t="s">
        <v>1744</v>
      </c>
      <c r="D265" s="149" t="str">
        <f t="shared" si="11"/>
        <v>COFFS</v>
      </c>
      <c r="E265" s="149" t="s">
        <v>2532</v>
      </c>
      <c r="F265" s="160">
        <v>-30.004933000000001</v>
      </c>
      <c r="G265" s="70">
        <v>153.09672599999999</v>
      </c>
      <c r="H265" s="70">
        <v>0</v>
      </c>
      <c r="I265" s="151">
        <v>42863</v>
      </c>
      <c r="J265" s="149" t="s">
        <v>36</v>
      </c>
      <c r="K265" s="149" t="s">
        <v>154</v>
      </c>
      <c r="L265" s="149" t="s">
        <v>1687</v>
      </c>
      <c r="M265" s="149" t="s">
        <v>2563</v>
      </c>
      <c r="N265" s="149" t="s">
        <v>2562</v>
      </c>
      <c r="O265" s="149" t="s">
        <v>2106</v>
      </c>
      <c r="P265" s="149" t="s">
        <v>2106</v>
      </c>
      <c r="Q265" s="149" t="s">
        <v>2107</v>
      </c>
      <c r="R265" s="149" t="s">
        <v>2713</v>
      </c>
      <c r="S265" s="149">
        <v>1.8E-3</v>
      </c>
      <c r="T265" s="149">
        <v>0</v>
      </c>
      <c r="U265" s="70">
        <f t="shared" si="9"/>
        <v>1.8E-3</v>
      </c>
      <c r="V265" s="149">
        <v>2.2189999999999999</v>
      </c>
      <c r="W265" s="149">
        <f>2.597+3.903</f>
        <v>6.5</v>
      </c>
      <c r="X265" s="149">
        <f t="shared" si="10"/>
        <v>14.423499999999999</v>
      </c>
      <c r="Y265" s="149"/>
    </row>
    <row r="266" spans="1:25" ht="16">
      <c r="A266" s="117" t="s">
        <v>3570</v>
      </c>
      <c r="B266" s="150" t="s">
        <v>180</v>
      </c>
      <c r="C266" s="149" t="s">
        <v>1744</v>
      </c>
      <c r="D266" s="149" t="str">
        <f t="shared" si="11"/>
        <v>COFFS</v>
      </c>
      <c r="E266" s="149" t="s">
        <v>2542</v>
      </c>
      <c r="F266" s="160">
        <v>-30.009444999999999</v>
      </c>
      <c r="G266" s="70">
        <v>153.10040100000001</v>
      </c>
      <c r="H266" s="70">
        <v>0</v>
      </c>
      <c r="I266" s="151">
        <v>42863</v>
      </c>
      <c r="J266" s="149" t="s">
        <v>36</v>
      </c>
      <c r="K266" s="149" t="s">
        <v>154</v>
      </c>
      <c r="L266" s="149" t="s">
        <v>1687</v>
      </c>
      <c r="M266" s="149" t="s">
        <v>2563</v>
      </c>
      <c r="N266" s="149" t="s">
        <v>2562</v>
      </c>
      <c r="O266" s="149" t="s">
        <v>2103</v>
      </c>
      <c r="P266" s="149" t="s">
        <v>2103</v>
      </c>
      <c r="Q266" s="149" t="s">
        <v>2104</v>
      </c>
      <c r="R266" s="149" t="s">
        <v>2713</v>
      </c>
      <c r="S266" s="149">
        <v>1.4E-3</v>
      </c>
      <c r="T266" s="149">
        <v>0</v>
      </c>
      <c r="U266" s="70">
        <f t="shared" si="9"/>
        <v>1.4E-3</v>
      </c>
      <c r="V266" s="149">
        <v>1.772</v>
      </c>
      <c r="W266" s="149">
        <f>2.506+3.565</f>
        <v>6.0709999999999997</v>
      </c>
      <c r="X266" s="149">
        <f t="shared" si="10"/>
        <v>10.757811999999999</v>
      </c>
      <c r="Y266" s="149"/>
    </row>
    <row r="267" spans="1:25" ht="16">
      <c r="A267" s="117" t="s">
        <v>3570</v>
      </c>
      <c r="B267" s="150" t="s">
        <v>181</v>
      </c>
      <c r="C267" s="149" t="s">
        <v>1744</v>
      </c>
      <c r="D267" s="149" t="str">
        <f t="shared" si="11"/>
        <v>COFFS</v>
      </c>
      <c r="E267" s="149" t="s">
        <v>2532</v>
      </c>
      <c r="F267" s="160">
        <v>-30.004933000000001</v>
      </c>
      <c r="G267" s="70">
        <v>153.09672599999999</v>
      </c>
      <c r="H267" s="70">
        <v>0</v>
      </c>
      <c r="I267" s="151">
        <v>42863</v>
      </c>
      <c r="J267" s="149" t="s">
        <v>36</v>
      </c>
      <c r="K267" s="149" t="s">
        <v>154</v>
      </c>
      <c r="L267" s="149" t="s">
        <v>1687</v>
      </c>
      <c r="M267" s="149" t="s">
        <v>2563</v>
      </c>
      <c r="N267" s="149" t="s">
        <v>2562</v>
      </c>
      <c r="O267" s="149" t="s">
        <v>2106</v>
      </c>
      <c r="P267" s="149" t="s">
        <v>2106</v>
      </c>
      <c r="Q267" s="149" t="s">
        <v>2107</v>
      </c>
      <c r="R267" s="149" t="s">
        <v>2713</v>
      </c>
      <c r="S267" s="149">
        <v>2.3E-3</v>
      </c>
      <c r="T267" s="149">
        <v>0</v>
      </c>
      <c r="U267" s="70">
        <f t="shared" si="9"/>
        <v>2.3E-3</v>
      </c>
      <c r="V267" s="149">
        <v>2.266</v>
      </c>
      <c r="W267" s="149">
        <f>2.53+3.701</f>
        <v>6.2309999999999999</v>
      </c>
      <c r="X267" s="149">
        <f t="shared" si="10"/>
        <v>14.119446</v>
      </c>
      <c r="Y267" s="149"/>
    </row>
    <row r="268" spans="1:25" ht="16">
      <c r="A268" s="117" t="s">
        <v>3570</v>
      </c>
      <c r="B268" s="150" t="s">
        <v>182</v>
      </c>
      <c r="C268" s="149" t="s">
        <v>1744</v>
      </c>
      <c r="D268" s="149" t="str">
        <f t="shared" si="11"/>
        <v>COFFS</v>
      </c>
      <c r="E268" s="149" t="s">
        <v>2532</v>
      </c>
      <c r="F268" s="160">
        <v>-30.004933000000001</v>
      </c>
      <c r="G268" s="70">
        <v>153.09672599999999</v>
      </c>
      <c r="H268" s="70">
        <v>0</v>
      </c>
      <c r="I268" s="151">
        <v>42857</v>
      </c>
      <c r="J268" s="149" t="s">
        <v>36</v>
      </c>
      <c r="K268" s="149" t="s">
        <v>154</v>
      </c>
      <c r="L268" s="149" t="s">
        <v>1687</v>
      </c>
      <c r="M268" s="149" t="s">
        <v>2563</v>
      </c>
      <c r="N268" s="149" t="s">
        <v>2562</v>
      </c>
      <c r="O268" s="149" t="s">
        <v>2106</v>
      </c>
      <c r="P268" s="149" t="s">
        <v>2106</v>
      </c>
      <c r="Q268" s="149" t="s">
        <v>2107</v>
      </c>
      <c r="R268" s="149" t="s">
        <v>2713</v>
      </c>
      <c r="S268" s="149">
        <v>2.5999999999999999E-3</v>
      </c>
      <c r="T268" s="149">
        <v>0</v>
      </c>
      <c r="U268" s="70">
        <f t="shared" si="9"/>
        <v>2.5999999999999999E-3</v>
      </c>
      <c r="V268" s="149">
        <v>2.2589999999999999</v>
      </c>
      <c r="W268" s="149">
        <v>6.516</v>
      </c>
      <c r="X268" s="149">
        <f t="shared" si="10"/>
        <v>14.719643999999999</v>
      </c>
      <c r="Y268" s="149"/>
    </row>
    <row r="269" spans="1:25" ht="16">
      <c r="A269" s="117" t="s">
        <v>3570</v>
      </c>
      <c r="B269" s="150" t="s">
        <v>183</v>
      </c>
      <c r="C269" s="149" t="s">
        <v>1744</v>
      </c>
      <c r="D269" s="149" t="str">
        <f t="shared" si="11"/>
        <v>COFFS</v>
      </c>
      <c r="E269" s="149" t="s">
        <v>2542</v>
      </c>
      <c r="F269" s="160">
        <v>-30.009444999999999</v>
      </c>
      <c r="G269" s="70">
        <v>153.10040100000001</v>
      </c>
      <c r="H269" s="70">
        <v>0</v>
      </c>
      <c r="I269" s="151">
        <v>42859</v>
      </c>
      <c r="J269" s="149" t="s">
        <v>36</v>
      </c>
      <c r="K269" s="149" t="s">
        <v>154</v>
      </c>
      <c r="L269" s="149" t="s">
        <v>2566</v>
      </c>
      <c r="M269" s="149" t="s">
        <v>2567</v>
      </c>
      <c r="N269" s="149" t="s">
        <v>2668</v>
      </c>
      <c r="O269" s="140" t="s">
        <v>2600</v>
      </c>
      <c r="P269" s="149" t="s">
        <v>2735</v>
      </c>
      <c r="Q269" s="149" t="s">
        <v>2697</v>
      </c>
      <c r="R269" s="149" t="s">
        <v>2713</v>
      </c>
      <c r="S269" s="149">
        <v>3.0000000000000001E-3</v>
      </c>
      <c r="T269" s="149">
        <v>0</v>
      </c>
      <c r="U269" s="70">
        <f t="shared" si="9"/>
        <v>3.0000000000000001E-3</v>
      </c>
      <c r="V269" s="149">
        <v>1.82</v>
      </c>
      <c r="W269" s="149">
        <f>4.081+3.894</f>
        <v>7.9750000000000005</v>
      </c>
      <c r="X269" s="149">
        <f t="shared" si="10"/>
        <v>14.514500000000002</v>
      </c>
      <c r="Y269" s="149"/>
    </row>
    <row r="270" spans="1:25" ht="16">
      <c r="A270" s="117" t="s">
        <v>3570</v>
      </c>
      <c r="B270" s="150" t="s">
        <v>184</v>
      </c>
      <c r="C270" s="149" t="s">
        <v>1744</v>
      </c>
      <c r="D270" s="149" t="str">
        <f t="shared" si="11"/>
        <v>COFFS</v>
      </c>
      <c r="E270" s="149" t="s">
        <v>2542</v>
      </c>
      <c r="F270" s="160">
        <v>-30.009444999999999</v>
      </c>
      <c r="G270" s="70">
        <v>153.10040100000001</v>
      </c>
      <c r="H270" s="70">
        <v>0</v>
      </c>
      <c r="I270" s="151">
        <v>42857</v>
      </c>
      <c r="J270" s="149" t="s">
        <v>36</v>
      </c>
      <c r="K270" s="149" t="s">
        <v>154</v>
      </c>
      <c r="L270" s="149" t="s">
        <v>1687</v>
      </c>
      <c r="M270" s="149" t="s">
        <v>2563</v>
      </c>
      <c r="N270" s="149" t="s">
        <v>2562</v>
      </c>
      <c r="O270" s="149" t="s">
        <v>2106</v>
      </c>
      <c r="P270" s="149" t="s">
        <v>2106</v>
      </c>
      <c r="Q270" s="149" t="s">
        <v>2107</v>
      </c>
      <c r="R270" s="149" t="s">
        <v>2713</v>
      </c>
      <c r="S270" s="149">
        <v>2.3E-3</v>
      </c>
      <c r="T270" s="149">
        <v>0</v>
      </c>
      <c r="U270" s="70">
        <f t="shared" si="9"/>
        <v>2.3E-3</v>
      </c>
      <c r="V270" s="149">
        <v>2.153</v>
      </c>
      <c r="W270" s="149">
        <v>6.4829999999999997</v>
      </c>
      <c r="X270" s="149">
        <f t="shared" si="10"/>
        <v>13.957898999999999</v>
      </c>
      <c r="Y270" s="149"/>
    </row>
    <row r="271" spans="1:25" ht="16">
      <c r="A271" s="117" t="s">
        <v>3570</v>
      </c>
      <c r="B271" s="150" t="s">
        <v>185</v>
      </c>
      <c r="C271" s="149" t="s">
        <v>1744</v>
      </c>
      <c r="D271" s="149" t="str">
        <f t="shared" si="11"/>
        <v>COFFS</v>
      </c>
      <c r="E271" s="149" t="s">
        <v>2542</v>
      </c>
      <c r="F271" s="160">
        <v>-30.009444999999999</v>
      </c>
      <c r="G271" s="70">
        <v>153.10040100000001</v>
      </c>
      <c r="H271" s="70">
        <v>0</v>
      </c>
      <c r="I271" s="151">
        <v>42858</v>
      </c>
      <c r="J271" s="149" t="s">
        <v>36</v>
      </c>
      <c r="K271" s="149" t="s">
        <v>154</v>
      </c>
      <c r="L271" s="149" t="s">
        <v>1687</v>
      </c>
      <c r="M271" s="149" t="s">
        <v>2563</v>
      </c>
      <c r="N271" s="149" t="s">
        <v>2562</v>
      </c>
      <c r="O271" s="149" t="s">
        <v>2103</v>
      </c>
      <c r="P271" s="149" t="s">
        <v>2103</v>
      </c>
      <c r="Q271" s="149" t="s">
        <v>2104</v>
      </c>
      <c r="R271" s="149" t="s">
        <v>2713</v>
      </c>
      <c r="S271" s="149">
        <v>1.6000000000000001E-3</v>
      </c>
      <c r="T271" s="149">
        <v>0</v>
      </c>
      <c r="U271" s="70">
        <f t="shared" si="9"/>
        <v>1.6000000000000001E-3</v>
      </c>
      <c r="V271" s="149">
        <v>2.0049999999999999</v>
      </c>
      <c r="W271" s="149">
        <v>6.5940000000000003</v>
      </c>
      <c r="X271" s="149">
        <f t="shared" si="10"/>
        <v>13.220969999999999</v>
      </c>
      <c r="Y271" s="149"/>
    </row>
    <row r="272" spans="1:25" ht="16">
      <c r="A272" s="117" t="s">
        <v>3570</v>
      </c>
      <c r="B272" s="150" t="s">
        <v>186</v>
      </c>
      <c r="C272" s="149" t="s">
        <v>1744</v>
      </c>
      <c r="D272" s="149" t="str">
        <f t="shared" si="11"/>
        <v>COFFS</v>
      </c>
      <c r="E272" s="149" t="s">
        <v>2542</v>
      </c>
      <c r="F272" s="160">
        <v>-30.009444999999999</v>
      </c>
      <c r="G272" s="70">
        <v>153.10040100000001</v>
      </c>
      <c r="H272" s="70">
        <v>0</v>
      </c>
      <c r="I272" s="151">
        <v>42858</v>
      </c>
      <c r="J272" s="149" t="s">
        <v>36</v>
      </c>
      <c r="K272" s="149" t="s">
        <v>187</v>
      </c>
      <c r="L272" s="149" t="s">
        <v>2566</v>
      </c>
      <c r="M272" s="149" t="s">
        <v>2567</v>
      </c>
      <c r="N272" s="149" t="s">
        <v>2668</v>
      </c>
      <c r="O272" s="140" t="s">
        <v>2600</v>
      </c>
      <c r="P272" s="149" t="s">
        <v>2735</v>
      </c>
      <c r="Q272" s="149" t="s">
        <v>2683</v>
      </c>
      <c r="R272" s="149" t="s">
        <v>2713</v>
      </c>
      <c r="S272" s="149">
        <v>1.5E-3</v>
      </c>
      <c r="T272" s="149">
        <v>0</v>
      </c>
      <c r="U272" s="70">
        <f t="shared" si="9"/>
        <v>1.5E-3</v>
      </c>
      <c r="V272" s="149">
        <v>1.6659999999999999</v>
      </c>
      <c r="W272" s="149">
        <v>7.093</v>
      </c>
      <c r="X272" s="149">
        <f t="shared" si="10"/>
        <v>11.816937999999999</v>
      </c>
      <c r="Y272" s="149"/>
    </row>
    <row r="273" spans="1:25" ht="16">
      <c r="A273" s="117" t="s">
        <v>3570</v>
      </c>
      <c r="B273" s="150" t="s">
        <v>188</v>
      </c>
      <c r="C273" s="149" t="s">
        <v>1744</v>
      </c>
      <c r="D273" s="149" t="str">
        <f t="shared" si="11"/>
        <v>COFFS</v>
      </c>
      <c r="E273" s="149" t="s">
        <v>2542</v>
      </c>
      <c r="F273" s="160">
        <v>-30.009444999999999</v>
      </c>
      <c r="G273" s="70">
        <v>153.10040100000001</v>
      </c>
      <c r="H273" s="70">
        <v>0</v>
      </c>
      <c r="I273" s="151">
        <v>42857</v>
      </c>
      <c r="J273" s="149" t="s">
        <v>36</v>
      </c>
      <c r="K273" s="149" t="s">
        <v>154</v>
      </c>
      <c r="L273" s="149" t="s">
        <v>1687</v>
      </c>
      <c r="M273" s="149" t="s">
        <v>2563</v>
      </c>
      <c r="N273" s="149" t="s">
        <v>2562</v>
      </c>
      <c r="O273" s="149" t="s">
        <v>2106</v>
      </c>
      <c r="P273" s="149" t="s">
        <v>2106</v>
      </c>
      <c r="Q273" s="149" t="s">
        <v>2107</v>
      </c>
      <c r="R273" s="149" t="s">
        <v>2713</v>
      </c>
      <c r="S273" s="149">
        <v>2.3E-3</v>
      </c>
      <c r="T273" s="149">
        <v>0</v>
      </c>
      <c r="U273" s="70">
        <f t="shared" si="9"/>
        <v>2.3E-3</v>
      </c>
      <c r="V273" s="149">
        <v>2.2490000000000001</v>
      </c>
      <c r="W273" s="149">
        <v>6.6280000000000001</v>
      </c>
      <c r="X273" s="149">
        <f t="shared" si="10"/>
        <v>14.906372000000001</v>
      </c>
      <c r="Y273" s="149"/>
    </row>
    <row r="274" spans="1:25" ht="16">
      <c r="A274" s="117" t="s">
        <v>3570</v>
      </c>
      <c r="B274" s="150" t="s">
        <v>189</v>
      </c>
      <c r="C274" s="149" t="s">
        <v>1744</v>
      </c>
      <c r="D274" s="149" t="str">
        <f t="shared" si="11"/>
        <v>COFFS</v>
      </c>
      <c r="E274" s="149" t="s">
        <v>2532</v>
      </c>
      <c r="F274" s="160">
        <v>-30.004933000000001</v>
      </c>
      <c r="G274" s="70">
        <v>153.09672599999999</v>
      </c>
      <c r="H274" s="70">
        <v>0</v>
      </c>
      <c r="I274" s="151">
        <v>42863</v>
      </c>
      <c r="J274" s="149" t="s">
        <v>36</v>
      </c>
      <c r="K274" s="149" t="s">
        <v>154</v>
      </c>
      <c r="L274" s="149" t="s">
        <v>1687</v>
      </c>
      <c r="M274" s="149" t="s">
        <v>2563</v>
      </c>
      <c r="N274" s="149" t="s">
        <v>2562</v>
      </c>
      <c r="O274" s="149" t="s">
        <v>2103</v>
      </c>
      <c r="P274" s="149" t="s">
        <v>2103</v>
      </c>
      <c r="Q274" s="149" t="s">
        <v>2104</v>
      </c>
      <c r="R274" s="149" t="s">
        <v>2713</v>
      </c>
      <c r="S274" s="149">
        <v>1.4E-3</v>
      </c>
      <c r="T274" s="149">
        <v>0</v>
      </c>
      <c r="U274" s="70">
        <f t="shared" si="9"/>
        <v>1.4E-3</v>
      </c>
      <c r="V274" s="149">
        <v>1.7250000000000001</v>
      </c>
      <c r="W274" s="149">
        <f>3.243+2.774</f>
        <v>6.0169999999999995</v>
      </c>
      <c r="X274" s="149">
        <f t="shared" si="10"/>
        <v>10.379325</v>
      </c>
      <c r="Y274" s="149"/>
    </row>
    <row r="275" spans="1:25" ht="16">
      <c r="A275" s="117" t="s">
        <v>3570</v>
      </c>
      <c r="B275" s="150" t="s">
        <v>190</v>
      </c>
      <c r="C275" s="149" t="s">
        <v>1744</v>
      </c>
      <c r="D275" s="149" t="str">
        <f t="shared" si="11"/>
        <v>COFFS</v>
      </c>
      <c r="E275" s="149" t="s">
        <v>2542</v>
      </c>
      <c r="F275" s="160">
        <v>-30.009444999999999</v>
      </c>
      <c r="G275" s="70">
        <v>153.10040100000001</v>
      </c>
      <c r="H275" s="70">
        <v>0</v>
      </c>
      <c r="I275" s="151">
        <v>42863</v>
      </c>
      <c r="J275" s="149" t="s">
        <v>36</v>
      </c>
      <c r="K275" s="149" t="s">
        <v>154</v>
      </c>
      <c r="L275" s="149" t="s">
        <v>1687</v>
      </c>
      <c r="M275" s="149" t="s">
        <v>2563</v>
      </c>
      <c r="N275" s="149" t="s">
        <v>2562</v>
      </c>
      <c r="O275" s="149" t="s">
        <v>2106</v>
      </c>
      <c r="P275" s="149" t="s">
        <v>2106</v>
      </c>
      <c r="Q275" s="149" t="s">
        <v>2107</v>
      </c>
      <c r="R275" s="149" t="s">
        <v>2713</v>
      </c>
      <c r="S275" s="149">
        <v>2.3E-3</v>
      </c>
      <c r="T275" s="149">
        <v>0</v>
      </c>
      <c r="U275" s="70">
        <f t="shared" si="9"/>
        <v>2.3E-3</v>
      </c>
      <c r="V275" s="149">
        <v>2.1709999999999998</v>
      </c>
      <c r="W275" s="149">
        <v>6.2789999999999999</v>
      </c>
      <c r="X275" s="149">
        <f t="shared" si="10"/>
        <v>13.631708999999999</v>
      </c>
      <c r="Y275" s="149"/>
    </row>
    <row r="276" spans="1:25" ht="16">
      <c r="A276" s="117" t="s">
        <v>3570</v>
      </c>
      <c r="B276" s="150" t="s">
        <v>191</v>
      </c>
      <c r="C276" s="149" t="s">
        <v>1744</v>
      </c>
      <c r="D276" s="149" t="str">
        <f t="shared" si="11"/>
        <v>COFFS</v>
      </c>
      <c r="E276" s="149" t="s">
        <v>2542</v>
      </c>
      <c r="F276" s="160">
        <v>-30.009444999999999</v>
      </c>
      <c r="G276" s="70">
        <v>153.10040100000001</v>
      </c>
      <c r="H276" s="70">
        <v>0</v>
      </c>
      <c r="I276" s="151">
        <v>42863</v>
      </c>
      <c r="J276" s="149" t="s">
        <v>36</v>
      </c>
      <c r="K276" s="149" t="s">
        <v>187</v>
      </c>
      <c r="L276" s="149" t="s">
        <v>1687</v>
      </c>
      <c r="M276" s="149" t="s">
        <v>2563</v>
      </c>
      <c r="N276" s="149" t="s">
        <v>2562</v>
      </c>
      <c r="O276" s="149" t="s">
        <v>2106</v>
      </c>
      <c r="P276" s="149" t="s">
        <v>2106</v>
      </c>
      <c r="Q276" s="149" t="s">
        <v>2107</v>
      </c>
      <c r="R276" s="149" t="s">
        <v>2713</v>
      </c>
      <c r="S276" s="149">
        <v>2.0999999999999999E-3</v>
      </c>
      <c r="T276" s="149">
        <v>0</v>
      </c>
      <c r="U276" s="70">
        <f t="shared" si="9"/>
        <v>2.0999999999999999E-3</v>
      </c>
      <c r="V276" s="149">
        <v>1.9990000000000001</v>
      </c>
      <c r="W276" s="149">
        <f>2.53+3.406</f>
        <v>5.9359999999999999</v>
      </c>
      <c r="X276" s="149">
        <f t="shared" si="10"/>
        <v>11.866064</v>
      </c>
      <c r="Y276" s="149"/>
    </row>
    <row r="277" spans="1:25" ht="16">
      <c r="A277" s="117" t="s">
        <v>3570</v>
      </c>
      <c r="B277" s="150" t="s">
        <v>195</v>
      </c>
      <c r="C277" s="149" t="s">
        <v>1744</v>
      </c>
      <c r="D277" s="149" t="str">
        <f t="shared" si="11"/>
        <v>COFFS</v>
      </c>
      <c r="E277" s="149" t="s">
        <v>2528</v>
      </c>
      <c r="F277" s="160">
        <v>-30.016062000000002</v>
      </c>
      <c r="G277" s="70">
        <v>153.12394800000001</v>
      </c>
      <c r="H277" s="70">
        <v>0</v>
      </c>
      <c r="I277" s="151">
        <v>42864</v>
      </c>
      <c r="J277" s="149" t="s">
        <v>36</v>
      </c>
      <c r="K277" s="149" t="s">
        <v>187</v>
      </c>
      <c r="L277" s="149" t="s">
        <v>2566</v>
      </c>
      <c r="M277" s="149" t="s">
        <v>2567</v>
      </c>
      <c r="N277" s="149" t="s">
        <v>2668</v>
      </c>
      <c r="O277" s="140" t="s">
        <v>2600</v>
      </c>
      <c r="P277" s="149" t="s">
        <v>2735</v>
      </c>
      <c r="Q277" s="149" t="s">
        <v>2384</v>
      </c>
      <c r="R277" s="149" t="s">
        <v>2713</v>
      </c>
      <c r="S277" s="149">
        <v>7.9899999999999999E-2</v>
      </c>
      <c r="T277" s="149">
        <v>6.7166000000000003E-2</v>
      </c>
      <c r="U277" s="70">
        <f t="shared" si="9"/>
        <v>1.2733999999999995E-2</v>
      </c>
      <c r="V277" s="149">
        <v>3.2069999999999999</v>
      </c>
      <c r="W277" s="149">
        <f>7.025+6.272</f>
        <v>13.297000000000001</v>
      </c>
      <c r="X277" s="149">
        <f t="shared" si="10"/>
        <v>42.643478999999999</v>
      </c>
      <c r="Y277" s="149"/>
    </row>
    <row r="278" spans="1:25" ht="16">
      <c r="A278" s="117" t="s">
        <v>3570</v>
      </c>
      <c r="B278" s="150" t="s">
        <v>196</v>
      </c>
      <c r="C278" s="149" t="s">
        <v>1744</v>
      </c>
      <c r="D278" s="149" t="str">
        <f t="shared" si="11"/>
        <v>COFFS</v>
      </c>
      <c r="E278" s="149" t="s">
        <v>2522</v>
      </c>
      <c r="F278" s="160">
        <v>-29.943010999999998</v>
      </c>
      <c r="G278" s="70">
        <v>153.12657400000001</v>
      </c>
      <c r="H278" s="70">
        <v>0</v>
      </c>
      <c r="I278" s="151">
        <v>42863</v>
      </c>
      <c r="J278" s="149" t="s">
        <v>36</v>
      </c>
      <c r="K278" s="149" t="s">
        <v>154</v>
      </c>
      <c r="L278" s="149" t="s">
        <v>1687</v>
      </c>
      <c r="M278" s="149" t="s">
        <v>2564</v>
      </c>
      <c r="N278" s="149" t="s">
        <v>2565</v>
      </c>
      <c r="O278" s="149" t="s">
        <v>2095</v>
      </c>
      <c r="P278" s="149" t="s">
        <v>2095</v>
      </c>
      <c r="Q278" s="149" t="s">
        <v>2686</v>
      </c>
      <c r="R278" s="149" t="s">
        <v>2713</v>
      </c>
      <c r="S278" s="149">
        <v>7.4399999999999994E-2</v>
      </c>
      <c r="T278" s="149">
        <v>6.7166000000000003E-2</v>
      </c>
      <c r="U278" s="70">
        <f t="shared" si="9"/>
        <v>7.2339999999999904E-3</v>
      </c>
      <c r="V278" s="149">
        <v>2.915</v>
      </c>
      <c r="W278" s="149">
        <v>12.4</v>
      </c>
      <c r="X278" s="149">
        <f t="shared" si="10"/>
        <v>36.146000000000001</v>
      </c>
      <c r="Y278" s="149"/>
    </row>
    <row r="279" spans="1:25" ht="16">
      <c r="A279" s="117" t="s">
        <v>3570</v>
      </c>
      <c r="B279" s="150" t="s">
        <v>200</v>
      </c>
      <c r="C279" s="149" t="s">
        <v>1744</v>
      </c>
      <c r="D279" s="149" t="str">
        <f t="shared" si="11"/>
        <v>COFFS</v>
      </c>
      <c r="E279" s="149" t="s">
        <v>2524</v>
      </c>
      <c r="F279" s="160">
        <v>-30.002158999999999</v>
      </c>
      <c r="G279" s="70">
        <v>153.14892399999999</v>
      </c>
      <c r="H279" s="70">
        <v>0</v>
      </c>
      <c r="I279" s="151">
        <v>42864</v>
      </c>
      <c r="J279" s="149" t="s">
        <v>2786</v>
      </c>
      <c r="K279" s="149" t="s">
        <v>199</v>
      </c>
      <c r="L279" s="149" t="s">
        <v>1687</v>
      </c>
      <c r="M279" s="149" t="s">
        <v>2563</v>
      </c>
      <c r="N279" s="149" t="s">
        <v>2562</v>
      </c>
      <c r="O279" s="149" t="s">
        <v>2103</v>
      </c>
      <c r="P279" s="149" t="s">
        <v>2103</v>
      </c>
      <c r="Q279" s="149" t="s">
        <v>2104</v>
      </c>
      <c r="R279" s="149" t="s">
        <v>2713</v>
      </c>
      <c r="S279" s="149">
        <v>6.9699999999999998E-2</v>
      </c>
      <c r="T279" s="149">
        <v>6.7166000000000003E-2</v>
      </c>
      <c r="U279" s="70">
        <f t="shared" si="9"/>
        <v>2.5339999999999946E-3</v>
      </c>
      <c r="V279" s="149">
        <v>1.972</v>
      </c>
      <c r="W279" s="149">
        <v>6.391</v>
      </c>
      <c r="X279" s="149">
        <f t="shared" si="10"/>
        <v>12.603052</v>
      </c>
      <c r="Y279" s="149"/>
    </row>
    <row r="280" spans="1:25" ht="16">
      <c r="A280" s="117" t="s">
        <v>3570</v>
      </c>
      <c r="B280" s="150" t="s">
        <v>201</v>
      </c>
      <c r="C280" s="149" t="s">
        <v>1744</v>
      </c>
      <c r="D280" s="149" t="str">
        <f t="shared" si="11"/>
        <v>COFFS</v>
      </c>
      <c r="E280" s="149" t="s">
        <v>2524</v>
      </c>
      <c r="F280" s="160">
        <v>-30.002158999999999</v>
      </c>
      <c r="G280" s="70">
        <v>153.14892399999999</v>
      </c>
      <c r="H280" s="70">
        <v>0</v>
      </c>
      <c r="I280" s="151">
        <v>42864</v>
      </c>
      <c r="J280" s="149" t="s">
        <v>2786</v>
      </c>
      <c r="K280" s="149" t="s">
        <v>199</v>
      </c>
      <c r="L280" s="149" t="s">
        <v>1687</v>
      </c>
      <c r="M280" s="149" t="s">
        <v>2563</v>
      </c>
      <c r="N280" s="149" t="s">
        <v>2562</v>
      </c>
      <c r="O280" s="149" t="s">
        <v>2103</v>
      </c>
      <c r="P280" s="149" t="s">
        <v>2103</v>
      </c>
      <c r="Q280" s="149" t="s">
        <v>2104</v>
      </c>
      <c r="R280" s="149" t="s">
        <v>2713</v>
      </c>
      <c r="S280" s="149">
        <v>6.9099999999999995E-2</v>
      </c>
      <c r="T280" s="149">
        <v>6.7166000000000003E-2</v>
      </c>
      <c r="U280" s="70">
        <f t="shared" si="9"/>
        <v>1.9339999999999913E-3</v>
      </c>
      <c r="V280" s="149">
        <v>1.97</v>
      </c>
      <c r="W280" s="149">
        <v>6.2370000000000001</v>
      </c>
      <c r="X280" s="149">
        <f t="shared" si="10"/>
        <v>12.28689</v>
      </c>
      <c r="Y280" s="149"/>
    </row>
    <row r="281" spans="1:25" ht="16">
      <c r="A281" s="117" t="s">
        <v>3570</v>
      </c>
      <c r="B281" s="150" t="s">
        <v>203</v>
      </c>
      <c r="C281" s="149" t="s">
        <v>1744</v>
      </c>
      <c r="D281" s="149" t="str">
        <f t="shared" si="11"/>
        <v>COFFS</v>
      </c>
      <c r="E281" s="149" t="s">
        <v>2543</v>
      </c>
      <c r="F281" s="70">
        <v>-29.997240000000001</v>
      </c>
      <c r="G281" s="70">
        <v>153.14993100000001</v>
      </c>
      <c r="H281" s="70">
        <v>0</v>
      </c>
      <c r="I281" s="151">
        <v>42864</v>
      </c>
      <c r="J281" s="149" t="s">
        <v>2785</v>
      </c>
      <c r="K281" s="149" t="s">
        <v>199</v>
      </c>
      <c r="L281" s="149" t="s">
        <v>1687</v>
      </c>
      <c r="M281" s="149" t="s">
        <v>2564</v>
      </c>
      <c r="N281" s="149" t="s">
        <v>2565</v>
      </c>
      <c r="O281" s="149" t="s">
        <v>2733</v>
      </c>
      <c r="P281" s="149" t="s">
        <v>2733</v>
      </c>
      <c r="Q281" s="149" t="s">
        <v>2381</v>
      </c>
      <c r="R281" s="149" t="s">
        <v>2713</v>
      </c>
      <c r="S281" s="149">
        <v>7.0099999999999996E-2</v>
      </c>
      <c r="T281" s="149">
        <v>6.7166000000000003E-2</v>
      </c>
      <c r="U281" s="70">
        <f t="shared" si="9"/>
        <v>2.9339999999999922E-3</v>
      </c>
      <c r="V281" s="149">
        <v>2.3439999999999999</v>
      </c>
      <c r="W281" s="149">
        <f>6.129+5.178</f>
        <v>11.306999999999999</v>
      </c>
      <c r="X281" s="149">
        <f t="shared" si="10"/>
        <v>26.503607999999996</v>
      </c>
      <c r="Y281" s="149"/>
    </row>
    <row r="282" spans="1:25" ht="16">
      <c r="A282" s="117" t="s">
        <v>3570</v>
      </c>
      <c r="B282" s="150" t="s">
        <v>204</v>
      </c>
      <c r="C282" s="149" t="s">
        <v>1744</v>
      </c>
      <c r="D282" s="149" t="str">
        <f t="shared" si="11"/>
        <v>COFFS</v>
      </c>
      <c r="E282" s="149" t="s">
        <v>2521</v>
      </c>
      <c r="F282" s="70">
        <v>-29.997240000000001</v>
      </c>
      <c r="G282" s="70">
        <v>153.14993100000001</v>
      </c>
      <c r="H282" s="70">
        <v>0</v>
      </c>
      <c r="I282" s="151">
        <v>42860</v>
      </c>
      <c r="J282" s="149" t="s">
        <v>2785</v>
      </c>
      <c r="K282" s="149" t="s">
        <v>199</v>
      </c>
      <c r="L282" s="149" t="s">
        <v>1687</v>
      </c>
      <c r="M282" s="149" t="s">
        <v>2564</v>
      </c>
      <c r="N282" s="149" t="s">
        <v>2565</v>
      </c>
      <c r="O282" s="149" t="s">
        <v>2733</v>
      </c>
      <c r="P282" s="149" t="s">
        <v>2733</v>
      </c>
      <c r="Q282" s="149" t="s">
        <v>2381</v>
      </c>
      <c r="R282" s="149" t="s">
        <v>2713</v>
      </c>
      <c r="S282" s="149">
        <v>7.17E-2</v>
      </c>
      <c r="T282" s="149">
        <v>6.7166000000000003E-2</v>
      </c>
      <c r="U282" s="70">
        <f t="shared" si="9"/>
        <v>4.5339999999999964E-3</v>
      </c>
      <c r="V282" s="149">
        <v>2.198</v>
      </c>
      <c r="W282" s="149">
        <f>6.164+4.531</f>
        <v>10.695</v>
      </c>
      <c r="X282" s="149">
        <f t="shared" si="10"/>
        <v>23.50761</v>
      </c>
      <c r="Y282" s="149"/>
    </row>
    <row r="283" spans="1:25" ht="16">
      <c r="A283" s="117" t="s">
        <v>3570</v>
      </c>
      <c r="B283" s="150" t="s">
        <v>206</v>
      </c>
      <c r="C283" s="149" t="s">
        <v>1744</v>
      </c>
      <c r="D283" s="149" t="str">
        <f t="shared" si="11"/>
        <v>COFFS</v>
      </c>
      <c r="E283" s="149" t="s">
        <v>2542</v>
      </c>
      <c r="F283" s="160">
        <v>-30.009444999999999</v>
      </c>
      <c r="G283" s="70">
        <v>153.10040100000001</v>
      </c>
      <c r="H283" s="70">
        <v>0</v>
      </c>
      <c r="I283" s="151">
        <v>42863</v>
      </c>
      <c r="J283" s="149" t="s">
        <v>36</v>
      </c>
      <c r="K283" s="149" t="s">
        <v>154</v>
      </c>
      <c r="L283" s="149" t="s">
        <v>1687</v>
      </c>
      <c r="M283" s="149" t="s">
        <v>2563</v>
      </c>
      <c r="N283" s="149" t="s">
        <v>2568</v>
      </c>
      <c r="O283" s="149" t="s">
        <v>2734</v>
      </c>
      <c r="P283" s="149" t="s">
        <v>2736</v>
      </c>
      <c r="Q283" s="149" t="s">
        <v>2390</v>
      </c>
      <c r="R283" s="149" t="s">
        <v>2713</v>
      </c>
      <c r="S283" s="149">
        <v>0.11260000000000001</v>
      </c>
      <c r="T283" s="149">
        <v>6.7166000000000003E-2</v>
      </c>
      <c r="U283" s="70">
        <f t="shared" si="9"/>
        <v>4.5434000000000002E-2</v>
      </c>
      <c r="V283" s="149">
        <v>5.9880000000000004</v>
      </c>
      <c r="W283" s="149">
        <f>10.44+9.235</f>
        <v>19.674999999999997</v>
      </c>
      <c r="X283" s="149">
        <f t="shared" si="10"/>
        <v>117.81389999999999</v>
      </c>
      <c r="Y283" s="149"/>
    </row>
    <row r="284" spans="1:25" ht="16">
      <c r="A284" s="117" t="s">
        <v>3570</v>
      </c>
      <c r="B284" s="150" t="s">
        <v>207</v>
      </c>
      <c r="C284" s="149" t="s">
        <v>1744</v>
      </c>
      <c r="D284" s="149" t="str">
        <f t="shared" si="11"/>
        <v>COFFS</v>
      </c>
      <c r="E284" s="149" t="s">
        <v>2522</v>
      </c>
      <c r="F284" s="160">
        <v>-29.943010999999998</v>
      </c>
      <c r="G284" s="70">
        <v>153.12657400000001</v>
      </c>
      <c r="H284" s="70">
        <v>0</v>
      </c>
      <c r="I284" s="151">
        <v>42860</v>
      </c>
      <c r="J284" s="149" t="s">
        <v>36</v>
      </c>
      <c r="K284" s="149" t="s">
        <v>154</v>
      </c>
      <c r="L284" s="149" t="s">
        <v>1687</v>
      </c>
      <c r="M284" s="149" t="s">
        <v>2563</v>
      </c>
      <c r="N284" s="149" t="s">
        <v>2568</v>
      </c>
      <c r="O284" s="149" t="s">
        <v>2734</v>
      </c>
      <c r="P284" s="149" t="s">
        <v>2736</v>
      </c>
      <c r="Q284" s="149" t="s">
        <v>2391</v>
      </c>
      <c r="R284" s="149" t="s">
        <v>2713</v>
      </c>
      <c r="S284" s="149">
        <v>0.12470000000000001</v>
      </c>
      <c r="T284" s="149">
        <v>6.7166000000000003E-2</v>
      </c>
      <c r="U284" s="70">
        <f t="shared" si="9"/>
        <v>5.7534000000000002E-2</v>
      </c>
      <c r="V284" s="149">
        <v>5.4260000000000002</v>
      </c>
      <c r="W284" s="149">
        <f>8.713+11.376</f>
        <v>20.088999999999999</v>
      </c>
      <c r="X284" s="149">
        <f t="shared" si="10"/>
        <v>109.00291399999999</v>
      </c>
      <c r="Y284" s="149"/>
    </row>
    <row r="285" spans="1:25" ht="16">
      <c r="A285" s="117" t="s">
        <v>3570</v>
      </c>
      <c r="B285" s="150" t="s">
        <v>208</v>
      </c>
      <c r="C285" s="149" t="s">
        <v>1744</v>
      </c>
      <c r="D285" s="149" t="str">
        <f t="shared" si="11"/>
        <v>COFFS</v>
      </c>
      <c r="E285" s="149" t="s">
        <v>2522</v>
      </c>
      <c r="F285" s="160">
        <v>-29.943010999999998</v>
      </c>
      <c r="G285" s="70">
        <v>153.12657400000001</v>
      </c>
      <c r="H285" s="70">
        <v>0</v>
      </c>
      <c r="I285" s="151">
        <v>42859</v>
      </c>
      <c r="J285" s="149" t="s">
        <v>36</v>
      </c>
      <c r="K285" s="149" t="s">
        <v>154</v>
      </c>
      <c r="L285" s="149" t="s">
        <v>1687</v>
      </c>
      <c r="M285" s="149" t="s">
        <v>2563</v>
      </c>
      <c r="N285" s="149" t="s">
        <v>2568</v>
      </c>
      <c r="O285" s="149" t="s">
        <v>2734</v>
      </c>
      <c r="P285" s="149" t="s">
        <v>2736</v>
      </c>
      <c r="Q285" s="149" t="s">
        <v>2390</v>
      </c>
      <c r="R285" s="149" t="s">
        <v>2713</v>
      </c>
      <c r="S285" s="149">
        <v>0.1323</v>
      </c>
      <c r="T285" s="149">
        <v>6.7166000000000003E-2</v>
      </c>
      <c r="U285" s="70">
        <f t="shared" si="9"/>
        <v>6.5133999999999997E-2</v>
      </c>
      <c r="V285" s="149">
        <v>6.2629999999999999</v>
      </c>
      <c r="W285" s="149">
        <f>12.352+10.098</f>
        <v>22.450000000000003</v>
      </c>
      <c r="X285" s="149">
        <f t="shared" si="10"/>
        <v>140.60435000000001</v>
      </c>
      <c r="Y285" s="149"/>
    </row>
    <row r="286" spans="1:25" ht="16">
      <c r="A286" s="117" t="s">
        <v>3570</v>
      </c>
      <c r="B286" s="150" t="s">
        <v>209</v>
      </c>
      <c r="C286" s="149" t="s">
        <v>1744</v>
      </c>
      <c r="D286" s="149" t="str">
        <f t="shared" si="11"/>
        <v>COFFS</v>
      </c>
      <c r="E286" s="149" t="s">
        <v>2524</v>
      </c>
      <c r="F286" s="160">
        <v>-30.002158999999999</v>
      </c>
      <c r="G286" s="70">
        <v>153.14892399999999</v>
      </c>
      <c r="H286" s="70">
        <v>0</v>
      </c>
      <c r="I286" s="151">
        <v>42864</v>
      </c>
      <c r="J286" s="149" t="s">
        <v>2786</v>
      </c>
      <c r="K286" s="149" t="s">
        <v>199</v>
      </c>
      <c r="L286" s="149" t="s">
        <v>1687</v>
      </c>
      <c r="M286" s="149" t="s">
        <v>2563</v>
      </c>
      <c r="N286" s="149" t="s">
        <v>2562</v>
      </c>
      <c r="O286" s="149" t="s">
        <v>2106</v>
      </c>
      <c r="P286" s="149" t="s">
        <v>2106</v>
      </c>
      <c r="Q286" s="149" t="s">
        <v>2107</v>
      </c>
      <c r="R286" s="149" t="s">
        <v>2713</v>
      </c>
      <c r="S286" s="149">
        <v>6.9599999999999995E-2</v>
      </c>
      <c r="T286" s="149">
        <v>6.7166000000000003E-2</v>
      </c>
      <c r="U286" s="70">
        <f t="shared" si="9"/>
        <v>2.4339999999999917E-3</v>
      </c>
      <c r="V286" s="149">
        <v>2.5329999999999999</v>
      </c>
      <c r="W286" s="149">
        <f>4.091+2.629</f>
        <v>6.7200000000000006</v>
      </c>
      <c r="X286" s="149">
        <f t="shared" si="10"/>
        <v>17.02176</v>
      </c>
      <c r="Y286" s="149"/>
    </row>
    <row r="287" spans="1:25" ht="16">
      <c r="A287" s="117" t="s">
        <v>3570</v>
      </c>
      <c r="B287" s="150" t="s">
        <v>210</v>
      </c>
      <c r="C287" s="149" t="s">
        <v>1744</v>
      </c>
      <c r="D287" s="149" t="str">
        <f t="shared" si="11"/>
        <v>COFFS</v>
      </c>
      <c r="E287" s="149" t="s">
        <v>2522</v>
      </c>
      <c r="F287" s="160">
        <v>-29.943010999999998</v>
      </c>
      <c r="G287" s="70">
        <v>153.12657400000001</v>
      </c>
      <c r="H287" s="70">
        <v>0</v>
      </c>
      <c r="I287" s="151">
        <v>42863</v>
      </c>
      <c r="J287" s="149" t="s">
        <v>36</v>
      </c>
      <c r="K287" s="149" t="s">
        <v>154</v>
      </c>
      <c r="L287" s="149" t="s">
        <v>1687</v>
      </c>
      <c r="M287" s="149" t="s">
        <v>2563</v>
      </c>
      <c r="N287" s="149" t="s">
        <v>2568</v>
      </c>
      <c r="O287" s="149" t="s">
        <v>2734</v>
      </c>
      <c r="P287" s="149" t="s">
        <v>2736</v>
      </c>
      <c r="Q287" s="149" t="s">
        <v>2390</v>
      </c>
      <c r="R287" s="149" t="s">
        <v>2712</v>
      </c>
      <c r="S287" s="149">
        <v>9.1300000000000006E-2</v>
      </c>
      <c r="T287" s="149">
        <v>6.7166000000000003E-2</v>
      </c>
      <c r="U287" s="70">
        <f t="shared" si="9"/>
        <v>2.4134000000000003E-2</v>
      </c>
      <c r="V287" s="149">
        <v>4.9020000000000001</v>
      </c>
      <c r="W287" s="149">
        <f>6.763+7.716</f>
        <v>14.478999999999999</v>
      </c>
      <c r="X287" s="149">
        <f t="shared" si="10"/>
        <v>70.976057999999995</v>
      </c>
      <c r="Y287" s="149"/>
    </row>
    <row r="288" spans="1:25" ht="16">
      <c r="A288" s="117" t="s">
        <v>3570</v>
      </c>
      <c r="B288" s="150" t="s">
        <v>211</v>
      </c>
      <c r="C288" s="149" t="s">
        <v>1744</v>
      </c>
      <c r="D288" s="149" t="str">
        <f t="shared" si="11"/>
        <v>COFFS</v>
      </c>
      <c r="E288" s="149" t="s">
        <v>2522</v>
      </c>
      <c r="F288" s="160">
        <v>-29.943010999999998</v>
      </c>
      <c r="G288" s="70">
        <v>153.12657400000001</v>
      </c>
      <c r="H288" s="70">
        <v>0</v>
      </c>
      <c r="I288" s="151">
        <v>42859</v>
      </c>
      <c r="J288" s="149" t="s">
        <v>36</v>
      </c>
      <c r="K288" s="149" t="s">
        <v>154</v>
      </c>
      <c r="L288" s="149" t="s">
        <v>1687</v>
      </c>
      <c r="M288" s="149" t="s">
        <v>2563</v>
      </c>
      <c r="N288" s="149" t="s">
        <v>2568</v>
      </c>
      <c r="O288" s="149" t="s">
        <v>2734</v>
      </c>
      <c r="P288" s="149" t="s">
        <v>2736</v>
      </c>
      <c r="Q288" s="149" t="s">
        <v>2390</v>
      </c>
      <c r="R288" s="149" t="s">
        <v>2713</v>
      </c>
      <c r="S288" s="149">
        <v>0.1192</v>
      </c>
      <c r="T288" s="149">
        <v>6.7166000000000003E-2</v>
      </c>
      <c r="U288" s="70">
        <f t="shared" si="9"/>
        <v>5.2033999999999997E-2</v>
      </c>
      <c r="V288" s="149">
        <v>6.2069999999999999</v>
      </c>
      <c r="W288" s="149">
        <f>11.47+9.067</f>
        <v>20.536999999999999</v>
      </c>
      <c r="X288" s="149">
        <f t="shared" si="10"/>
        <v>127.473159</v>
      </c>
      <c r="Y288" s="149"/>
    </row>
    <row r="289" spans="1:25" ht="16">
      <c r="A289" s="117" t="s">
        <v>3570</v>
      </c>
      <c r="B289" s="150" t="s">
        <v>212</v>
      </c>
      <c r="C289" s="149" t="s">
        <v>1744</v>
      </c>
      <c r="D289" s="149" t="str">
        <f t="shared" si="11"/>
        <v>COFFS</v>
      </c>
      <c r="E289" s="149" t="s">
        <v>2532</v>
      </c>
      <c r="F289" s="160">
        <v>-30.004933000000001</v>
      </c>
      <c r="G289" s="70">
        <v>153.09672599999999</v>
      </c>
      <c r="H289" s="70">
        <v>0</v>
      </c>
      <c r="I289" s="151">
        <v>42863</v>
      </c>
      <c r="J289" s="149" t="s">
        <v>36</v>
      </c>
      <c r="K289" s="149" t="s">
        <v>187</v>
      </c>
      <c r="L289" s="149" t="s">
        <v>1687</v>
      </c>
      <c r="M289" s="149" t="s">
        <v>2563</v>
      </c>
      <c r="N289" s="149" t="s">
        <v>2568</v>
      </c>
      <c r="O289" s="149" t="s">
        <v>2734</v>
      </c>
      <c r="P289" s="149" t="s">
        <v>2736</v>
      </c>
      <c r="Q289" s="149" t="s">
        <v>2391</v>
      </c>
      <c r="R289" s="149" t="s">
        <v>2713</v>
      </c>
      <c r="S289" s="149">
        <v>0.1077</v>
      </c>
      <c r="T289" s="149">
        <v>6.7166000000000003E-2</v>
      </c>
      <c r="U289" s="70">
        <f t="shared" si="9"/>
        <v>4.0534000000000001E-2</v>
      </c>
      <c r="V289" s="149">
        <v>5.4459999999999997</v>
      </c>
      <c r="W289" s="149">
        <f>8.692+10.479</f>
        <v>19.170999999999999</v>
      </c>
      <c r="X289" s="149">
        <f t="shared" si="10"/>
        <v>104.405266</v>
      </c>
      <c r="Y289" s="149"/>
    </row>
    <row r="290" spans="1:25" ht="16">
      <c r="A290" s="117" t="s">
        <v>3570</v>
      </c>
      <c r="B290" s="150" t="s">
        <v>213</v>
      </c>
      <c r="C290" s="149" t="s">
        <v>1744</v>
      </c>
      <c r="D290" s="149" t="str">
        <f t="shared" si="11"/>
        <v>COFFS</v>
      </c>
      <c r="E290" s="149" t="s">
        <v>2524</v>
      </c>
      <c r="F290" s="160">
        <v>-30.002158999999999</v>
      </c>
      <c r="G290" s="70">
        <v>153.14892399999999</v>
      </c>
      <c r="H290" s="70">
        <v>0</v>
      </c>
      <c r="I290" s="151">
        <v>42864</v>
      </c>
      <c r="J290" s="149" t="s">
        <v>2786</v>
      </c>
      <c r="K290" s="149" t="s">
        <v>199</v>
      </c>
      <c r="L290" s="149" t="s">
        <v>1687</v>
      </c>
      <c r="M290" s="149" t="s">
        <v>2563</v>
      </c>
      <c r="N290" s="149" t="s">
        <v>2562</v>
      </c>
      <c r="O290" s="149" t="s">
        <v>2106</v>
      </c>
      <c r="P290" s="149" t="s">
        <v>2106</v>
      </c>
      <c r="Q290" s="149" t="s">
        <v>2107</v>
      </c>
      <c r="R290" s="149" t="s">
        <v>2713</v>
      </c>
      <c r="S290" s="149">
        <v>6.9500000000000006E-2</v>
      </c>
      <c r="T290" s="149">
        <v>6.7166000000000003E-2</v>
      </c>
      <c r="U290" s="70">
        <f t="shared" si="9"/>
        <v>2.3340000000000027E-3</v>
      </c>
      <c r="V290" s="149">
        <v>2.3959999999999999</v>
      </c>
      <c r="W290" s="149">
        <f>2.448+4.745</f>
        <v>7.1929999999999996</v>
      </c>
      <c r="X290" s="149">
        <f t="shared" si="10"/>
        <v>17.234427999999998</v>
      </c>
      <c r="Y290" s="149"/>
    </row>
    <row r="291" spans="1:25" ht="16">
      <c r="A291" s="117" t="s">
        <v>3570</v>
      </c>
      <c r="B291" s="150" t="s">
        <v>214</v>
      </c>
      <c r="C291" s="149" t="s">
        <v>1744</v>
      </c>
      <c r="D291" s="149" t="str">
        <f t="shared" si="11"/>
        <v>COFFS</v>
      </c>
      <c r="E291" s="149" t="s">
        <v>2522</v>
      </c>
      <c r="F291" s="160">
        <v>-29.943010999999998</v>
      </c>
      <c r="G291" s="70">
        <v>153.12657400000001</v>
      </c>
      <c r="H291" s="70">
        <v>0</v>
      </c>
      <c r="I291" s="151">
        <v>42863</v>
      </c>
      <c r="J291" s="149" t="s">
        <v>36</v>
      </c>
      <c r="K291" s="149" t="s">
        <v>154</v>
      </c>
      <c r="L291" s="149" t="s">
        <v>1687</v>
      </c>
      <c r="M291" s="149" t="s">
        <v>2563</v>
      </c>
      <c r="N291" s="149" t="s">
        <v>2568</v>
      </c>
      <c r="O291" s="149" t="s">
        <v>2734</v>
      </c>
      <c r="P291" s="149" t="s">
        <v>2736</v>
      </c>
      <c r="Q291" s="149" t="s">
        <v>2390</v>
      </c>
      <c r="R291" s="149" t="s">
        <v>2712</v>
      </c>
      <c r="S291" s="149">
        <v>9.6000000000000002E-2</v>
      </c>
      <c r="T291" s="149">
        <v>6.7166000000000003E-2</v>
      </c>
      <c r="U291" s="70">
        <f t="shared" si="9"/>
        <v>2.8833999999999999E-2</v>
      </c>
      <c r="V291" s="149">
        <v>5.2779999999999996</v>
      </c>
      <c r="W291" s="149">
        <f>8.076+7.93</f>
        <v>16.006</v>
      </c>
      <c r="X291" s="149">
        <f t="shared" si="10"/>
        <v>84.47966799999999</v>
      </c>
      <c r="Y291" s="149"/>
    </row>
    <row r="292" spans="1:25" ht="16">
      <c r="A292" s="117" t="s">
        <v>3570</v>
      </c>
      <c r="B292" s="150" t="s">
        <v>215</v>
      </c>
      <c r="C292" s="149" t="s">
        <v>1744</v>
      </c>
      <c r="D292" s="149" t="str">
        <f t="shared" si="11"/>
        <v>COFFS</v>
      </c>
      <c r="E292" s="149" t="s">
        <v>2522</v>
      </c>
      <c r="F292" s="160">
        <v>-29.943010999999998</v>
      </c>
      <c r="G292" s="70">
        <v>153.12657400000001</v>
      </c>
      <c r="H292" s="70">
        <v>0</v>
      </c>
      <c r="I292" s="151">
        <v>42863</v>
      </c>
      <c r="J292" s="149" t="s">
        <v>36</v>
      </c>
      <c r="K292" s="149" t="s">
        <v>154</v>
      </c>
      <c r="L292" s="149" t="s">
        <v>1687</v>
      </c>
      <c r="M292" s="149" t="s">
        <v>2563</v>
      </c>
      <c r="N292" s="149" t="s">
        <v>2568</v>
      </c>
      <c r="O292" s="149" t="s">
        <v>2734</v>
      </c>
      <c r="P292" s="149" t="s">
        <v>2736</v>
      </c>
      <c r="Q292" s="149" t="s">
        <v>2390</v>
      </c>
      <c r="R292" s="149" t="s">
        <v>2713</v>
      </c>
      <c r="S292" s="149">
        <v>0.1046</v>
      </c>
      <c r="T292" s="149">
        <v>6.7166000000000003E-2</v>
      </c>
      <c r="U292" s="70">
        <f t="shared" si="9"/>
        <v>3.7433999999999995E-2</v>
      </c>
      <c r="V292" s="149">
        <f>5.823</f>
        <v>5.8230000000000004</v>
      </c>
      <c r="W292" s="149">
        <f>11.779+8.611</f>
        <v>20.39</v>
      </c>
      <c r="X292" s="149">
        <f t="shared" si="10"/>
        <v>118.73097000000001</v>
      </c>
      <c r="Y292" s="149"/>
    </row>
    <row r="293" spans="1:25" ht="16">
      <c r="A293" s="117" t="s">
        <v>3570</v>
      </c>
      <c r="B293" s="150" t="s">
        <v>216</v>
      </c>
      <c r="C293" s="149" t="s">
        <v>1744</v>
      </c>
      <c r="D293" s="149" t="str">
        <f t="shared" si="11"/>
        <v>COFFS</v>
      </c>
      <c r="E293" s="149" t="s">
        <v>2524</v>
      </c>
      <c r="F293" s="160">
        <v>-30.002158999999999</v>
      </c>
      <c r="G293" s="70">
        <v>153.14892399999999</v>
      </c>
      <c r="H293" s="70">
        <v>0</v>
      </c>
      <c r="I293" s="151">
        <v>42864</v>
      </c>
      <c r="J293" s="149" t="s">
        <v>2786</v>
      </c>
      <c r="K293" s="149" t="s">
        <v>177</v>
      </c>
      <c r="L293" s="149" t="s">
        <v>1687</v>
      </c>
      <c r="M293" s="149" t="s">
        <v>2563</v>
      </c>
      <c r="N293" s="149" t="s">
        <v>2562</v>
      </c>
      <c r="O293" s="149" t="s">
        <v>2103</v>
      </c>
      <c r="P293" s="149" t="s">
        <v>2103</v>
      </c>
      <c r="Q293" s="149" t="s">
        <v>2104</v>
      </c>
      <c r="R293" s="149" t="s">
        <v>2713</v>
      </c>
      <c r="S293" s="149">
        <v>6.9800000000000001E-2</v>
      </c>
      <c r="T293" s="149">
        <v>6.7166000000000003E-2</v>
      </c>
      <c r="U293" s="70">
        <f t="shared" si="9"/>
        <v>2.6339999999999975E-3</v>
      </c>
      <c r="V293" s="149">
        <v>1.776</v>
      </c>
      <c r="W293" s="149">
        <f>3.285+2.671</f>
        <v>5.9559999999999995</v>
      </c>
      <c r="X293" s="149">
        <f t="shared" si="10"/>
        <v>10.577855999999999</v>
      </c>
      <c r="Y293" s="149"/>
    </row>
    <row r="294" spans="1:25" ht="16">
      <c r="A294" s="117" t="s">
        <v>3570</v>
      </c>
      <c r="B294" s="150" t="s">
        <v>218</v>
      </c>
      <c r="C294" s="149" t="s">
        <v>1744</v>
      </c>
      <c r="D294" s="149" t="str">
        <f t="shared" si="11"/>
        <v>COFFS</v>
      </c>
      <c r="E294" s="149" t="s">
        <v>2522</v>
      </c>
      <c r="F294" s="160">
        <v>-29.943010999999998</v>
      </c>
      <c r="G294" s="70">
        <v>153.12657400000001</v>
      </c>
      <c r="H294" s="70">
        <v>0</v>
      </c>
      <c r="I294" s="151">
        <v>42833</v>
      </c>
      <c r="J294" s="149" t="s">
        <v>36</v>
      </c>
      <c r="K294" s="149" t="s">
        <v>219</v>
      </c>
      <c r="L294" s="149" t="s">
        <v>1687</v>
      </c>
      <c r="M294" s="149" t="s">
        <v>2563</v>
      </c>
      <c r="N294" s="149" t="s">
        <v>2568</v>
      </c>
      <c r="O294" s="149" t="s">
        <v>2734</v>
      </c>
      <c r="P294" s="149" t="s">
        <v>2779</v>
      </c>
      <c r="Q294" s="149" t="s">
        <v>2383</v>
      </c>
      <c r="R294" s="149" t="s">
        <v>2713</v>
      </c>
      <c r="S294" s="149">
        <v>0.16350000000000001</v>
      </c>
      <c r="T294" s="149">
        <v>6.7166000000000003E-2</v>
      </c>
      <c r="U294" s="70">
        <f t="shared" si="9"/>
        <v>9.6334000000000003E-2</v>
      </c>
      <c r="V294" s="149">
        <v>7.1750999999999996</v>
      </c>
      <c r="W294" s="149">
        <f>15.0868+11.0728</f>
        <v>26.159600000000001</v>
      </c>
      <c r="X294" s="149">
        <f t="shared" si="10"/>
        <v>187.69774595999999</v>
      </c>
      <c r="Y294" s="149"/>
    </row>
    <row r="295" spans="1:25" ht="16">
      <c r="A295" s="117" t="s">
        <v>3570</v>
      </c>
      <c r="B295" s="150" t="s">
        <v>220</v>
      </c>
      <c r="C295" s="149" t="s">
        <v>1744</v>
      </c>
      <c r="D295" s="149" t="str">
        <f t="shared" si="11"/>
        <v>COFFS</v>
      </c>
      <c r="E295" s="149" t="s">
        <v>2522</v>
      </c>
      <c r="F295" s="160">
        <v>-29.943010999999998</v>
      </c>
      <c r="G295" s="70">
        <v>153.12657400000001</v>
      </c>
      <c r="H295" s="70">
        <v>0</v>
      </c>
      <c r="I295" s="151">
        <v>42833</v>
      </c>
      <c r="J295" s="149" t="s">
        <v>2097</v>
      </c>
      <c r="K295" s="149" t="s">
        <v>219</v>
      </c>
      <c r="L295" s="149" t="s">
        <v>1687</v>
      </c>
      <c r="M295" s="149" t="s">
        <v>2564</v>
      </c>
      <c r="N295" s="149" t="s">
        <v>2577</v>
      </c>
      <c r="O295" s="149" t="s">
        <v>2742</v>
      </c>
      <c r="P295" s="149" t="s">
        <v>2780</v>
      </c>
      <c r="Q295" s="149" t="s">
        <v>2388</v>
      </c>
      <c r="R295" s="149" t="s">
        <v>2713</v>
      </c>
      <c r="S295" s="149">
        <v>0.3805</v>
      </c>
      <c r="T295" s="149">
        <v>6.7166000000000003E-2</v>
      </c>
      <c r="U295" s="70">
        <f t="shared" si="9"/>
        <v>0.313334</v>
      </c>
      <c r="V295" s="149">
        <v>11.8094</v>
      </c>
      <c r="W295" s="149">
        <f>19.6483+15.8313</f>
        <v>35.479599999999998</v>
      </c>
      <c r="X295" s="149">
        <f t="shared" si="10"/>
        <v>418.99278823999998</v>
      </c>
      <c r="Y295" s="149"/>
    </row>
    <row r="296" spans="1:25" ht="16">
      <c r="A296" s="117" t="s">
        <v>3570</v>
      </c>
      <c r="B296" s="150" t="s">
        <v>221</v>
      </c>
      <c r="C296" s="149" t="s">
        <v>1744</v>
      </c>
      <c r="D296" s="149" t="str">
        <f t="shared" si="11"/>
        <v>COFFS</v>
      </c>
      <c r="E296" s="149" t="s">
        <v>2522</v>
      </c>
      <c r="F296" s="160">
        <v>-29.943010999999998</v>
      </c>
      <c r="G296" s="70">
        <v>153.12657400000001</v>
      </c>
      <c r="H296" s="70">
        <v>0</v>
      </c>
      <c r="I296" s="151">
        <v>42833</v>
      </c>
      <c r="J296" s="149" t="s">
        <v>2097</v>
      </c>
      <c r="K296" s="149" t="s">
        <v>219</v>
      </c>
      <c r="L296" s="149" t="s">
        <v>1687</v>
      </c>
      <c r="M296" s="149" t="s">
        <v>2564</v>
      </c>
      <c r="N296" s="149" t="s">
        <v>2577</v>
      </c>
      <c r="O296" s="149" t="s">
        <v>2742</v>
      </c>
      <c r="P296" s="149" t="s">
        <v>2780</v>
      </c>
      <c r="Q296" s="149" t="s">
        <v>2388</v>
      </c>
      <c r="R296" s="149" t="s">
        <v>2713</v>
      </c>
      <c r="S296" s="149">
        <v>0.34799999999999998</v>
      </c>
      <c r="T296" s="149">
        <v>6.7166000000000003E-2</v>
      </c>
      <c r="U296" s="70">
        <f t="shared" si="9"/>
        <v>0.28083399999999997</v>
      </c>
      <c r="V296" s="149">
        <v>11.603999999999999</v>
      </c>
      <c r="W296" s="149">
        <f>18.883+16.231</f>
        <v>35.114000000000004</v>
      </c>
      <c r="X296" s="149">
        <f t="shared" si="10"/>
        <v>407.46285600000004</v>
      </c>
      <c r="Y296" s="149"/>
    </row>
    <row r="297" spans="1:25" ht="16">
      <c r="A297" s="117" t="s">
        <v>3570</v>
      </c>
      <c r="B297" s="150" t="s">
        <v>222</v>
      </c>
      <c r="C297" s="149" t="s">
        <v>1744</v>
      </c>
      <c r="D297" s="149" t="str">
        <f t="shared" si="11"/>
        <v>COFFS</v>
      </c>
      <c r="E297" s="149" t="s">
        <v>2522</v>
      </c>
      <c r="F297" s="160">
        <v>-29.943010999999998</v>
      </c>
      <c r="G297" s="70">
        <v>153.12657400000001</v>
      </c>
      <c r="H297" s="70">
        <v>0</v>
      </c>
      <c r="I297" s="151">
        <v>42833</v>
      </c>
      <c r="J297" s="149" t="s">
        <v>2097</v>
      </c>
      <c r="K297" s="149" t="s">
        <v>219</v>
      </c>
      <c r="L297" s="149" t="s">
        <v>1687</v>
      </c>
      <c r="M297" s="149" t="s">
        <v>2564</v>
      </c>
      <c r="N297" s="149" t="s">
        <v>2577</v>
      </c>
      <c r="O297" s="149" t="s">
        <v>2742</v>
      </c>
      <c r="P297" s="149" t="s">
        <v>2740</v>
      </c>
      <c r="Q297" s="149" t="s">
        <v>2389</v>
      </c>
      <c r="R297" s="149" t="s">
        <v>2713</v>
      </c>
      <c r="S297" s="149">
        <v>0.1757</v>
      </c>
      <c r="T297" s="149">
        <v>6.7166000000000003E-2</v>
      </c>
      <c r="U297" s="70">
        <f t="shared" si="9"/>
        <v>0.10853399999999999</v>
      </c>
      <c r="V297" s="149">
        <v>8.1549999999999994</v>
      </c>
      <c r="W297" s="149">
        <f>11.8+12.677</f>
        <v>24.477</v>
      </c>
      <c r="X297" s="149">
        <f t="shared" si="10"/>
        <v>199.60993499999998</v>
      </c>
      <c r="Y297" s="149"/>
    </row>
    <row r="298" spans="1:25" ht="16">
      <c r="A298" s="117" t="s">
        <v>3570</v>
      </c>
      <c r="B298" s="150" t="s">
        <v>223</v>
      </c>
      <c r="C298" s="149" t="s">
        <v>1744</v>
      </c>
      <c r="D298" s="149" t="str">
        <f t="shared" si="11"/>
        <v>COFFS</v>
      </c>
      <c r="E298" s="149" t="s">
        <v>2522</v>
      </c>
      <c r="F298" s="160">
        <v>-29.943010999999998</v>
      </c>
      <c r="G298" s="70">
        <v>153.12657400000001</v>
      </c>
      <c r="H298" s="70">
        <v>0</v>
      </c>
      <c r="I298" s="151">
        <v>42833</v>
      </c>
      <c r="J298" s="149" t="s">
        <v>2097</v>
      </c>
      <c r="K298" s="149" t="s">
        <v>219</v>
      </c>
      <c r="L298" s="149" t="s">
        <v>1687</v>
      </c>
      <c r="M298" s="149" t="s">
        <v>2564</v>
      </c>
      <c r="N298" s="149" t="s">
        <v>2577</v>
      </c>
      <c r="O298" s="149" t="s">
        <v>2742</v>
      </c>
      <c r="P298" s="149" t="s">
        <v>2740</v>
      </c>
      <c r="Q298" s="149" t="s">
        <v>2389</v>
      </c>
      <c r="R298" s="149" t="s">
        <v>2713</v>
      </c>
      <c r="S298" s="149">
        <v>0.16039999999999999</v>
      </c>
      <c r="T298" s="149">
        <v>6.7166000000000003E-2</v>
      </c>
      <c r="U298" s="70">
        <f t="shared" si="9"/>
        <v>9.3233999999999984E-2</v>
      </c>
      <c r="V298" s="149">
        <v>7.4779999999999998</v>
      </c>
      <c r="W298" s="149">
        <f>11.6014+13.708</f>
        <v>25.3094</v>
      </c>
      <c r="X298" s="149">
        <f t="shared" si="10"/>
        <v>189.26369320000001</v>
      </c>
      <c r="Y298" s="149"/>
    </row>
    <row r="299" spans="1:25" ht="16">
      <c r="A299" s="117" t="s">
        <v>3570</v>
      </c>
      <c r="B299" s="150" t="s">
        <v>224</v>
      </c>
      <c r="C299" s="149" t="s">
        <v>1744</v>
      </c>
      <c r="D299" s="149" t="str">
        <f t="shared" si="11"/>
        <v>COFFS</v>
      </c>
      <c r="E299" s="149" t="s">
        <v>2522</v>
      </c>
      <c r="F299" s="160">
        <v>-29.943010999999998</v>
      </c>
      <c r="G299" s="70">
        <v>153.12657400000001</v>
      </c>
      <c r="H299" s="70">
        <v>0</v>
      </c>
      <c r="I299" s="151">
        <v>42833</v>
      </c>
      <c r="J299" s="149" t="s">
        <v>2785</v>
      </c>
      <c r="K299" s="149" t="s">
        <v>219</v>
      </c>
      <c r="L299" s="149" t="s">
        <v>2566</v>
      </c>
      <c r="M299" s="149" t="s">
        <v>2567</v>
      </c>
      <c r="N299" s="149" t="s">
        <v>2668</v>
      </c>
      <c r="O299" s="140" t="s">
        <v>2600</v>
      </c>
      <c r="P299" s="149" t="s">
        <v>2735</v>
      </c>
      <c r="Q299" s="149" t="s">
        <v>2384</v>
      </c>
      <c r="R299" s="149" t="s">
        <v>2713</v>
      </c>
      <c r="S299" s="149">
        <v>7.4399999999999994E-2</v>
      </c>
      <c r="T299" s="149">
        <v>6.7166000000000003E-2</v>
      </c>
      <c r="U299" s="70">
        <f t="shared" si="9"/>
        <v>7.2339999999999904E-3</v>
      </c>
      <c r="V299" s="149">
        <v>2.8860000000000001</v>
      </c>
      <c r="W299" s="149">
        <f>5.354+5.269</f>
        <v>10.623000000000001</v>
      </c>
      <c r="X299" s="149">
        <f t="shared" si="10"/>
        <v>30.657978000000004</v>
      </c>
      <c r="Y299" s="149"/>
    </row>
    <row r="300" spans="1:25" ht="16">
      <c r="A300" s="117" t="s">
        <v>3570</v>
      </c>
      <c r="B300" s="150" t="s">
        <v>225</v>
      </c>
      <c r="C300" s="149" t="s">
        <v>1744</v>
      </c>
      <c r="D300" s="149" t="str">
        <f t="shared" si="11"/>
        <v>COFFS</v>
      </c>
      <c r="E300" s="149" t="s">
        <v>2522</v>
      </c>
      <c r="F300" s="160">
        <v>-29.943010999999998</v>
      </c>
      <c r="G300" s="70">
        <v>153.12657400000001</v>
      </c>
      <c r="H300" s="70">
        <v>0</v>
      </c>
      <c r="I300" s="151">
        <v>42833</v>
      </c>
      <c r="J300" s="149" t="s">
        <v>2785</v>
      </c>
      <c r="K300" s="149" t="s">
        <v>219</v>
      </c>
      <c r="L300" s="149" t="s">
        <v>2566</v>
      </c>
      <c r="M300" s="149" t="s">
        <v>2567</v>
      </c>
      <c r="N300" s="149" t="s">
        <v>2668</v>
      </c>
      <c r="O300" s="140" t="s">
        <v>2600</v>
      </c>
      <c r="P300" s="149" t="s">
        <v>2735</v>
      </c>
      <c r="Q300" s="149" t="s">
        <v>2384</v>
      </c>
      <c r="R300" s="149" t="s">
        <v>2713</v>
      </c>
      <c r="S300" s="149">
        <v>7.2800000000000004E-2</v>
      </c>
      <c r="T300" s="149">
        <v>6.7166000000000003E-2</v>
      </c>
      <c r="U300" s="70">
        <f t="shared" si="9"/>
        <v>5.6340000000000001E-3</v>
      </c>
      <c r="V300" s="149">
        <v>2.7069999999999999</v>
      </c>
      <c r="W300" s="149">
        <f>5.165+5.329</f>
        <v>10.494</v>
      </c>
      <c r="X300" s="149">
        <f t="shared" si="10"/>
        <v>28.407257999999999</v>
      </c>
      <c r="Y300" s="149"/>
    </row>
    <row r="301" spans="1:25" ht="16">
      <c r="A301" s="117" t="s">
        <v>3570</v>
      </c>
      <c r="B301" s="150" t="s">
        <v>226</v>
      </c>
      <c r="C301" s="149" t="s">
        <v>1744</v>
      </c>
      <c r="D301" s="149" t="str">
        <f t="shared" si="11"/>
        <v>COFFS</v>
      </c>
      <c r="E301" s="149" t="s">
        <v>2522</v>
      </c>
      <c r="F301" s="160">
        <v>-29.943010999999998</v>
      </c>
      <c r="G301" s="70">
        <v>153.12657400000001</v>
      </c>
      <c r="H301" s="70">
        <v>0</v>
      </c>
      <c r="I301" s="151">
        <v>42833</v>
      </c>
      <c r="J301" s="149" t="s">
        <v>2785</v>
      </c>
      <c r="K301" s="149" t="s">
        <v>219</v>
      </c>
      <c r="L301" s="149" t="s">
        <v>2566</v>
      </c>
      <c r="M301" s="149" t="s">
        <v>2567</v>
      </c>
      <c r="N301" s="149" t="s">
        <v>2668</v>
      </c>
      <c r="O301" s="149" t="s">
        <v>2105</v>
      </c>
      <c r="P301" s="149" t="s">
        <v>2105</v>
      </c>
      <c r="Q301" s="149" t="s">
        <v>2386</v>
      </c>
      <c r="R301" s="149" t="s">
        <v>2713</v>
      </c>
      <c r="S301" s="149">
        <v>7.3200000000000001E-2</v>
      </c>
      <c r="T301" s="149">
        <v>6.7166000000000003E-2</v>
      </c>
      <c r="U301" s="70">
        <f t="shared" si="9"/>
        <v>6.0339999999999977E-3</v>
      </c>
      <c r="V301" s="149">
        <v>2.3660000000000001</v>
      </c>
      <c r="W301" s="149">
        <f>1.985+3.332+5.1495</f>
        <v>10.4665</v>
      </c>
      <c r="X301" s="149">
        <f t="shared" si="10"/>
        <v>24.763739000000001</v>
      </c>
      <c r="Y301" s="149"/>
    </row>
    <row r="302" spans="1:25" ht="16">
      <c r="A302" s="117" t="s">
        <v>3570</v>
      </c>
      <c r="B302" s="150" t="s">
        <v>228</v>
      </c>
      <c r="C302" s="149" t="s">
        <v>1744</v>
      </c>
      <c r="D302" s="149" t="str">
        <f t="shared" si="11"/>
        <v>COFFS</v>
      </c>
      <c r="E302" s="149" t="s">
        <v>2522</v>
      </c>
      <c r="F302" s="160">
        <v>-29.943010999999998</v>
      </c>
      <c r="G302" s="70">
        <v>153.12657400000001</v>
      </c>
      <c r="H302" s="70">
        <v>0</v>
      </c>
      <c r="I302" s="151">
        <v>42833</v>
      </c>
      <c r="J302" s="149" t="s">
        <v>2097</v>
      </c>
      <c r="K302" s="149" t="s">
        <v>219</v>
      </c>
      <c r="L302" s="149" t="s">
        <v>1687</v>
      </c>
      <c r="M302" s="149" t="s">
        <v>2563</v>
      </c>
      <c r="N302" s="149" t="s">
        <v>2562</v>
      </c>
      <c r="O302" s="149" t="s">
        <v>2103</v>
      </c>
      <c r="P302" s="149" t="s">
        <v>2103</v>
      </c>
      <c r="Q302" s="149" t="s">
        <v>2104</v>
      </c>
      <c r="R302" s="149" t="s">
        <v>2713</v>
      </c>
      <c r="S302" s="149">
        <v>1.2999999999999999E-3</v>
      </c>
      <c r="T302" s="149">
        <v>0</v>
      </c>
      <c r="U302" s="70">
        <f t="shared" si="9"/>
        <v>1.2999999999999999E-3</v>
      </c>
      <c r="V302" s="149">
        <v>1.732</v>
      </c>
      <c r="W302" s="149">
        <f>3.589+2.645</f>
        <v>6.234</v>
      </c>
      <c r="X302" s="149">
        <f t="shared" si="10"/>
        <v>10.797288</v>
      </c>
      <c r="Y302" s="149"/>
    </row>
    <row r="303" spans="1:25" ht="16">
      <c r="A303" s="117" t="s">
        <v>3570</v>
      </c>
      <c r="B303" s="150" t="s">
        <v>229</v>
      </c>
      <c r="C303" s="149" t="s">
        <v>1744</v>
      </c>
      <c r="D303" s="149" t="str">
        <f t="shared" si="11"/>
        <v>COFFS</v>
      </c>
      <c r="E303" s="149" t="s">
        <v>2522</v>
      </c>
      <c r="F303" s="160">
        <v>-29.943010999999998</v>
      </c>
      <c r="G303" s="70">
        <v>153.12657400000001</v>
      </c>
      <c r="H303" s="70">
        <v>0</v>
      </c>
      <c r="I303" s="151">
        <v>42833</v>
      </c>
      <c r="J303" s="149" t="s">
        <v>2097</v>
      </c>
      <c r="K303" s="149" t="s">
        <v>219</v>
      </c>
      <c r="L303" s="149" t="s">
        <v>1687</v>
      </c>
      <c r="M303" s="149" t="s">
        <v>2563</v>
      </c>
      <c r="N303" s="149" t="s">
        <v>2562</v>
      </c>
      <c r="O303" s="149" t="s">
        <v>2103</v>
      </c>
      <c r="P303" s="149" t="s">
        <v>2103</v>
      </c>
      <c r="Q303" s="149" t="s">
        <v>2104</v>
      </c>
      <c r="R303" s="149" t="s">
        <v>2713</v>
      </c>
      <c r="S303" s="149">
        <v>1.6000000000000001E-3</v>
      </c>
      <c r="T303" s="149">
        <v>0</v>
      </c>
      <c r="U303" s="70">
        <f t="shared" si="9"/>
        <v>1.6000000000000001E-3</v>
      </c>
      <c r="V303" s="149">
        <v>1.948</v>
      </c>
      <c r="W303" s="149">
        <f>3.42+2.828</f>
        <v>6.2479999999999993</v>
      </c>
      <c r="X303" s="149">
        <f t="shared" si="10"/>
        <v>12.171103999999998</v>
      </c>
      <c r="Y303" s="149"/>
    </row>
    <row r="304" spans="1:25" ht="16">
      <c r="A304" s="117" t="s">
        <v>3570</v>
      </c>
      <c r="B304" s="150" t="s">
        <v>230</v>
      </c>
      <c r="C304" s="149" t="s">
        <v>1744</v>
      </c>
      <c r="D304" s="149" t="str">
        <f t="shared" si="11"/>
        <v>COFFS</v>
      </c>
      <c r="E304" s="149" t="s">
        <v>2522</v>
      </c>
      <c r="F304" s="160">
        <v>-29.943010999999998</v>
      </c>
      <c r="G304" s="70">
        <v>153.12657400000001</v>
      </c>
      <c r="H304" s="70">
        <v>0</v>
      </c>
      <c r="I304" s="151">
        <v>42833</v>
      </c>
      <c r="J304" s="149" t="s">
        <v>2097</v>
      </c>
      <c r="K304" s="149" t="s">
        <v>219</v>
      </c>
      <c r="L304" s="149" t="s">
        <v>1687</v>
      </c>
      <c r="M304" s="149" t="s">
        <v>2563</v>
      </c>
      <c r="N304" s="149" t="s">
        <v>2562</v>
      </c>
      <c r="O304" s="149" t="s">
        <v>2103</v>
      </c>
      <c r="P304" s="149" t="s">
        <v>2103</v>
      </c>
      <c r="Q304" s="149" t="s">
        <v>2104</v>
      </c>
      <c r="R304" s="149" t="s">
        <v>2713</v>
      </c>
      <c r="S304" s="149">
        <v>1.5E-3</v>
      </c>
      <c r="T304" s="149">
        <v>0</v>
      </c>
      <c r="U304" s="70">
        <f t="shared" ref="U304:U367" si="12">S304-T304</f>
        <v>1.5E-3</v>
      </c>
      <c r="V304" s="149">
        <v>1.8340000000000001</v>
      </c>
      <c r="W304" s="149">
        <f>2.717+3.284</f>
        <v>6.0009999999999994</v>
      </c>
      <c r="X304" s="149">
        <f t="shared" ref="X304:X367" si="13">V304*W304</f>
        <v>11.005834</v>
      </c>
      <c r="Y304" s="149"/>
    </row>
    <row r="305" spans="1:25" ht="16">
      <c r="A305" s="117" t="s">
        <v>3570</v>
      </c>
      <c r="B305" s="150" t="s">
        <v>231</v>
      </c>
      <c r="C305" s="149" t="s">
        <v>1744</v>
      </c>
      <c r="D305" s="149" t="str">
        <f t="shared" ref="D305:D368" si="14">LEFT(E305,5)</f>
        <v>COFFS</v>
      </c>
      <c r="E305" s="149" t="s">
        <v>2522</v>
      </c>
      <c r="F305" s="160">
        <v>-29.943010999999998</v>
      </c>
      <c r="G305" s="70">
        <v>153.12657400000001</v>
      </c>
      <c r="H305" s="70">
        <v>0</v>
      </c>
      <c r="I305" s="151">
        <v>42833</v>
      </c>
      <c r="J305" s="149" t="s">
        <v>36</v>
      </c>
      <c r="K305" s="149" t="s">
        <v>154</v>
      </c>
      <c r="L305" s="149" t="s">
        <v>2566</v>
      </c>
      <c r="M305" s="149" t="s">
        <v>2567</v>
      </c>
      <c r="N305" s="149" t="s">
        <v>2668</v>
      </c>
      <c r="O305" s="149" t="s">
        <v>2105</v>
      </c>
      <c r="P305" s="140" t="s">
        <v>2105</v>
      </c>
      <c r="Q305" s="149" t="s">
        <v>2387</v>
      </c>
      <c r="R305" s="149" t="s">
        <v>2713</v>
      </c>
      <c r="S305" s="149">
        <v>1.5E-3</v>
      </c>
      <c r="T305" s="149">
        <v>0</v>
      </c>
      <c r="U305" s="70">
        <f t="shared" si="12"/>
        <v>1.5E-3</v>
      </c>
      <c r="V305" s="149">
        <v>1.752</v>
      </c>
      <c r="W305" s="149">
        <f>3.66+3.639</f>
        <v>7.2989999999999995</v>
      </c>
      <c r="X305" s="149">
        <f t="shared" si="13"/>
        <v>12.787847999999999</v>
      </c>
      <c r="Y305" s="149"/>
    </row>
    <row r="306" spans="1:25" ht="16">
      <c r="A306" s="117" t="s">
        <v>3570</v>
      </c>
      <c r="B306" s="150" t="s">
        <v>232</v>
      </c>
      <c r="C306" s="149" t="s">
        <v>1744</v>
      </c>
      <c r="D306" s="149" t="str">
        <f t="shared" si="14"/>
        <v>COFFS</v>
      </c>
      <c r="E306" s="149" t="s">
        <v>2522</v>
      </c>
      <c r="F306" s="160">
        <v>-29.943010999999998</v>
      </c>
      <c r="G306" s="70">
        <v>153.12657400000001</v>
      </c>
      <c r="H306" s="70">
        <v>0</v>
      </c>
      <c r="I306" s="151">
        <v>42833</v>
      </c>
      <c r="J306" s="149" t="s">
        <v>36</v>
      </c>
      <c r="K306" s="149" t="s">
        <v>154</v>
      </c>
      <c r="L306" s="149" t="s">
        <v>2566</v>
      </c>
      <c r="M306" s="149" t="s">
        <v>2567</v>
      </c>
      <c r="N306" s="149" t="s">
        <v>2668</v>
      </c>
      <c r="O306" s="149" t="s">
        <v>2105</v>
      </c>
      <c r="P306" s="140" t="s">
        <v>2105</v>
      </c>
      <c r="Q306" s="149" t="s">
        <v>2387</v>
      </c>
      <c r="R306" s="149" t="s">
        <v>2713</v>
      </c>
      <c r="S306" s="149">
        <v>1.9E-3</v>
      </c>
      <c r="T306" s="149">
        <v>0</v>
      </c>
      <c r="U306" s="70">
        <f t="shared" si="12"/>
        <v>1.9E-3</v>
      </c>
      <c r="V306" s="149">
        <v>1.794</v>
      </c>
      <c r="W306" s="149">
        <f>3.794+3.578</f>
        <v>7.3719999999999999</v>
      </c>
      <c r="X306" s="149">
        <f t="shared" si="13"/>
        <v>13.225368</v>
      </c>
      <c r="Y306" s="149"/>
    </row>
    <row r="307" spans="1:25" ht="16">
      <c r="A307" s="117" t="s">
        <v>3570</v>
      </c>
      <c r="B307" s="150" t="s">
        <v>233</v>
      </c>
      <c r="C307" s="149" t="s">
        <v>1744</v>
      </c>
      <c r="D307" s="149" t="str">
        <f t="shared" si="14"/>
        <v>COFFS</v>
      </c>
      <c r="E307" s="149" t="s">
        <v>2522</v>
      </c>
      <c r="F307" s="160">
        <v>-29.943010999999998</v>
      </c>
      <c r="G307" s="70">
        <v>153.12657400000001</v>
      </c>
      <c r="H307" s="70">
        <v>0</v>
      </c>
      <c r="I307" s="151">
        <v>42833</v>
      </c>
      <c r="J307" s="149" t="s">
        <v>36</v>
      </c>
      <c r="K307" s="149" t="s">
        <v>154</v>
      </c>
      <c r="L307" s="149" t="s">
        <v>2566</v>
      </c>
      <c r="M307" s="149" t="s">
        <v>2567</v>
      </c>
      <c r="N307" s="149" t="s">
        <v>2668</v>
      </c>
      <c r="O307" s="149" t="s">
        <v>2105</v>
      </c>
      <c r="P307" s="140" t="s">
        <v>2105</v>
      </c>
      <c r="Q307" s="149" t="s">
        <v>2387</v>
      </c>
      <c r="R307" s="149" t="s">
        <v>2713</v>
      </c>
      <c r="S307" s="149">
        <v>2E-3</v>
      </c>
      <c r="T307" s="149">
        <v>0</v>
      </c>
      <c r="U307" s="70">
        <f t="shared" si="12"/>
        <v>2E-3</v>
      </c>
      <c r="V307" s="149">
        <v>1.6519999999999999</v>
      </c>
      <c r="W307" s="149">
        <f>3.502+3.599</f>
        <v>7.101</v>
      </c>
      <c r="X307" s="149">
        <f t="shared" si="13"/>
        <v>11.730851999999999</v>
      </c>
      <c r="Y307" s="149"/>
    </row>
    <row r="308" spans="1:25" ht="16">
      <c r="A308" s="117" t="s">
        <v>3570</v>
      </c>
      <c r="B308" s="150" t="s">
        <v>234</v>
      </c>
      <c r="C308" s="149" t="s">
        <v>1744</v>
      </c>
      <c r="D308" s="149" t="str">
        <f t="shared" si="14"/>
        <v>COFFS</v>
      </c>
      <c r="E308" s="149" t="s">
        <v>2522</v>
      </c>
      <c r="F308" s="160">
        <v>-29.943010999999998</v>
      </c>
      <c r="G308" s="70">
        <v>153.12657400000001</v>
      </c>
      <c r="H308" s="70">
        <v>0</v>
      </c>
      <c r="I308" s="151">
        <v>42833</v>
      </c>
      <c r="J308" s="149" t="s">
        <v>36</v>
      </c>
      <c r="K308" s="149" t="s">
        <v>154</v>
      </c>
      <c r="L308" s="149" t="s">
        <v>2566</v>
      </c>
      <c r="M308" s="149" t="s">
        <v>2567</v>
      </c>
      <c r="N308" s="149" t="s">
        <v>2668</v>
      </c>
      <c r="O308" s="149" t="s">
        <v>2105</v>
      </c>
      <c r="P308" s="140" t="s">
        <v>2105</v>
      </c>
      <c r="Q308" s="149" t="s">
        <v>2387</v>
      </c>
      <c r="R308" s="149" t="s">
        <v>2712</v>
      </c>
      <c r="S308" s="149">
        <v>1.9E-3</v>
      </c>
      <c r="T308" s="149">
        <v>0</v>
      </c>
      <c r="U308" s="70">
        <f t="shared" si="12"/>
        <v>1.9E-3</v>
      </c>
      <c r="V308" s="149">
        <v>1.702</v>
      </c>
      <c r="W308" s="149">
        <f>3.888+1.09+1.066+2.142</f>
        <v>8.1859999999999999</v>
      </c>
      <c r="X308" s="149">
        <f t="shared" si="13"/>
        <v>13.932572</v>
      </c>
      <c r="Y308" s="149"/>
    </row>
    <row r="309" spans="1:25" ht="16">
      <c r="A309" s="117" t="s">
        <v>3570</v>
      </c>
      <c r="B309" s="150" t="s">
        <v>235</v>
      </c>
      <c r="C309" s="149" t="s">
        <v>1744</v>
      </c>
      <c r="D309" s="149" t="str">
        <f t="shared" si="14"/>
        <v>COFFS</v>
      </c>
      <c r="E309" s="149" t="s">
        <v>2522</v>
      </c>
      <c r="F309" s="160">
        <v>-29.943010999999998</v>
      </c>
      <c r="G309" s="70">
        <v>153.12657400000001</v>
      </c>
      <c r="H309" s="70">
        <v>0</v>
      </c>
      <c r="I309" s="151">
        <v>42833</v>
      </c>
      <c r="J309" s="149" t="s">
        <v>36</v>
      </c>
      <c r="K309" s="149" t="s">
        <v>154</v>
      </c>
      <c r="L309" s="149" t="s">
        <v>2566</v>
      </c>
      <c r="M309" s="149" t="s">
        <v>2567</v>
      </c>
      <c r="N309" s="149" t="s">
        <v>2668</v>
      </c>
      <c r="O309" s="149" t="s">
        <v>2105</v>
      </c>
      <c r="P309" s="140" t="s">
        <v>2105</v>
      </c>
      <c r="Q309" s="149" t="s">
        <v>2387</v>
      </c>
      <c r="R309" s="149" t="s">
        <v>2713</v>
      </c>
      <c r="S309" s="149">
        <v>1.5E-3</v>
      </c>
      <c r="T309" s="149">
        <v>0</v>
      </c>
      <c r="U309" s="70">
        <f t="shared" si="12"/>
        <v>1.5E-3</v>
      </c>
      <c r="V309" s="149">
        <v>1.7310000000000001</v>
      </c>
      <c r="W309" s="149">
        <f>3.46+1.497+2.07</f>
        <v>7.0269999999999992</v>
      </c>
      <c r="X309" s="149">
        <f t="shared" si="13"/>
        <v>12.163736999999999</v>
      </c>
      <c r="Y309" s="149"/>
    </row>
    <row r="310" spans="1:25" ht="16">
      <c r="A310" s="117" t="s">
        <v>3570</v>
      </c>
      <c r="B310" s="150" t="s">
        <v>236</v>
      </c>
      <c r="C310" s="149" t="s">
        <v>1744</v>
      </c>
      <c r="D310" s="149" t="str">
        <f t="shared" si="14"/>
        <v>COFFS</v>
      </c>
      <c r="E310" s="149" t="s">
        <v>2522</v>
      </c>
      <c r="F310" s="160">
        <v>-29.943010999999998</v>
      </c>
      <c r="G310" s="70">
        <v>153.12657400000001</v>
      </c>
      <c r="H310" s="70">
        <v>0</v>
      </c>
      <c r="I310" s="151">
        <v>42833</v>
      </c>
      <c r="J310" s="149" t="s">
        <v>36</v>
      </c>
      <c r="K310" s="149" t="s">
        <v>154</v>
      </c>
      <c r="L310" s="149" t="s">
        <v>2566</v>
      </c>
      <c r="M310" s="149" t="s">
        <v>2567</v>
      </c>
      <c r="N310" s="149" t="s">
        <v>2668</v>
      </c>
      <c r="O310" s="149" t="s">
        <v>2105</v>
      </c>
      <c r="P310" s="140" t="s">
        <v>2105</v>
      </c>
      <c r="Q310" s="149" t="s">
        <v>2387</v>
      </c>
      <c r="R310" s="149" t="s">
        <v>2713</v>
      </c>
      <c r="S310" s="149">
        <v>1.1999999999999999E-3</v>
      </c>
      <c r="T310" s="149">
        <v>0</v>
      </c>
      <c r="U310" s="70">
        <f t="shared" si="12"/>
        <v>1.1999999999999999E-3</v>
      </c>
      <c r="V310" s="149">
        <v>1.605</v>
      </c>
      <c r="W310" s="149">
        <f>3.368+3.667</f>
        <v>7.0350000000000001</v>
      </c>
      <c r="X310" s="149">
        <f t="shared" si="13"/>
        <v>11.291175000000001</v>
      </c>
      <c r="Y310" s="149"/>
    </row>
    <row r="311" spans="1:25" ht="16">
      <c r="A311" s="117" t="s">
        <v>3570</v>
      </c>
      <c r="B311" s="150" t="s">
        <v>245</v>
      </c>
      <c r="C311" s="149" t="s">
        <v>1744</v>
      </c>
      <c r="D311" s="149" t="str">
        <f t="shared" si="14"/>
        <v>ARMID</v>
      </c>
      <c r="E311" s="149" t="s">
        <v>2544</v>
      </c>
      <c r="F311" s="160">
        <v>-30.486018000000001</v>
      </c>
      <c r="G311" s="70">
        <v>151.641143</v>
      </c>
      <c r="H311" s="70">
        <v>0</v>
      </c>
      <c r="I311" s="151">
        <v>42841</v>
      </c>
      <c r="J311" s="149" t="s">
        <v>240</v>
      </c>
      <c r="K311" s="149" t="s">
        <v>219</v>
      </c>
      <c r="L311" s="149" t="s">
        <v>2566</v>
      </c>
      <c r="M311" s="149" t="s">
        <v>2567</v>
      </c>
      <c r="N311" s="149" t="s">
        <v>2668</v>
      </c>
      <c r="O311" s="149" t="s">
        <v>2600</v>
      </c>
      <c r="P311" s="149" t="s">
        <v>2775</v>
      </c>
      <c r="Q311" s="149" t="s">
        <v>2370</v>
      </c>
      <c r="R311" s="149" t="s">
        <v>2713</v>
      </c>
      <c r="S311" s="149">
        <v>7.9699999999999993E-2</v>
      </c>
      <c r="T311" s="149">
        <v>6.7166000000000003E-2</v>
      </c>
      <c r="U311" s="70">
        <f t="shared" si="12"/>
        <v>1.253399999999999E-2</v>
      </c>
      <c r="V311" s="149">
        <v>3.2839999999999998</v>
      </c>
      <c r="W311" s="149">
        <f>6.244+6.505</f>
        <v>12.748999999999999</v>
      </c>
      <c r="X311" s="149">
        <f t="shared" si="13"/>
        <v>41.867715999999994</v>
      </c>
      <c r="Y311" s="149"/>
    </row>
    <row r="312" spans="1:25" ht="16">
      <c r="A312" s="117" t="s">
        <v>3570</v>
      </c>
      <c r="B312" s="150" t="s">
        <v>246</v>
      </c>
      <c r="C312" s="149" t="s">
        <v>1744</v>
      </c>
      <c r="D312" s="149" t="str">
        <f t="shared" si="14"/>
        <v>ARMID</v>
      </c>
      <c r="E312" s="149" t="s">
        <v>2544</v>
      </c>
      <c r="F312" s="160">
        <v>-30.489515999999998</v>
      </c>
      <c r="G312" s="70">
        <v>151.6422</v>
      </c>
      <c r="H312" s="70">
        <v>0</v>
      </c>
      <c r="I312" s="151">
        <v>42841</v>
      </c>
      <c r="J312" s="149" t="s">
        <v>247</v>
      </c>
      <c r="K312" s="149" t="s">
        <v>219</v>
      </c>
      <c r="L312" s="149" t="s">
        <v>1687</v>
      </c>
      <c r="M312" s="149" t="s">
        <v>2564</v>
      </c>
      <c r="N312" s="149" t="s">
        <v>2565</v>
      </c>
      <c r="O312" s="149" t="s">
        <v>2733</v>
      </c>
      <c r="P312" s="149" t="s">
        <v>2733</v>
      </c>
      <c r="Q312" s="149" t="s">
        <v>2372</v>
      </c>
      <c r="R312" s="149" t="s">
        <v>2713</v>
      </c>
      <c r="S312" s="149">
        <v>7.2499999999999995E-2</v>
      </c>
      <c r="T312" s="149">
        <v>6.7166000000000003E-2</v>
      </c>
      <c r="U312" s="70">
        <f t="shared" si="12"/>
        <v>5.3339999999999915E-3</v>
      </c>
      <c r="V312" s="149">
        <v>2.7513999999999998</v>
      </c>
      <c r="W312" s="149">
        <f>5.9867+5.4839</f>
        <v>11.470600000000001</v>
      </c>
      <c r="X312" s="149">
        <f t="shared" si="13"/>
        <v>31.560208840000001</v>
      </c>
      <c r="Y312" s="149"/>
    </row>
    <row r="313" spans="1:25" ht="16">
      <c r="A313" s="117" t="s">
        <v>3570</v>
      </c>
      <c r="B313" s="150" t="s">
        <v>248</v>
      </c>
      <c r="C313" s="149" t="s">
        <v>1744</v>
      </c>
      <c r="D313" s="149" t="str">
        <f t="shared" si="14"/>
        <v>ARMID</v>
      </c>
      <c r="E313" s="149" t="s">
        <v>2544</v>
      </c>
      <c r="F313" s="160">
        <v>-30.489515999999998</v>
      </c>
      <c r="G313" s="70">
        <v>151.6422</v>
      </c>
      <c r="H313" s="70">
        <v>0</v>
      </c>
      <c r="I313" s="151">
        <v>42841</v>
      </c>
      <c r="J313" s="149" t="s">
        <v>247</v>
      </c>
      <c r="K313" s="149" t="s">
        <v>219</v>
      </c>
      <c r="L313" s="149" t="s">
        <v>1687</v>
      </c>
      <c r="M313" s="149" t="s">
        <v>2564</v>
      </c>
      <c r="N313" s="149" t="s">
        <v>2565</v>
      </c>
      <c r="O313" s="149" t="s">
        <v>2733</v>
      </c>
      <c r="P313" s="149" t="s">
        <v>2733</v>
      </c>
      <c r="Q313" s="149" t="s">
        <v>2372</v>
      </c>
      <c r="R313" s="149" t="s">
        <v>2713</v>
      </c>
      <c r="S313" s="149">
        <v>7.3999999999999996E-2</v>
      </c>
      <c r="T313" s="149">
        <v>6.7166000000000003E-2</v>
      </c>
      <c r="U313" s="70">
        <f t="shared" si="12"/>
        <v>6.8339999999999929E-3</v>
      </c>
      <c r="V313" s="149">
        <v>2.6779999999999999</v>
      </c>
      <c r="W313" s="149">
        <f>6.59+5.324</f>
        <v>11.914</v>
      </c>
      <c r="X313" s="149">
        <f t="shared" si="13"/>
        <v>31.905691999999998</v>
      </c>
      <c r="Y313" s="149"/>
    </row>
    <row r="314" spans="1:25" ht="16">
      <c r="A314" s="117" t="s">
        <v>3570</v>
      </c>
      <c r="B314" s="150" t="s">
        <v>249</v>
      </c>
      <c r="C314" s="149" t="s">
        <v>1744</v>
      </c>
      <c r="D314" s="149" t="str">
        <f t="shared" si="14"/>
        <v>ARMID</v>
      </c>
      <c r="E314" s="149" t="s">
        <v>2544</v>
      </c>
      <c r="F314" s="160">
        <v>-30.489515999999998</v>
      </c>
      <c r="G314" s="70">
        <v>151.6422</v>
      </c>
      <c r="H314" s="70">
        <v>0</v>
      </c>
      <c r="I314" s="151">
        <v>42841</v>
      </c>
      <c r="J314" s="149" t="s">
        <v>247</v>
      </c>
      <c r="K314" s="149" t="s">
        <v>219</v>
      </c>
      <c r="L314" s="149" t="s">
        <v>1687</v>
      </c>
      <c r="M314" s="149" t="s">
        <v>2564</v>
      </c>
      <c r="N314" s="149" t="s">
        <v>2565</v>
      </c>
      <c r="O314" s="149" t="s">
        <v>2733</v>
      </c>
      <c r="P314" s="149" t="s">
        <v>2733</v>
      </c>
      <c r="Q314" s="149" t="s">
        <v>2372</v>
      </c>
      <c r="R314" s="149" t="s">
        <v>2713</v>
      </c>
      <c r="S314" s="149">
        <v>7.2700000000000001E-2</v>
      </c>
      <c r="T314" s="149">
        <v>6.7166000000000003E-2</v>
      </c>
      <c r="U314" s="70">
        <f t="shared" si="12"/>
        <v>5.5339999999999973E-3</v>
      </c>
      <c r="V314" s="149">
        <v>2.7509999999999999</v>
      </c>
      <c r="W314" s="149">
        <f>7.177+4.899</f>
        <v>12.076000000000001</v>
      </c>
      <c r="X314" s="149">
        <f t="shared" si="13"/>
        <v>33.221076000000004</v>
      </c>
      <c r="Y314" s="149"/>
    </row>
    <row r="315" spans="1:25" ht="16">
      <c r="A315" s="117" t="s">
        <v>3570</v>
      </c>
      <c r="B315" s="150" t="s">
        <v>250</v>
      </c>
      <c r="C315" s="149" t="s">
        <v>1744</v>
      </c>
      <c r="D315" s="149" t="str">
        <f t="shared" si="14"/>
        <v>ARMID</v>
      </c>
      <c r="E315" s="149" t="s">
        <v>2544</v>
      </c>
      <c r="F315" s="160">
        <v>-30.489515999999998</v>
      </c>
      <c r="G315" s="70">
        <v>151.6422</v>
      </c>
      <c r="H315" s="70">
        <v>0</v>
      </c>
      <c r="I315" s="151">
        <v>42841</v>
      </c>
      <c r="J315" s="149" t="s">
        <v>247</v>
      </c>
      <c r="K315" s="149" t="s">
        <v>219</v>
      </c>
      <c r="L315" s="149" t="s">
        <v>1687</v>
      </c>
      <c r="M315" s="149" t="s">
        <v>2564</v>
      </c>
      <c r="N315" s="149" t="s">
        <v>2565</v>
      </c>
      <c r="O315" s="149" t="s">
        <v>2733</v>
      </c>
      <c r="P315" s="149" t="s">
        <v>2733</v>
      </c>
      <c r="Q315" s="149" t="s">
        <v>2372</v>
      </c>
      <c r="R315" s="149" t="s">
        <v>2713</v>
      </c>
      <c r="S315" s="149">
        <v>7.2499999999999995E-2</v>
      </c>
      <c r="T315" s="149">
        <v>6.7166000000000003E-2</v>
      </c>
      <c r="U315" s="70">
        <f t="shared" si="12"/>
        <v>5.3339999999999915E-3</v>
      </c>
      <c r="V315" s="149">
        <v>2.4169999999999998</v>
      </c>
      <c r="W315" s="149">
        <f>5.715+4.627</f>
        <v>10.341999999999999</v>
      </c>
      <c r="X315" s="149">
        <f t="shared" si="13"/>
        <v>24.996613999999994</v>
      </c>
      <c r="Y315" s="149"/>
    </row>
    <row r="316" spans="1:25" ht="16">
      <c r="A316" s="117" t="s">
        <v>3570</v>
      </c>
      <c r="B316" s="150" t="s">
        <v>251</v>
      </c>
      <c r="C316" s="149" t="s">
        <v>1744</v>
      </c>
      <c r="D316" s="149" t="str">
        <f t="shared" si="14"/>
        <v>ARMID</v>
      </c>
      <c r="E316" s="149" t="s">
        <v>2544</v>
      </c>
      <c r="F316" s="160">
        <v>-30.489515999999998</v>
      </c>
      <c r="G316" s="70">
        <v>151.6422</v>
      </c>
      <c r="H316" s="70">
        <v>0</v>
      </c>
      <c r="I316" s="151">
        <v>42841</v>
      </c>
      <c r="J316" s="149" t="s">
        <v>247</v>
      </c>
      <c r="K316" s="149" t="s">
        <v>219</v>
      </c>
      <c r="L316" s="149" t="s">
        <v>1687</v>
      </c>
      <c r="M316" s="149" t="s">
        <v>2564</v>
      </c>
      <c r="N316" s="149" t="s">
        <v>2565</v>
      </c>
      <c r="O316" s="149" t="s">
        <v>2733</v>
      </c>
      <c r="P316" s="149" t="s">
        <v>2733</v>
      </c>
      <c r="Q316" s="149" t="s">
        <v>2372</v>
      </c>
      <c r="R316" s="149" t="s">
        <v>2713</v>
      </c>
      <c r="S316" s="149">
        <v>7.3099999999999998E-2</v>
      </c>
      <c r="T316" s="149">
        <v>6.7166000000000003E-2</v>
      </c>
      <c r="U316" s="70">
        <f t="shared" si="12"/>
        <v>5.9339999999999948E-3</v>
      </c>
      <c r="V316" s="149">
        <v>2.6269999999999998</v>
      </c>
      <c r="W316" s="149">
        <f>5.736+6.289</f>
        <v>12.024999999999999</v>
      </c>
      <c r="X316" s="149">
        <f t="shared" si="13"/>
        <v>31.589674999999993</v>
      </c>
      <c r="Y316" s="149"/>
    </row>
    <row r="317" spans="1:25" ht="16">
      <c r="A317" s="117" t="s">
        <v>3570</v>
      </c>
      <c r="B317" s="150" t="s">
        <v>253</v>
      </c>
      <c r="C317" s="149" t="s">
        <v>1744</v>
      </c>
      <c r="D317" s="149" t="str">
        <f t="shared" si="14"/>
        <v>CSIRO</v>
      </c>
      <c r="E317" s="149" t="s">
        <v>2520</v>
      </c>
      <c r="F317" s="149"/>
      <c r="G317" s="149"/>
      <c r="H317" s="70">
        <v>90</v>
      </c>
      <c r="I317" s="151" t="s">
        <v>36</v>
      </c>
      <c r="J317" s="149">
        <v>20826</v>
      </c>
      <c r="K317" s="149" t="s">
        <v>94</v>
      </c>
      <c r="L317" s="149" t="s">
        <v>2566</v>
      </c>
      <c r="M317" s="149" t="s">
        <v>2567</v>
      </c>
      <c r="N317" s="149" t="s">
        <v>2668</v>
      </c>
      <c r="O317" s="149" t="s">
        <v>2105</v>
      </c>
      <c r="P317" s="140" t="s">
        <v>2105</v>
      </c>
      <c r="Q317" s="149" t="s">
        <v>2696</v>
      </c>
      <c r="R317" s="149" t="s">
        <v>2713</v>
      </c>
      <c r="S317" s="149">
        <v>6.88E-2</v>
      </c>
      <c r="T317" s="149">
        <v>6.7166000000000003E-2</v>
      </c>
      <c r="U317" s="70">
        <f t="shared" si="12"/>
        <v>1.6339999999999966E-3</v>
      </c>
      <c r="V317" s="149">
        <v>2.0630000000000002</v>
      </c>
      <c r="W317" s="149">
        <f>5.173+4.425</f>
        <v>9.597999999999999</v>
      </c>
      <c r="X317" s="149">
        <f t="shared" si="13"/>
        <v>19.800674000000001</v>
      </c>
      <c r="Y317" s="149"/>
    </row>
    <row r="318" spans="1:25" ht="16">
      <c r="A318" s="117" t="s">
        <v>3570</v>
      </c>
      <c r="B318" s="150" t="s">
        <v>255</v>
      </c>
      <c r="C318" s="149" t="s">
        <v>1744</v>
      </c>
      <c r="D318" s="149" t="str">
        <f t="shared" si="14"/>
        <v>CSIRO</v>
      </c>
      <c r="E318" s="149" t="s">
        <v>2520</v>
      </c>
      <c r="F318" s="149"/>
      <c r="G318" s="149"/>
      <c r="H318" s="70">
        <v>90</v>
      </c>
      <c r="I318" s="151" t="s">
        <v>36</v>
      </c>
      <c r="J318" s="149">
        <v>20717</v>
      </c>
      <c r="K318" s="149" t="s">
        <v>94</v>
      </c>
      <c r="L318" s="149" t="s">
        <v>2572</v>
      </c>
      <c r="M318" s="149" t="s">
        <v>2573</v>
      </c>
      <c r="N318" s="149" t="s">
        <v>36</v>
      </c>
      <c r="O318" s="149" t="s">
        <v>2606</v>
      </c>
      <c r="P318" s="149" t="s">
        <v>2781</v>
      </c>
      <c r="Q318" s="149" t="s">
        <v>2378</v>
      </c>
      <c r="R318" s="149" t="s">
        <v>2712</v>
      </c>
      <c r="S318" s="149">
        <v>6.8400000000000002E-2</v>
      </c>
      <c r="T318" s="149">
        <v>6.7166000000000003E-2</v>
      </c>
      <c r="U318" s="70">
        <f t="shared" si="12"/>
        <v>1.233999999999999E-3</v>
      </c>
      <c r="V318" s="149">
        <v>2.496</v>
      </c>
      <c r="W318" s="149">
        <f>5.564+5.334</f>
        <v>10.898</v>
      </c>
      <c r="X318" s="149">
        <f t="shared" si="13"/>
        <v>27.201408000000001</v>
      </c>
      <c r="Y318" s="149"/>
    </row>
    <row r="319" spans="1:25" ht="16">
      <c r="A319" s="117" t="s">
        <v>3570</v>
      </c>
      <c r="B319" s="150" t="s">
        <v>256</v>
      </c>
      <c r="C319" s="149" t="s">
        <v>1744</v>
      </c>
      <c r="D319" s="149" t="str">
        <f t="shared" si="14"/>
        <v>CSIRO</v>
      </c>
      <c r="E319" s="149" t="s">
        <v>2520</v>
      </c>
      <c r="F319" s="149"/>
      <c r="G319" s="149"/>
      <c r="H319" s="70">
        <v>90</v>
      </c>
      <c r="I319" s="151" t="s">
        <v>36</v>
      </c>
      <c r="J319" s="149">
        <v>20675</v>
      </c>
      <c r="K319" s="149" t="s">
        <v>94</v>
      </c>
      <c r="L319" s="149" t="s">
        <v>2566</v>
      </c>
      <c r="M319" s="149" t="s">
        <v>2567</v>
      </c>
      <c r="N319" s="149" t="s">
        <v>2668</v>
      </c>
      <c r="O319" s="149" t="s">
        <v>2105</v>
      </c>
      <c r="P319" s="140" t="s">
        <v>2105</v>
      </c>
      <c r="Q319" s="149" t="s">
        <v>2696</v>
      </c>
      <c r="R319" s="149" t="s">
        <v>2713</v>
      </c>
      <c r="S319" s="149">
        <v>6.83E-2</v>
      </c>
      <c r="T319" s="149">
        <v>6.7166000000000003E-2</v>
      </c>
      <c r="U319" s="70">
        <f t="shared" si="12"/>
        <v>1.1339999999999961E-3</v>
      </c>
      <c r="V319" s="149">
        <v>2.2109999999999999</v>
      </c>
      <c r="W319" s="149">
        <f>6.131+4.679</f>
        <v>10.81</v>
      </c>
      <c r="X319" s="149">
        <f t="shared" si="13"/>
        <v>23.90091</v>
      </c>
      <c r="Y319" s="149"/>
    </row>
    <row r="320" spans="1:25" ht="16">
      <c r="A320" s="117" t="s">
        <v>3570</v>
      </c>
      <c r="B320" s="150" t="s">
        <v>257</v>
      </c>
      <c r="C320" s="149" t="s">
        <v>1744</v>
      </c>
      <c r="D320" s="149" t="str">
        <f t="shared" si="14"/>
        <v>CSIRO</v>
      </c>
      <c r="E320" s="149" t="s">
        <v>2520</v>
      </c>
      <c r="F320" s="149"/>
      <c r="G320" s="149"/>
      <c r="H320" s="70">
        <v>90</v>
      </c>
      <c r="I320" s="151" t="s">
        <v>36</v>
      </c>
      <c r="J320" s="149">
        <v>20703</v>
      </c>
      <c r="K320" s="149" t="s">
        <v>94</v>
      </c>
      <c r="L320" s="149" t="s">
        <v>2566</v>
      </c>
      <c r="M320" s="149" t="s">
        <v>2574</v>
      </c>
      <c r="N320" s="140" t="s">
        <v>3191</v>
      </c>
      <c r="O320" s="149" t="s">
        <v>2111</v>
      </c>
      <c r="P320" s="149" t="s">
        <v>2739</v>
      </c>
      <c r="Q320" s="149" t="s">
        <v>2690</v>
      </c>
      <c r="R320" s="149" t="s">
        <v>2713</v>
      </c>
      <c r="S320" s="149">
        <v>7.1300000000000002E-2</v>
      </c>
      <c r="T320" s="149">
        <v>6.7166000000000003E-2</v>
      </c>
      <c r="U320" s="70">
        <f t="shared" si="12"/>
        <v>4.1339999999999988E-3</v>
      </c>
      <c r="V320" s="149">
        <v>3.0470000000000002</v>
      </c>
      <c r="W320" s="149">
        <f>5.672+6.905</f>
        <v>12.577</v>
      </c>
      <c r="X320" s="149">
        <f t="shared" si="13"/>
        <v>38.322119000000001</v>
      </c>
      <c r="Y320" s="149"/>
    </row>
    <row r="321" spans="1:25" ht="16">
      <c r="A321" s="117" t="s">
        <v>3570</v>
      </c>
      <c r="B321" s="150" t="s">
        <v>265</v>
      </c>
      <c r="C321" s="149" t="s">
        <v>1744</v>
      </c>
      <c r="D321" s="163" t="s">
        <v>3562</v>
      </c>
      <c r="E321" s="149" t="s">
        <v>263</v>
      </c>
      <c r="F321" s="70">
        <v>-30.107710000000001</v>
      </c>
      <c r="G321" s="70">
        <v>153.199806</v>
      </c>
      <c r="H321" s="70">
        <v>0</v>
      </c>
      <c r="I321" s="151">
        <v>42797</v>
      </c>
      <c r="J321" s="149" t="s">
        <v>36</v>
      </c>
      <c r="K321" s="149" t="s">
        <v>219</v>
      </c>
      <c r="L321" s="149" t="s">
        <v>2569</v>
      </c>
      <c r="M321" s="149" t="s">
        <v>2570</v>
      </c>
      <c r="N321" s="149" t="s">
        <v>2571</v>
      </c>
      <c r="O321" s="149" t="s">
        <v>2369</v>
      </c>
      <c r="P321" s="149" t="s">
        <v>2737</v>
      </c>
      <c r="Q321" s="149" t="s">
        <v>2396</v>
      </c>
      <c r="R321" s="149" t="s">
        <v>2713</v>
      </c>
      <c r="S321" s="149">
        <v>5.6099999999999997E-2</v>
      </c>
      <c r="T321" s="149">
        <v>3.8671999999999984E-2</v>
      </c>
      <c r="U321" s="70">
        <f t="shared" si="12"/>
        <v>1.7428000000000013E-2</v>
      </c>
      <c r="V321" s="149">
        <v>4.6150000000000002</v>
      </c>
      <c r="W321" s="149">
        <v>14.103999999999999</v>
      </c>
      <c r="X321" s="149">
        <f t="shared" si="13"/>
        <v>65.089960000000005</v>
      </c>
      <c r="Y321" s="149"/>
    </row>
    <row r="322" spans="1:25" ht="16">
      <c r="A322" s="117" t="s">
        <v>3570</v>
      </c>
      <c r="B322" s="150" t="s">
        <v>266</v>
      </c>
      <c r="C322" s="149" t="s">
        <v>1744</v>
      </c>
      <c r="D322" s="163" t="s">
        <v>3562</v>
      </c>
      <c r="E322" s="149" t="s">
        <v>263</v>
      </c>
      <c r="F322" s="70">
        <v>-30.107710000000001</v>
      </c>
      <c r="G322" s="70">
        <v>153.199806</v>
      </c>
      <c r="H322" s="70">
        <v>0</v>
      </c>
      <c r="I322" s="151">
        <v>42797</v>
      </c>
      <c r="J322" s="149" t="s">
        <v>36</v>
      </c>
      <c r="K322" s="149" t="s">
        <v>219</v>
      </c>
      <c r="L322" s="149" t="s">
        <v>2566</v>
      </c>
      <c r="M322" s="149" t="s">
        <v>2567</v>
      </c>
      <c r="N322" s="149" t="s">
        <v>2668</v>
      </c>
      <c r="O322" s="149" t="s">
        <v>2105</v>
      </c>
      <c r="P322" s="140" t="s">
        <v>2105</v>
      </c>
      <c r="Q322" s="149" t="s">
        <v>2387</v>
      </c>
      <c r="R322" s="149" t="s">
        <v>2713</v>
      </c>
      <c r="S322" s="149">
        <v>4.0599999999999997E-2</v>
      </c>
      <c r="T322" s="149">
        <v>3.8671999999999984E-2</v>
      </c>
      <c r="U322" s="70">
        <f t="shared" si="12"/>
        <v>1.928000000000013E-3</v>
      </c>
      <c r="V322" s="149">
        <v>1.8280000000000001</v>
      </c>
      <c r="W322" s="149">
        <f>3.111+3.458</f>
        <v>6.5690000000000008</v>
      </c>
      <c r="X322" s="149">
        <f t="shared" si="13"/>
        <v>12.008132000000002</v>
      </c>
      <c r="Y322" s="149"/>
    </row>
    <row r="323" spans="1:25" ht="16">
      <c r="A323" s="117" t="s">
        <v>3570</v>
      </c>
      <c r="B323" s="150" t="s">
        <v>267</v>
      </c>
      <c r="C323" s="149" t="s">
        <v>1744</v>
      </c>
      <c r="D323" s="163" t="s">
        <v>3562</v>
      </c>
      <c r="E323" s="149" t="s">
        <v>263</v>
      </c>
      <c r="F323" s="70">
        <v>-30.107710000000001</v>
      </c>
      <c r="G323" s="70">
        <v>153.199806</v>
      </c>
      <c r="H323" s="70">
        <v>0</v>
      </c>
      <c r="I323" s="151">
        <v>42797</v>
      </c>
      <c r="J323" s="149" t="s">
        <v>36</v>
      </c>
      <c r="K323" s="149" t="s">
        <v>219</v>
      </c>
      <c r="L323" s="149" t="s">
        <v>1687</v>
      </c>
      <c r="M323" s="149" t="s">
        <v>2563</v>
      </c>
      <c r="N323" s="149" t="s">
        <v>2562</v>
      </c>
      <c r="O323" s="149" t="s">
        <v>2103</v>
      </c>
      <c r="P323" s="149" t="s">
        <v>2103</v>
      </c>
      <c r="Q323" s="149" t="s">
        <v>2104</v>
      </c>
      <c r="R323" s="149" t="s">
        <v>2713</v>
      </c>
      <c r="S323" s="149">
        <v>4.1099999999999998E-2</v>
      </c>
      <c r="T323" s="149">
        <v>3.8671999999999984E-2</v>
      </c>
      <c r="U323" s="70">
        <f t="shared" si="12"/>
        <v>2.4280000000000135E-3</v>
      </c>
      <c r="V323" s="149">
        <v>1.948</v>
      </c>
      <c r="W323" s="149">
        <v>6.2149999999999999</v>
      </c>
      <c r="X323" s="149">
        <f t="shared" si="13"/>
        <v>12.106819999999999</v>
      </c>
      <c r="Y323" s="149"/>
    </row>
    <row r="324" spans="1:25" ht="16">
      <c r="A324" s="117" t="s">
        <v>3570</v>
      </c>
      <c r="B324" s="150" t="s">
        <v>269</v>
      </c>
      <c r="C324" s="149" t="s">
        <v>1744</v>
      </c>
      <c r="D324" s="163" t="s">
        <v>3562</v>
      </c>
      <c r="E324" s="149" t="s">
        <v>263</v>
      </c>
      <c r="F324" s="70">
        <v>-30.107710000000001</v>
      </c>
      <c r="G324" s="70">
        <v>153.199806</v>
      </c>
      <c r="H324" s="70">
        <v>0</v>
      </c>
      <c r="I324" s="151">
        <v>42797</v>
      </c>
      <c r="J324" s="149" t="s">
        <v>36</v>
      </c>
      <c r="K324" s="149" t="s">
        <v>219</v>
      </c>
      <c r="L324" s="149" t="s">
        <v>1687</v>
      </c>
      <c r="M324" s="149" t="s">
        <v>2563</v>
      </c>
      <c r="N324" s="149" t="s">
        <v>2562</v>
      </c>
      <c r="O324" s="149" t="s">
        <v>2103</v>
      </c>
      <c r="P324" s="149" t="s">
        <v>2103</v>
      </c>
      <c r="Q324" s="149" t="s">
        <v>2104</v>
      </c>
      <c r="R324" s="149" t="s">
        <v>2713</v>
      </c>
      <c r="S324" s="149">
        <v>4.1099999999999998E-2</v>
      </c>
      <c r="T324" s="149">
        <v>3.8671999999999984E-2</v>
      </c>
      <c r="U324" s="70">
        <f t="shared" si="12"/>
        <v>2.4280000000000135E-3</v>
      </c>
      <c r="V324" s="149">
        <v>2.0009999999999999</v>
      </c>
      <c r="W324" s="149">
        <f>3.322+2.744</f>
        <v>6.0660000000000007</v>
      </c>
      <c r="X324" s="149">
        <f t="shared" si="13"/>
        <v>12.138066</v>
      </c>
      <c r="Y324" s="149"/>
    </row>
    <row r="325" spans="1:25" ht="16">
      <c r="A325" s="117" t="s">
        <v>3570</v>
      </c>
      <c r="B325" s="150" t="s">
        <v>270</v>
      </c>
      <c r="C325" s="149" t="s">
        <v>1744</v>
      </c>
      <c r="D325" s="163" t="s">
        <v>3562</v>
      </c>
      <c r="E325" s="149" t="s">
        <v>263</v>
      </c>
      <c r="F325" s="70">
        <v>-30.107710000000001</v>
      </c>
      <c r="G325" s="70">
        <v>153.199806</v>
      </c>
      <c r="H325" s="70">
        <v>0</v>
      </c>
      <c r="I325" s="151">
        <v>42797</v>
      </c>
      <c r="J325" s="149" t="s">
        <v>36</v>
      </c>
      <c r="K325" s="149" t="s">
        <v>219</v>
      </c>
      <c r="L325" s="149" t="s">
        <v>2569</v>
      </c>
      <c r="M325" s="149" t="s">
        <v>2570</v>
      </c>
      <c r="N325" s="149" t="s">
        <v>2571</v>
      </c>
      <c r="O325" s="149" t="s">
        <v>2369</v>
      </c>
      <c r="P325" s="149" t="s">
        <v>2737</v>
      </c>
      <c r="Q325" s="149" t="s">
        <v>2395</v>
      </c>
      <c r="R325" s="149" t="s">
        <v>2713</v>
      </c>
      <c r="S325" s="149">
        <v>0.11940000000000001</v>
      </c>
      <c r="T325" s="149">
        <v>9.6175999999999984E-2</v>
      </c>
      <c r="U325" s="70">
        <f t="shared" si="12"/>
        <v>2.3224000000000022E-2</v>
      </c>
      <c r="V325" s="149">
        <v>5.0679999999999996</v>
      </c>
      <c r="W325" s="149">
        <v>17.001000000000001</v>
      </c>
      <c r="X325" s="149">
        <f t="shared" si="13"/>
        <v>86.161068</v>
      </c>
      <c r="Y325" s="149"/>
    </row>
    <row r="326" spans="1:25" ht="16">
      <c r="A326" s="117" t="s">
        <v>3570</v>
      </c>
      <c r="B326" s="150" t="s">
        <v>271</v>
      </c>
      <c r="C326" s="149" t="s">
        <v>1744</v>
      </c>
      <c r="D326" s="163" t="s">
        <v>3562</v>
      </c>
      <c r="E326" s="149" t="s">
        <v>263</v>
      </c>
      <c r="F326" s="70">
        <v>-30.107710000000001</v>
      </c>
      <c r="G326" s="70">
        <v>153.199806</v>
      </c>
      <c r="H326" s="70">
        <v>0</v>
      </c>
      <c r="I326" s="151">
        <v>42797</v>
      </c>
      <c r="J326" s="149" t="s">
        <v>36</v>
      </c>
      <c r="K326" s="149" t="s">
        <v>219</v>
      </c>
      <c r="L326" s="149" t="s">
        <v>2566</v>
      </c>
      <c r="M326" s="149" t="s">
        <v>2567</v>
      </c>
      <c r="N326" s="149" t="s">
        <v>2668</v>
      </c>
      <c r="O326" s="149" t="s">
        <v>2105</v>
      </c>
      <c r="P326" s="149" t="s">
        <v>2105</v>
      </c>
      <c r="Q326" s="149" t="s">
        <v>2386</v>
      </c>
      <c r="R326" s="149" t="s">
        <v>2713</v>
      </c>
      <c r="S326" s="149">
        <v>4.24E-2</v>
      </c>
      <c r="T326" s="149">
        <v>3.8671999999999984E-2</v>
      </c>
      <c r="U326" s="70">
        <f t="shared" si="12"/>
        <v>3.728000000000016E-3</v>
      </c>
      <c r="V326" s="149">
        <v>2.6949999999999998</v>
      </c>
      <c r="W326" s="149">
        <v>9.7270000000000003</v>
      </c>
      <c r="X326" s="149">
        <f t="shared" si="13"/>
        <v>26.214265000000001</v>
      </c>
      <c r="Y326" s="149"/>
    </row>
    <row r="327" spans="1:25" ht="16">
      <c r="A327" s="117" t="s">
        <v>3570</v>
      </c>
      <c r="B327" s="150" t="s">
        <v>272</v>
      </c>
      <c r="C327" s="149" t="s">
        <v>1744</v>
      </c>
      <c r="D327" s="163" t="s">
        <v>3562</v>
      </c>
      <c r="E327" s="149" t="s">
        <v>263</v>
      </c>
      <c r="F327" s="70">
        <v>-30.107710000000001</v>
      </c>
      <c r="G327" s="70">
        <v>153.199806</v>
      </c>
      <c r="H327" s="70">
        <v>0</v>
      </c>
      <c r="I327" s="151">
        <v>42797</v>
      </c>
      <c r="J327" s="149" t="s">
        <v>36</v>
      </c>
      <c r="K327" s="149" t="s">
        <v>219</v>
      </c>
      <c r="L327" s="149" t="s">
        <v>2566</v>
      </c>
      <c r="M327" s="149" t="s">
        <v>2567</v>
      </c>
      <c r="N327" s="149" t="s">
        <v>2668</v>
      </c>
      <c r="O327" s="149" t="s">
        <v>2105</v>
      </c>
      <c r="P327" s="149" t="s">
        <v>2105</v>
      </c>
      <c r="Q327" s="149" t="s">
        <v>2386</v>
      </c>
      <c r="R327" s="149" t="s">
        <v>2713</v>
      </c>
      <c r="S327" s="149">
        <v>4.1099999999999998E-2</v>
      </c>
      <c r="T327" s="149">
        <v>3.8671999999999984E-2</v>
      </c>
      <c r="U327" s="70">
        <f t="shared" si="12"/>
        <v>2.4280000000000135E-3</v>
      </c>
      <c r="V327" s="149">
        <v>1.996</v>
      </c>
      <c r="W327" s="149">
        <f>8.0548</f>
        <v>8.0548000000000002</v>
      </c>
      <c r="X327" s="149">
        <f t="shared" si="13"/>
        <v>16.0773808</v>
      </c>
      <c r="Y327" s="149"/>
    </row>
    <row r="328" spans="1:25" ht="16">
      <c r="A328" s="117" t="s">
        <v>3570</v>
      </c>
      <c r="B328" s="150" t="s">
        <v>273</v>
      </c>
      <c r="C328" s="149" t="s">
        <v>1744</v>
      </c>
      <c r="D328" s="163" t="s">
        <v>3562</v>
      </c>
      <c r="E328" s="149" t="s">
        <v>263</v>
      </c>
      <c r="F328" s="70">
        <v>-30.107710000000001</v>
      </c>
      <c r="G328" s="70">
        <v>153.199806</v>
      </c>
      <c r="H328" s="70">
        <v>0</v>
      </c>
      <c r="I328" s="151">
        <v>42797</v>
      </c>
      <c r="J328" s="149" t="s">
        <v>36</v>
      </c>
      <c r="K328" s="149" t="s">
        <v>219</v>
      </c>
      <c r="L328" s="149" t="s">
        <v>2566</v>
      </c>
      <c r="M328" s="149" t="s">
        <v>2567</v>
      </c>
      <c r="N328" s="149" t="s">
        <v>2668</v>
      </c>
      <c r="O328" s="140" t="s">
        <v>2600</v>
      </c>
      <c r="P328" s="149" t="s">
        <v>2735</v>
      </c>
      <c r="Q328" s="149" t="s">
        <v>2400</v>
      </c>
      <c r="R328" s="149" t="s">
        <v>2713</v>
      </c>
      <c r="S328" s="149">
        <v>7.8700000000000006E-2</v>
      </c>
      <c r="T328" s="149">
        <v>6.7166000000000003E-2</v>
      </c>
      <c r="U328" s="70">
        <f t="shared" si="12"/>
        <v>1.1534000000000003E-2</v>
      </c>
      <c r="V328" s="149">
        <v>3.177</v>
      </c>
      <c r="W328" s="149">
        <v>12.593</v>
      </c>
      <c r="X328" s="149">
        <f t="shared" si="13"/>
        <v>40.007961000000002</v>
      </c>
      <c r="Y328" s="149"/>
    </row>
    <row r="329" spans="1:25" ht="16">
      <c r="A329" s="117" t="s">
        <v>3570</v>
      </c>
      <c r="B329" s="150" t="s">
        <v>274</v>
      </c>
      <c r="C329" s="149" t="s">
        <v>1744</v>
      </c>
      <c r="D329" s="163" t="s">
        <v>3568</v>
      </c>
      <c r="E329" s="149" t="s">
        <v>261</v>
      </c>
      <c r="F329" s="70">
        <v>-24.836607000000001</v>
      </c>
      <c r="G329" s="70">
        <v>152.45960199999999</v>
      </c>
      <c r="H329" s="70">
        <v>0</v>
      </c>
      <c r="I329" s="151">
        <v>42785</v>
      </c>
      <c r="J329" s="149" t="s">
        <v>36</v>
      </c>
      <c r="K329" s="149" t="s">
        <v>219</v>
      </c>
      <c r="L329" s="149" t="s">
        <v>2566</v>
      </c>
      <c r="M329" s="149" t="s">
        <v>2567</v>
      </c>
      <c r="N329" s="149" t="s">
        <v>2668</v>
      </c>
      <c r="O329" s="140" t="s">
        <v>2600</v>
      </c>
      <c r="P329" s="149" t="s">
        <v>2735</v>
      </c>
      <c r="Q329" s="149" t="s">
        <v>2698</v>
      </c>
      <c r="R329" s="149" t="s">
        <v>2712</v>
      </c>
      <c r="S329" s="149">
        <v>6.8900000000000003E-2</v>
      </c>
      <c r="T329" s="149">
        <v>6.7166000000000003E-2</v>
      </c>
      <c r="U329" s="70">
        <f t="shared" si="12"/>
        <v>1.7339999999999994E-3</v>
      </c>
      <c r="V329" s="149">
        <v>2.0049999999999999</v>
      </c>
      <c r="W329" s="149">
        <v>8.4618000000000002</v>
      </c>
      <c r="X329" s="149">
        <f t="shared" si="13"/>
        <v>16.965909</v>
      </c>
      <c r="Y329" s="149"/>
    </row>
    <row r="330" spans="1:25" ht="16">
      <c r="A330" s="117" t="s">
        <v>3570</v>
      </c>
      <c r="B330" s="150" t="s">
        <v>275</v>
      </c>
      <c r="C330" s="149" t="s">
        <v>1744</v>
      </c>
      <c r="D330" s="163" t="s">
        <v>3562</v>
      </c>
      <c r="E330" s="149" t="s">
        <v>263</v>
      </c>
      <c r="F330" s="70">
        <v>-30.107710000000001</v>
      </c>
      <c r="G330" s="70">
        <v>153.199806</v>
      </c>
      <c r="H330" s="70">
        <v>0</v>
      </c>
      <c r="I330" s="151">
        <v>42797</v>
      </c>
      <c r="J330" s="149" t="s">
        <v>36</v>
      </c>
      <c r="K330" s="149" t="s">
        <v>219</v>
      </c>
      <c r="L330" s="149" t="s">
        <v>2569</v>
      </c>
      <c r="M330" s="149" t="s">
        <v>2570</v>
      </c>
      <c r="N330" s="149" t="s">
        <v>2571</v>
      </c>
      <c r="O330" s="149" t="s">
        <v>2369</v>
      </c>
      <c r="P330" s="149" t="s">
        <v>3556</v>
      </c>
      <c r="Q330" s="149" t="s">
        <v>2677</v>
      </c>
      <c r="R330" s="149" t="s">
        <v>2712</v>
      </c>
      <c r="S330" s="149">
        <v>0.11990000000000001</v>
      </c>
      <c r="T330" s="149">
        <v>9.6175999999999984E-2</v>
      </c>
      <c r="U330" s="70">
        <f t="shared" si="12"/>
        <v>2.3724000000000023E-2</v>
      </c>
      <c r="V330" s="149">
        <v>4.968</v>
      </c>
      <c r="W330" s="149">
        <f>8.80166+8.5792</f>
        <v>17.380859999999998</v>
      </c>
      <c r="X330" s="149">
        <f t="shared" si="13"/>
        <v>86.348112479999998</v>
      </c>
      <c r="Y330" s="149"/>
    </row>
    <row r="331" spans="1:25" ht="16">
      <c r="A331" s="117" t="s">
        <v>3570</v>
      </c>
      <c r="B331" s="150" t="s">
        <v>276</v>
      </c>
      <c r="C331" s="149" t="s">
        <v>1744</v>
      </c>
      <c r="D331" s="163" t="s">
        <v>3568</v>
      </c>
      <c r="E331" s="149" t="s">
        <v>261</v>
      </c>
      <c r="F331" s="70">
        <v>-24.836607000000001</v>
      </c>
      <c r="G331" s="70">
        <v>152.45960199999999</v>
      </c>
      <c r="H331" s="70">
        <v>0</v>
      </c>
      <c r="I331" s="151">
        <v>42785</v>
      </c>
      <c r="J331" s="149" t="s">
        <v>36</v>
      </c>
      <c r="K331" s="149" t="s">
        <v>219</v>
      </c>
      <c r="L331" s="149" t="s">
        <v>1687</v>
      </c>
      <c r="M331" s="149" t="s">
        <v>2563</v>
      </c>
      <c r="N331" s="149" t="s">
        <v>2568</v>
      </c>
      <c r="O331" s="149" t="s">
        <v>2734</v>
      </c>
      <c r="P331" s="149" t="s">
        <v>2736</v>
      </c>
      <c r="Q331" s="149" t="s">
        <v>2391</v>
      </c>
      <c r="R331" s="149" t="s">
        <v>2713</v>
      </c>
      <c r="S331" s="149">
        <v>6.8500000000000005E-2</v>
      </c>
      <c r="T331" s="149">
        <v>3.8671999999999984E-2</v>
      </c>
      <c r="U331" s="70">
        <f t="shared" si="12"/>
        <v>2.9828000000000021E-2</v>
      </c>
      <c r="V331" s="149">
        <v>5.4618000000000002</v>
      </c>
      <c r="W331" s="149">
        <v>18.286999999999999</v>
      </c>
      <c r="X331" s="149">
        <f t="shared" si="13"/>
        <v>99.879936599999994</v>
      </c>
      <c r="Y331" s="149"/>
    </row>
    <row r="332" spans="1:25" ht="16">
      <c r="A332" s="117" t="s">
        <v>3570</v>
      </c>
      <c r="B332" s="150" t="s">
        <v>277</v>
      </c>
      <c r="C332" s="149" t="s">
        <v>1744</v>
      </c>
      <c r="D332" s="163" t="s">
        <v>3568</v>
      </c>
      <c r="E332" s="149" t="s">
        <v>261</v>
      </c>
      <c r="F332" s="70">
        <v>-24.836607000000001</v>
      </c>
      <c r="G332" s="70">
        <v>152.45960199999999</v>
      </c>
      <c r="H332" s="70">
        <v>0</v>
      </c>
      <c r="I332" s="151">
        <v>42785</v>
      </c>
      <c r="J332" s="149" t="s">
        <v>36</v>
      </c>
      <c r="K332" s="149" t="s">
        <v>219</v>
      </c>
      <c r="L332" s="149" t="s">
        <v>1687</v>
      </c>
      <c r="M332" s="149" t="s">
        <v>2563</v>
      </c>
      <c r="N332" s="149" t="s">
        <v>2568</v>
      </c>
      <c r="O332" s="149" t="s">
        <v>2734</v>
      </c>
      <c r="P332" s="149" t="s">
        <v>2736</v>
      </c>
      <c r="Q332" s="149" t="s">
        <v>2391</v>
      </c>
      <c r="R332" s="149" t="s">
        <v>2712</v>
      </c>
      <c r="S332" s="149">
        <v>6.3799999999999996E-2</v>
      </c>
      <c r="T332" s="149">
        <v>3.8671999999999984E-2</v>
      </c>
      <c r="U332" s="70">
        <f t="shared" si="12"/>
        <v>2.5128000000000011E-2</v>
      </c>
      <c r="V332" s="149">
        <v>5.452</v>
      </c>
      <c r="W332" s="149">
        <f>8.714+7.848</f>
        <v>16.562000000000001</v>
      </c>
      <c r="X332" s="149">
        <f t="shared" si="13"/>
        <v>90.296024000000003</v>
      </c>
      <c r="Y332" s="149"/>
    </row>
    <row r="333" spans="1:25" ht="16">
      <c r="A333" s="117" t="s">
        <v>3570</v>
      </c>
      <c r="B333" s="150" t="s">
        <v>278</v>
      </c>
      <c r="C333" s="149" t="s">
        <v>1744</v>
      </c>
      <c r="D333" s="163" t="s">
        <v>3568</v>
      </c>
      <c r="E333" s="149" t="s">
        <v>261</v>
      </c>
      <c r="F333" s="70">
        <v>-24.836607000000001</v>
      </c>
      <c r="G333" s="70">
        <v>152.45960199999999</v>
      </c>
      <c r="H333" s="70">
        <v>0</v>
      </c>
      <c r="I333" s="151">
        <v>42785</v>
      </c>
      <c r="J333" s="149" t="s">
        <v>36</v>
      </c>
      <c r="K333" s="149" t="s">
        <v>219</v>
      </c>
      <c r="L333" s="149" t="s">
        <v>2572</v>
      </c>
      <c r="M333" s="149" t="s">
        <v>2407</v>
      </c>
      <c r="N333" s="149" t="s">
        <v>36</v>
      </c>
      <c r="O333" s="149" t="s">
        <v>2377</v>
      </c>
      <c r="P333" s="149" t="s">
        <v>2377</v>
      </c>
      <c r="Q333" s="149" t="s">
        <v>2699</v>
      </c>
      <c r="R333" s="149" t="s">
        <v>2712</v>
      </c>
      <c r="S333" s="149">
        <v>4.3499999999999997E-2</v>
      </c>
      <c r="T333" s="149">
        <v>3.8671999999999984E-2</v>
      </c>
      <c r="U333" s="70">
        <f t="shared" si="12"/>
        <v>4.8280000000000128E-3</v>
      </c>
      <c r="V333" s="149">
        <v>2.5819999999999999</v>
      </c>
      <c r="W333" s="149">
        <v>10.061999999999999</v>
      </c>
      <c r="X333" s="149">
        <f t="shared" si="13"/>
        <v>25.980083999999998</v>
      </c>
      <c r="Y333" s="149"/>
    </row>
    <row r="334" spans="1:25" ht="16">
      <c r="A334" s="117" t="s">
        <v>3570</v>
      </c>
      <c r="B334" s="150" t="s">
        <v>279</v>
      </c>
      <c r="C334" s="149" t="s">
        <v>1744</v>
      </c>
      <c r="D334" s="163" t="s">
        <v>3568</v>
      </c>
      <c r="E334" s="149" t="s">
        <v>261</v>
      </c>
      <c r="F334" s="70">
        <v>-24.836607000000001</v>
      </c>
      <c r="G334" s="70">
        <v>152.45960199999999</v>
      </c>
      <c r="H334" s="70">
        <v>0</v>
      </c>
      <c r="I334" s="151">
        <v>42785</v>
      </c>
      <c r="J334" s="149" t="s">
        <v>36</v>
      </c>
      <c r="K334" s="149" t="s">
        <v>219</v>
      </c>
      <c r="L334" s="149" t="s">
        <v>1687</v>
      </c>
      <c r="M334" s="149" t="s">
        <v>2563</v>
      </c>
      <c r="N334" s="149" t="s">
        <v>2575</v>
      </c>
      <c r="O334" s="149" t="s">
        <v>2379</v>
      </c>
      <c r="P334" s="149" t="s">
        <v>2379</v>
      </c>
      <c r="Q334" s="149" t="s">
        <v>2380</v>
      </c>
      <c r="R334" s="149" t="s">
        <v>2713</v>
      </c>
      <c r="S334" s="149">
        <v>6.5600000000000006E-2</v>
      </c>
      <c r="T334" s="149">
        <v>3.8671999999999984E-2</v>
      </c>
      <c r="U334" s="70">
        <f t="shared" si="12"/>
        <v>2.6928000000000021E-2</v>
      </c>
      <c r="V334" s="149">
        <v>4.5960000000000001</v>
      </c>
      <c r="W334" s="149">
        <f>7.114+6.792</f>
        <v>13.905999999999999</v>
      </c>
      <c r="X334" s="149">
        <f t="shared" si="13"/>
        <v>63.911975999999996</v>
      </c>
      <c r="Y334" s="149"/>
    </row>
    <row r="335" spans="1:25" ht="16">
      <c r="A335" s="117" t="s">
        <v>3570</v>
      </c>
      <c r="B335" s="150" t="s">
        <v>280</v>
      </c>
      <c r="C335" s="149" t="s">
        <v>1744</v>
      </c>
      <c r="D335" s="163" t="s">
        <v>3562</v>
      </c>
      <c r="E335" s="149" t="s">
        <v>263</v>
      </c>
      <c r="F335" s="70">
        <v>-30.107710000000001</v>
      </c>
      <c r="G335" s="70">
        <v>153.199806</v>
      </c>
      <c r="H335" s="70">
        <v>0</v>
      </c>
      <c r="I335" s="151">
        <v>42797</v>
      </c>
      <c r="J335" s="149" t="s">
        <v>36</v>
      </c>
      <c r="K335" s="149" t="s">
        <v>219</v>
      </c>
      <c r="L335" s="149" t="s">
        <v>1687</v>
      </c>
      <c r="M335" s="149" t="s">
        <v>2563</v>
      </c>
      <c r="N335" s="149" t="s">
        <v>2568</v>
      </c>
      <c r="O335" s="149" t="s">
        <v>2734</v>
      </c>
      <c r="P335" s="149" t="s">
        <v>2736</v>
      </c>
      <c r="Q335" s="149" t="s">
        <v>2390</v>
      </c>
      <c r="R335" s="149" t="s">
        <v>2712</v>
      </c>
      <c r="S335" s="149">
        <v>0.12640000000000001</v>
      </c>
      <c r="T335" s="149">
        <v>9.6175999999999984E-2</v>
      </c>
      <c r="U335" s="70">
        <f t="shared" si="12"/>
        <v>3.0224000000000029E-2</v>
      </c>
      <c r="V335" s="149">
        <v>6.5449999999999999</v>
      </c>
      <c r="W335" s="149">
        <f>8.027+9.441</f>
        <v>17.468</v>
      </c>
      <c r="X335" s="149">
        <f t="shared" si="13"/>
        <v>114.32805999999999</v>
      </c>
      <c r="Y335" s="149"/>
    </row>
    <row r="336" spans="1:25" ht="16">
      <c r="A336" s="117" t="s">
        <v>3570</v>
      </c>
      <c r="B336" s="150" t="s">
        <v>281</v>
      </c>
      <c r="C336" s="149" t="s">
        <v>1744</v>
      </c>
      <c r="D336" s="163" t="s">
        <v>3562</v>
      </c>
      <c r="E336" s="149" t="s">
        <v>263</v>
      </c>
      <c r="F336" s="70">
        <v>-30.107710000000001</v>
      </c>
      <c r="G336" s="70">
        <v>153.199806</v>
      </c>
      <c r="H336" s="70">
        <v>0</v>
      </c>
      <c r="I336" s="151">
        <v>42797</v>
      </c>
      <c r="J336" s="149" t="s">
        <v>36</v>
      </c>
      <c r="K336" s="149" t="s">
        <v>219</v>
      </c>
      <c r="L336" s="149" t="s">
        <v>2569</v>
      </c>
      <c r="M336" s="149" t="s">
        <v>2570</v>
      </c>
      <c r="N336" s="149" t="s">
        <v>2571</v>
      </c>
      <c r="O336" s="149" t="s">
        <v>2369</v>
      </c>
      <c r="P336" s="149" t="s">
        <v>3556</v>
      </c>
      <c r="Q336" s="149" t="s">
        <v>2677</v>
      </c>
      <c r="R336" s="149" t="s">
        <v>2713</v>
      </c>
      <c r="S336" s="149">
        <v>7.1499999999999994E-2</v>
      </c>
      <c r="T336" s="149">
        <v>3.8671999999999984E-2</v>
      </c>
      <c r="U336" s="70">
        <f t="shared" si="12"/>
        <v>3.282800000000001E-2</v>
      </c>
      <c r="V336" s="149">
        <v>5.3419999999999996</v>
      </c>
      <c r="W336" s="149">
        <f>8.95+9.7135</f>
        <v>18.663499999999999</v>
      </c>
      <c r="X336" s="149">
        <f t="shared" si="13"/>
        <v>99.700416999999987</v>
      </c>
      <c r="Y336" s="149"/>
    </row>
    <row r="337" spans="1:25" ht="16">
      <c r="A337" s="117" t="s">
        <v>3570</v>
      </c>
      <c r="B337" s="150" t="s">
        <v>282</v>
      </c>
      <c r="C337" s="149" t="s">
        <v>1744</v>
      </c>
      <c r="D337" s="163" t="s">
        <v>3568</v>
      </c>
      <c r="E337" s="149" t="s">
        <v>261</v>
      </c>
      <c r="F337" s="70">
        <v>-24.836607000000001</v>
      </c>
      <c r="G337" s="70">
        <v>152.45960199999999</v>
      </c>
      <c r="H337" s="70">
        <v>0</v>
      </c>
      <c r="I337" s="151">
        <v>42785</v>
      </c>
      <c r="J337" s="149" t="s">
        <v>36</v>
      </c>
      <c r="K337" s="149" t="s">
        <v>219</v>
      </c>
      <c r="L337" s="149" t="s">
        <v>2569</v>
      </c>
      <c r="M337" s="149" t="s">
        <v>2570</v>
      </c>
      <c r="N337" s="149" t="s">
        <v>2571</v>
      </c>
      <c r="O337" s="149" t="s">
        <v>2369</v>
      </c>
      <c r="P337" s="149" t="s">
        <v>2737</v>
      </c>
      <c r="Q337" s="149" t="s">
        <v>2396</v>
      </c>
      <c r="R337" s="149" t="s">
        <v>2713</v>
      </c>
      <c r="S337" s="149">
        <v>5.6000000000000001E-2</v>
      </c>
      <c r="T337" s="149">
        <v>3.8671999999999984E-2</v>
      </c>
      <c r="U337" s="70">
        <f t="shared" si="12"/>
        <v>1.7328000000000017E-2</v>
      </c>
      <c r="V337" s="149">
        <v>4.5759999999999996</v>
      </c>
      <c r="W337" s="149">
        <v>13.765000000000001</v>
      </c>
      <c r="X337" s="149">
        <f t="shared" si="13"/>
        <v>62.988639999999997</v>
      </c>
      <c r="Y337" s="149"/>
    </row>
    <row r="338" spans="1:25" ht="16">
      <c r="A338" s="117" t="s">
        <v>3570</v>
      </c>
      <c r="B338" s="150" t="s">
        <v>285</v>
      </c>
      <c r="C338" s="149" t="s">
        <v>1744</v>
      </c>
      <c r="D338" s="149" t="s">
        <v>3552</v>
      </c>
      <c r="E338" s="149" t="s">
        <v>2412</v>
      </c>
      <c r="F338" s="70">
        <v>-31.204722220000001</v>
      </c>
      <c r="G338" s="70">
        <v>120.93944444</v>
      </c>
      <c r="H338" s="149">
        <v>93</v>
      </c>
      <c r="I338" s="151">
        <v>42750</v>
      </c>
      <c r="J338" s="149" t="s">
        <v>36</v>
      </c>
      <c r="K338" s="149" t="s">
        <v>419</v>
      </c>
      <c r="L338" s="149" t="s">
        <v>2569</v>
      </c>
      <c r="M338" s="149" t="s">
        <v>2570</v>
      </c>
      <c r="N338" s="149" t="s">
        <v>2571</v>
      </c>
      <c r="O338" s="149" t="s">
        <v>2369</v>
      </c>
      <c r="P338" s="149" t="s">
        <v>3556</v>
      </c>
      <c r="Q338" s="149" t="s">
        <v>2398</v>
      </c>
      <c r="R338" s="149" t="s">
        <v>2713</v>
      </c>
      <c r="S338" s="149">
        <v>0.1021</v>
      </c>
      <c r="T338" s="149">
        <v>6.7166000000000003E-2</v>
      </c>
      <c r="U338" s="70">
        <f t="shared" si="12"/>
        <v>3.4933999999999993E-2</v>
      </c>
      <c r="V338" s="149">
        <v>5.5094000000000003</v>
      </c>
      <c r="W338" s="149">
        <v>19.021000000000001</v>
      </c>
      <c r="X338" s="149">
        <f t="shared" si="13"/>
        <v>104.7942974</v>
      </c>
      <c r="Y338" s="149"/>
    </row>
    <row r="339" spans="1:25" ht="16">
      <c r="A339" s="117" t="s">
        <v>3570</v>
      </c>
      <c r="B339" s="150" t="s">
        <v>286</v>
      </c>
      <c r="C339" s="149" t="s">
        <v>1744</v>
      </c>
      <c r="D339" s="149" t="s">
        <v>3552</v>
      </c>
      <c r="E339" s="149" t="s">
        <v>2413</v>
      </c>
      <c r="F339" s="70">
        <v>-32.251666669999999</v>
      </c>
      <c r="G339" s="70">
        <v>122.8344444</v>
      </c>
      <c r="H339" s="149">
        <v>93</v>
      </c>
      <c r="I339" s="151">
        <v>42750</v>
      </c>
      <c r="J339" s="149" t="s">
        <v>36</v>
      </c>
      <c r="K339" s="149" t="s">
        <v>419</v>
      </c>
      <c r="L339" s="149" t="s">
        <v>1687</v>
      </c>
      <c r="M339" s="149" t="s">
        <v>2563</v>
      </c>
      <c r="N339" s="149" t="s">
        <v>2568</v>
      </c>
      <c r="O339" s="149" t="s">
        <v>2734</v>
      </c>
      <c r="P339" s="149" t="s">
        <v>2782</v>
      </c>
      <c r="Q339" s="149" t="s">
        <v>2392</v>
      </c>
      <c r="R339" s="149" t="s">
        <v>2712</v>
      </c>
      <c r="S339" s="149">
        <v>8.3500000000000005E-2</v>
      </c>
      <c r="T339" s="149">
        <v>6.7166000000000003E-2</v>
      </c>
      <c r="U339" s="70">
        <f t="shared" si="12"/>
        <v>1.6334000000000001E-2</v>
      </c>
      <c r="V339" s="149">
        <v>4.8520000000000003</v>
      </c>
      <c r="W339" s="149">
        <f>7.4589+7.2396</f>
        <v>14.698499999999999</v>
      </c>
      <c r="X339" s="149">
        <f t="shared" si="13"/>
        <v>71.317121999999998</v>
      </c>
      <c r="Y339" s="149"/>
    </row>
    <row r="340" spans="1:25" ht="16">
      <c r="A340" s="117" t="s">
        <v>3570</v>
      </c>
      <c r="B340" s="150" t="s">
        <v>287</v>
      </c>
      <c r="C340" s="149" t="s">
        <v>1744</v>
      </c>
      <c r="D340" s="149" t="s">
        <v>3552</v>
      </c>
      <c r="E340" s="149" t="s">
        <v>2414</v>
      </c>
      <c r="F340" s="149">
        <v>-29.832777780000001</v>
      </c>
      <c r="G340" s="149">
        <v>116.94166667</v>
      </c>
      <c r="H340" s="149">
        <f>93-15</f>
        <v>78</v>
      </c>
      <c r="I340" s="151">
        <v>42765</v>
      </c>
      <c r="J340" s="149" t="s">
        <v>36</v>
      </c>
      <c r="K340" s="149" t="s">
        <v>419</v>
      </c>
      <c r="L340" s="149" t="s">
        <v>2569</v>
      </c>
      <c r="M340" s="149" t="s">
        <v>2570</v>
      </c>
      <c r="N340" s="149" t="s">
        <v>2571</v>
      </c>
      <c r="O340" s="149" t="s">
        <v>2369</v>
      </c>
      <c r="P340" s="149" t="s">
        <v>2783</v>
      </c>
      <c r="Q340" s="149" t="s">
        <v>2382</v>
      </c>
      <c r="R340" s="149" t="s">
        <v>2712</v>
      </c>
      <c r="S340" s="149">
        <v>0.2185</v>
      </c>
      <c r="T340" s="149">
        <v>6.7166000000000003E-2</v>
      </c>
      <c r="U340" s="70">
        <f t="shared" si="12"/>
        <v>0.151334</v>
      </c>
      <c r="V340" s="149">
        <v>7.6454000000000004</v>
      </c>
      <c r="W340" s="149">
        <f>18.8098+18.0402</f>
        <v>36.849999999999994</v>
      </c>
      <c r="X340" s="149">
        <f t="shared" si="13"/>
        <v>281.73298999999997</v>
      </c>
      <c r="Y340" s="149"/>
    </row>
    <row r="341" spans="1:25" ht="16">
      <c r="A341" s="117" t="s">
        <v>3570</v>
      </c>
      <c r="B341" s="139" t="s">
        <v>350</v>
      </c>
      <c r="C341" s="140" t="s">
        <v>1744</v>
      </c>
      <c r="D341" s="149" t="str">
        <f t="shared" si="14"/>
        <v>COFFS</v>
      </c>
      <c r="E341" s="140" t="s">
        <v>2545</v>
      </c>
      <c r="F341" s="161">
        <v>-30.004933000000001</v>
      </c>
      <c r="G341" s="142">
        <v>153.09672599999999</v>
      </c>
      <c r="H341" s="140">
        <v>0</v>
      </c>
      <c r="I341" s="141">
        <v>42997</v>
      </c>
      <c r="J341" s="140" t="s">
        <v>2096</v>
      </c>
      <c r="K341" s="140" t="s">
        <v>177</v>
      </c>
      <c r="L341" s="140" t="s">
        <v>2566</v>
      </c>
      <c r="M341" s="140" t="s">
        <v>2567</v>
      </c>
      <c r="N341" s="140" t="s">
        <v>2668</v>
      </c>
      <c r="O341" s="140" t="s">
        <v>2600</v>
      </c>
      <c r="P341" s="149" t="s">
        <v>2735</v>
      </c>
      <c r="Q341" s="140" t="s">
        <v>2384</v>
      </c>
      <c r="R341" s="140" t="s">
        <v>2713</v>
      </c>
      <c r="S341" s="140">
        <v>4.7699999999999999E-2</v>
      </c>
      <c r="T341" s="140">
        <v>3.8671999999999984E-2</v>
      </c>
      <c r="U341" s="142">
        <f t="shared" si="12"/>
        <v>9.0280000000000152E-3</v>
      </c>
      <c r="V341" s="140">
        <v>2.968</v>
      </c>
      <c r="W341" s="140">
        <v>11.76</v>
      </c>
      <c r="X341" s="140">
        <f t="shared" si="13"/>
        <v>34.903680000000001</v>
      </c>
      <c r="Y341" s="140"/>
    </row>
    <row r="342" spans="1:25" ht="16">
      <c r="A342" s="117" t="s">
        <v>3570</v>
      </c>
      <c r="B342" s="150" t="s">
        <v>351</v>
      </c>
      <c r="C342" s="149" t="s">
        <v>1744</v>
      </c>
      <c r="D342" s="149" t="str">
        <f t="shared" si="14"/>
        <v>COFFS</v>
      </c>
      <c r="E342" s="149" t="s">
        <v>2546</v>
      </c>
      <c r="F342" s="149">
        <v>-29.998176000000001</v>
      </c>
      <c r="G342" s="70">
        <v>153.107786</v>
      </c>
      <c r="H342" s="149">
        <v>0</v>
      </c>
      <c r="I342" s="151">
        <v>43002</v>
      </c>
      <c r="J342" s="149" t="s">
        <v>2097</v>
      </c>
      <c r="K342" s="149" t="s">
        <v>177</v>
      </c>
      <c r="L342" s="149" t="s">
        <v>1687</v>
      </c>
      <c r="M342" s="149" t="s">
        <v>2564</v>
      </c>
      <c r="N342" s="149" t="s">
        <v>2565</v>
      </c>
      <c r="O342" s="149" t="s">
        <v>2095</v>
      </c>
      <c r="P342" s="149" t="s">
        <v>2095</v>
      </c>
      <c r="Q342" s="149" t="s">
        <v>2686</v>
      </c>
      <c r="R342" s="149" t="s">
        <v>2713</v>
      </c>
      <c r="S342" s="149">
        <v>4.3099999999999999E-2</v>
      </c>
      <c r="T342" s="149">
        <v>3.8671999999999984E-2</v>
      </c>
      <c r="U342" s="70">
        <f t="shared" si="12"/>
        <v>4.4280000000000153E-3</v>
      </c>
      <c r="V342" s="149">
        <v>2.4980000000000002</v>
      </c>
      <c r="W342" s="149">
        <v>8.0860000000000003</v>
      </c>
      <c r="X342" s="149">
        <f t="shared" si="13"/>
        <v>20.198828000000002</v>
      </c>
      <c r="Y342" s="149"/>
    </row>
    <row r="343" spans="1:25" ht="16">
      <c r="A343" s="117" t="s">
        <v>3570</v>
      </c>
      <c r="B343" s="150" t="s">
        <v>352</v>
      </c>
      <c r="C343" s="149" t="s">
        <v>1744</v>
      </c>
      <c r="D343" s="149" t="str">
        <f t="shared" si="14"/>
        <v>COFFS</v>
      </c>
      <c r="E343" s="149" t="s">
        <v>2547</v>
      </c>
      <c r="F343" s="149">
        <v>-29.991299000000001</v>
      </c>
      <c r="G343" s="149">
        <v>153.143249</v>
      </c>
      <c r="H343" s="149">
        <v>0</v>
      </c>
      <c r="I343" s="151">
        <v>43004</v>
      </c>
      <c r="J343" s="149" t="s">
        <v>2097</v>
      </c>
      <c r="K343" s="149" t="s">
        <v>177</v>
      </c>
      <c r="L343" s="149" t="s">
        <v>1687</v>
      </c>
      <c r="M343" s="149" t="s">
        <v>2564</v>
      </c>
      <c r="N343" s="149" t="s">
        <v>2565</v>
      </c>
      <c r="O343" s="149" t="s">
        <v>2095</v>
      </c>
      <c r="P343" s="149" t="s">
        <v>2095</v>
      </c>
      <c r="Q343" s="149" t="s">
        <v>2686</v>
      </c>
      <c r="R343" s="149" t="s">
        <v>2713</v>
      </c>
      <c r="S343" s="149">
        <v>4.36E-2</v>
      </c>
      <c r="T343" s="149">
        <v>3.8671999999999984E-2</v>
      </c>
      <c r="U343" s="70">
        <f t="shared" si="12"/>
        <v>4.9280000000000157E-3</v>
      </c>
      <c r="V343" s="149">
        <v>2.532</v>
      </c>
      <c r="W343" s="149">
        <v>10.343</v>
      </c>
      <c r="X343" s="149">
        <f t="shared" si="13"/>
        <v>26.188476000000001</v>
      </c>
      <c r="Y343" s="149"/>
    </row>
    <row r="344" spans="1:25" ht="16">
      <c r="A344" s="117" t="s">
        <v>3570</v>
      </c>
      <c r="B344" s="150" t="s">
        <v>353</v>
      </c>
      <c r="C344" s="149" t="s">
        <v>1744</v>
      </c>
      <c r="D344" s="149" t="str">
        <f t="shared" si="14"/>
        <v>COFFS</v>
      </c>
      <c r="E344" s="149" t="s">
        <v>2547</v>
      </c>
      <c r="F344" s="149">
        <v>-29.991299000000001</v>
      </c>
      <c r="G344" s="149">
        <v>153.143249</v>
      </c>
      <c r="H344" s="149">
        <v>0</v>
      </c>
      <c r="I344" s="151">
        <v>42996</v>
      </c>
      <c r="J344" s="149" t="s">
        <v>2097</v>
      </c>
      <c r="K344" s="149" t="s">
        <v>177</v>
      </c>
      <c r="L344" s="149" t="s">
        <v>1687</v>
      </c>
      <c r="M344" s="149" t="s">
        <v>2564</v>
      </c>
      <c r="N344" s="149" t="s">
        <v>2565</v>
      </c>
      <c r="O344" s="149" t="s">
        <v>2095</v>
      </c>
      <c r="P344" s="149" t="s">
        <v>2095</v>
      </c>
      <c r="Q344" s="149" t="s">
        <v>2686</v>
      </c>
      <c r="R344" s="149" t="s">
        <v>2713</v>
      </c>
      <c r="S344" s="149">
        <v>3.9699999999999999E-2</v>
      </c>
      <c r="T344" s="149">
        <v>3.8671999999999984E-2</v>
      </c>
      <c r="U344" s="70">
        <f t="shared" si="12"/>
        <v>1.028000000000015E-3</v>
      </c>
      <c r="V344" s="149">
        <v>2.15</v>
      </c>
      <c r="W344" s="149">
        <v>8.7479999999999993</v>
      </c>
      <c r="X344" s="149">
        <f t="shared" si="13"/>
        <v>18.808199999999999</v>
      </c>
      <c r="Y344" s="149"/>
    </row>
    <row r="345" spans="1:25" ht="16">
      <c r="A345" s="117" t="s">
        <v>3570</v>
      </c>
      <c r="B345" s="150" t="s">
        <v>354</v>
      </c>
      <c r="C345" s="149" t="s">
        <v>1744</v>
      </c>
      <c r="D345" s="149" t="str">
        <f t="shared" si="14"/>
        <v>COFFS</v>
      </c>
      <c r="E345" s="149" t="s">
        <v>2548</v>
      </c>
      <c r="F345" s="149">
        <v>-30.012446000000001</v>
      </c>
      <c r="G345" s="149">
        <v>153.14997199999999</v>
      </c>
      <c r="H345" s="149">
        <v>0</v>
      </c>
      <c r="I345" s="151">
        <v>42999</v>
      </c>
      <c r="J345" s="149" t="s">
        <v>2097</v>
      </c>
      <c r="K345" s="149" t="s">
        <v>177</v>
      </c>
      <c r="L345" s="149" t="s">
        <v>1687</v>
      </c>
      <c r="M345" s="149" t="s">
        <v>2564</v>
      </c>
      <c r="N345" s="149" t="s">
        <v>2565</v>
      </c>
      <c r="O345" s="149" t="s">
        <v>2095</v>
      </c>
      <c r="P345" s="149" t="s">
        <v>2095</v>
      </c>
      <c r="Q345" s="149" t="s">
        <v>2686</v>
      </c>
      <c r="R345" s="149" t="s">
        <v>2713</v>
      </c>
      <c r="S345" s="149">
        <v>4.19E-2</v>
      </c>
      <c r="T345" s="149">
        <v>3.8671999999999984E-2</v>
      </c>
      <c r="U345" s="70">
        <f t="shared" si="12"/>
        <v>3.2280000000000156E-3</v>
      </c>
      <c r="V345" s="149">
        <v>2.1509999999999998</v>
      </c>
      <c r="W345" s="149">
        <v>9.3070000000000004</v>
      </c>
      <c r="X345" s="149">
        <f t="shared" si="13"/>
        <v>20.019356999999999</v>
      </c>
      <c r="Y345" s="149"/>
    </row>
    <row r="346" spans="1:25" ht="16">
      <c r="A346" s="117" t="s">
        <v>3570</v>
      </c>
      <c r="B346" s="150" t="s">
        <v>355</v>
      </c>
      <c r="C346" s="149" t="s">
        <v>1744</v>
      </c>
      <c r="D346" s="149" t="str">
        <f t="shared" si="14"/>
        <v>COFFS</v>
      </c>
      <c r="E346" s="149" t="s">
        <v>2548</v>
      </c>
      <c r="F346" s="149">
        <v>-30.012446000000001</v>
      </c>
      <c r="G346" s="149">
        <v>153.14997199999999</v>
      </c>
      <c r="H346" s="149">
        <v>0</v>
      </c>
      <c r="I346" s="151">
        <v>42996</v>
      </c>
      <c r="J346" s="149" t="s">
        <v>2097</v>
      </c>
      <c r="K346" s="149" t="s">
        <v>177</v>
      </c>
      <c r="L346" s="149" t="s">
        <v>1687</v>
      </c>
      <c r="M346" s="149" t="s">
        <v>2564</v>
      </c>
      <c r="N346" s="149" t="s">
        <v>2565</v>
      </c>
      <c r="O346" s="149" t="s">
        <v>2733</v>
      </c>
      <c r="P346" s="149" t="s">
        <v>2733</v>
      </c>
      <c r="Q346" s="149" t="s">
        <v>2381</v>
      </c>
      <c r="R346" s="149" t="s">
        <v>2713</v>
      </c>
      <c r="S346" s="149">
        <v>4.4400000000000002E-2</v>
      </c>
      <c r="T346" s="149">
        <v>3.8671999999999984E-2</v>
      </c>
      <c r="U346" s="70">
        <f t="shared" si="12"/>
        <v>5.7280000000000178E-3</v>
      </c>
      <c r="V346" s="149">
        <v>2.282</v>
      </c>
      <c r="W346" s="149">
        <v>11.414999999999999</v>
      </c>
      <c r="X346" s="149">
        <f t="shared" si="13"/>
        <v>26.049029999999998</v>
      </c>
      <c r="Y346" s="149"/>
    </row>
    <row r="347" spans="1:25" ht="16">
      <c r="A347" s="117" t="s">
        <v>3570</v>
      </c>
      <c r="B347" s="150" t="s">
        <v>356</v>
      </c>
      <c r="C347" s="149" t="s">
        <v>1744</v>
      </c>
      <c r="D347" s="149" t="str">
        <f t="shared" si="14"/>
        <v>COFFS</v>
      </c>
      <c r="E347" s="149" t="s">
        <v>2549</v>
      </c>
      <c r="F347" s="149">
        <v>-30.010960000000001</v>
      </c>
      <c r="G347" s="149">
        <v>153.13486599999999</v>
      </c>
      <c r="H347" s="149">
        <v>0</v>
      </c>
      <c r="I347" s="151">
        <v>42997</v>
      </c>
      <c r="J347" s="149" t="s">
        <v>2097</v>
      </c>
      <c r="K347" s="149" t="s">
        <v>177</v>
      </c>
      <c r="L347" s="149" t="s">
        <v>1687</v>
      </c>
      <c r="M347" s="149" t="s">
        <v>2564</v>
      </c>
      <c r="N347" s="149" t="s">
        <v>2577</v>
      </c>
      <c r="O347" s="149" t="s">
        <v>2742</v>
      </c>
      <c r="P347" s="149" t="s">
        <v>2740</v>
      </c>
      <c r="Q347" s="149" t="s">
        <v>2389</v>
      </c>
      <c r="R347" s="149" t="s">
        <v>2712</v>
      </c>
      <c r="S347" s="149">
        <v>0.1022</v>
      </c>
      <c r="T347" s="149">
        <v>3.8671999999999984E-2</v>
      </c>
      <c r="U347" s="70">
        <f t="shared" si="12"/>
        <v>6.3528000000000015E-2</v>
      </c>
      <c r="V347" s="149">
        <v>7.6260000000000003</v>
      </c>
      <c r="W347" s="149">
        <f>12.74+9.347</f>
        <v>22.087</v>
      </c>
      <c r="X347" s="149">
        <f t="shared" si="13"/>
        <v>168.435462</v>
      </c>
      <c r="Y347" s="149"/>
    </row>
    <row r="348" spans="1:25" ht="16">
      <c r="A348" s="117" t="s">
        <v>3570</v>
      </c>
      <c r="B348" s="150" t="s">
        <v>357</v>
      </c>
      <c r="C348" s="149" t="s">
        <v>1744</v>
      </c>
      <c r="D348" s="149" t="str">
        <f t="shared" si="14"/>
        <v>COFFS</v>
      </c>
      <c r="E348" s="149" t="s">
        <v>2550</v>
      </c>
      <c r="F348" s="149">
        <v>-29.995350999999999</v>
      </c>
      <c r="G348" s="149">
        <v>153.15520799999999</v>
      </c>
      <c r="H348" s="149">
        <v>0</v>
      </c>
      <c r="I348" s="151">
        <v>42996</v>
      </c>
      <c r="J348" s="149" t="s">
        <v>2097</v>
      </c>
      <c r="K348" s="149" t="s">
        <v>177</v>
      </c>
      <c r="L348" s="149" t="s">
        <v>1687</v>
      </c>
      <c r="M348" s="149" t="s">
        <v>2564</v>
      </c>
      <c r="N348" s="149" t="s">
        <v>2565</v>
      </c>
      <c r="O348" s="149" t="s">
        <v>2095</v>
      </c>
      <c r="P348" s="149" t="s">
        <v>2095</v>
      </c>
      <c r="Q348" s="149" t="s">
        <v>2686</v>
      </c>
      <c r="R348" s="149" t="s">
        <v>2713</v>
      </c>
      <c r="S348" s="149">
        <v>4.3200000000000002E-2</v>
      </c>
      <c r="T348" s="149">
        <v>3.8671999999999984E-2</v>
      </c>
      <c r="U348" s="70">
        <f t="shared" si="12"/>
        <v>4.5280000000000181E-3</v>
      </c>
      <c r="V348" s="149">
        <v>2.2189999999999999</v>
      </c>
      <c r="W348" s="149">
        <v>8.8000000000000007</v>
      </c>
      <c r="X348" s="149">
        <f t="shared" si="13"/>
        <v>19.527200000000001</v>
      </c>
      <c r="Y348" s="149"/>
    </row>
    <row r="349" spans="1:25" ht="16">
      <c r="A349" s="117" t="s">
        <v>3570</v>
      </c>
      <c r="B349" s="150" t="s">
        <v>358</v>
      </c>
      <c r="C349" s="149" t="s">
        <v>1744</v>
      </c>
      <c r="D349" s="149" t="str">
        <f t="shared" si="14"/>
        <v>COFFS</v>
      </c>
      <c r="E349" s="149" t="s">
        <v>2545</v>
      </c>
      <c r="F349" s="160">
        <v>-30.004933000000001</v>
      </c>
      <c r="G349" s="70">
        <v>153.09672599999999</v>
      </c>
      <c r="H349" s="149">
        <v>0</v>
      </c>
      <c r="I349" s="151">
        <v>42985</v>
      </c>
      <c r="J349" s="149" t="s">
        <v>2098</v>
      </c>
      <c r="K349" s="149" t="s">
        <v>177</v>
      </c>
      <c r="L349" s="149" t="s">
        <v>2566</v>
      </c>
      <c r="M349" s="149" t="s">
        <v>2567</v>
      </c>
      <c r="N349" s="149" t="s">
        <v>2668</v>
      </c>
      <c r="O349" s="140" t="s">
        <v>2600</v>
      </c>
      <c r="P349" s="149" t="s">
        <v>2735</v>
      </c>
      <c r="Q349" s="149" t="s">
        <v>2707</v>
      </c>
      <c r="R349" s="149" t="s">
        <v>2713</v>
      </c>
      <c r="S349" s="149">
        <v>5.0299999999999997E-2</v>
      </c>
      <c r="T349" s="149">
        <v>3.8671999999999984E-2</v>
      </c>
      <c r="U349" s="70">
        <f t="shared" si="12"/>
        <v>1.1628000000000013E-2</v>
      </c>
      <c r="V349" s="149">
        <v>3.246</v>
      </c>
      <c r="W349" s="149">
        <v>12.515000000000001</v>
      </c>
      <c r="X349" s="149">
        <f t="shared" si="13"/>
        <v>40.623690000000003</v>
      </c>
      <c r="Y349" s="149"/>
    </row>
    <row r="350" spans="1:25" ht="16">
      <c r="A350" s="117" t="s">
        <v>3570</v>
      </c>
      <c r="B350" s="150" t="s">
        <v>359</v>
      </c>
      <c r="C350" s="149" t="s">
        <v>1744</v>
      </c>
      <c r="D350" s="149" t="str">
        <f t="shared" si="14"/>
        <v>COFFS</v>
      </c>
      <c r="E350" s="149" t="s">
        <v>2551</v>
      </c>
      <c r="F350" s="149">
        <v>-30.012446000000001</v>
      </c>
      <c r="G350" s="149">
        <v>153.14997199999999</v>
      </c>
      <c r="H350" s="149">
        <v>0</v>
      </c>
      <c r="I350" s="151">
        <v>42998</v>
      </c>
      <c r="J350" s="149" t="s">
        <v>2100</v>
      </c>
      <c r="K350" s="149" t="s">
        <v>177</v>
      </c>
      <c r="L350" s="149" t="s">
        <v>2566</v>
      </c>
      <c r="M350" s="149" t="s">
        <v>2574</v>
      </c>
      <c r="N350" s="140" t="s">
        <v>3191</v>
      </c>
      <c r="O350" s="149" t="s">
        <v>2111</v>
      </c>
      <c r="P350" s="149" t="s">
        <v>2739</v>
      </c>
      <c r="Q350" s="149" t="s">
        <v>2399</v>
      </c>
      <c r="R350" s="149" t="s">
        <v>2713</v>
      </c>
      <c r="S350" s="149">
        <v>6.2799999999999995E-2</v>
      </c>
      <c r="T350" s="149">
        <v>3.8671999999999984E-2</v>
      </c>
      <c r="U350" s="70">
        <f t="shared" si="12"/>
        <v>2.4128000000000011E-2</v>
      </c>
      <c r="V350" s="149">
        <v>4.2240000000000002</v>
      </c>
      <c r="W350" s="149">
        <v>16.099</v>
      </c>
      <c r="X350" s="149">
        <f t="shared" si="13"/>
        <v>68.002176000000006</v>
      </c>
      <c r="Y350" s="149"/>
    </row>
    <row r="351" spans="1:25" ht="16">
      <c r="A351" s="117" t="s">
        <v>3570</v>
      </c>
      <c r="B351" s="150" t="s">
        <v>360</v>
      </c>
      <c r="C351" s="149" t="s">
        <v>1744</v>
      </c>
      <c r="D351" s="149" t="str">
        <f t="shared" si="14"/>
        <v>COFFS</v>
      </c>
      <c r="E351" s="149" t="s">
        <v>2548</v>
      </c>
      <c r="F351" s="149">
        <v>-30.012446000000001</v>
      </c>
      <c r="G351" s="149">
        <v>153.14997199999999</v>
      </c>
      <c r="H351" s="149">
        <v>0</v>
      </c>
      <c r="I351" s="151">
        <v>42999</v>
      </c>
      <c r="J351" s="149" t="s">
        <v>2097</v>
      </c>
      <c r="K351" s="149" t="s">
        <v>177</v>
      </c>
      <c r="L351" s="149" t="s">
        <v>2566</v>
      </c>
      <c r="M351" s="149" t="s">
        <v>2574</v>
      </c>
      <c r="N351" s="140" t="s">
        <v>3191</v>
      </c>
      <c r="O351" s="149" t="s">
        <v>2111</v>
      </c>
      <c r="P351" s="149" t="s">
        <v>2739</v>
      </c>
      <c r="Q351" s="149" t="s">
        <v>2691</v>
      </c>
      <c r="R351" s="149" t="s">
        <v>2713</v>
      </c>
      <c r="S351" s="149">
        <v>4.9399999999999999E-2</v>
      </c>
      <c r="T351" s="149">
        <v>3.8671999999999984E-2</v>
      </c>
      <c r="U351" s="70">
        <f t="shared" si="12"/>
        <v>1.0728000000000015E-2</v>
      </c>
      <c r="V351" s="149">
        <v>2.8860000000000001</v>
      </c>
      <c r="W351" s="149">
        <f>5.908+5.354</f>
        <v>11.262</v>
      </c>
      <c r="X351" s="149">
        <f t="shared" si="13"/>
        <v>32.502132000000003</v>
      </c>
      <c r="Y351" s="149"/>
    </row>
    <row r="352" spans="1:25" ht="16">
      <c r="A352" s="117" t="s">
        <v>3570</v>
      </c>
      <c r="B352" s="150" t="s">
        <v>361</v>
      </c>
      <c r="C352" s="149" t="s">
        <v>1744</v>
      </c>
      <c r="D352" s="149" t="str">
        <f t="shared" si="14"/>
        <v>COFFS</v>
      </c>
      <c r="E352" s="149" t="s">
        <v>2549</v>
      </c>
      <c r="F352" s="149">
        <v>-30.010960000000001</v>
      </c>
      <c r="G352" s="149">
        <v>153.13486599999999</v>
      </c>
      <c r="H352" s="149">
        <v>0</v>
      </c>
      <c r="I352" s="151">
        <v>42982</v>
      </c>
      <c r="J352" s="149" t="s">
        <v>2098</v>
      </c>
      <c r="K352" s="149" t="s">
        <v>177</v>
      </c>
      <c r="L352" s="149" t="s">
        <v>2566</v>
      </c>
      <c r="M352" s="149" t="s">
        <v>2567</v>
      </c>
      <c r="N352" s="149" t="s">
        <v>2668</v>
      </c>
      <c r="O352" s="140" t="s">
        <v>2600</v>
      </c>
      <c r="P352" s="149" t="s">
        <v>2735</v>
      </c>
      <c r="Q352" s="149" t="s">
        <v>2384</v>
      </c>
      <c r="R352" s="149" t="s">
        <v>2713</v>
      </c>
      <c r="S352" s="149">
        <v>4.7199999999999999E-2</v>
      </c>
      <c r="T352" s="149">
        <v>3.8671999999999984E-2</v>
      </c>
      <c r="U352" s="70">
        <f t="shared" si="12"/>
        <v>8.5280000000000147E-3</v>
      </c>
      <c r="V352" s="149">
        <v>2.9220000000000002</v>
      </c>
      <c r="W352" s="149">
        <f>6.334+2.582+2.857</f>
        <v>11.773</v>
      </c>
      <c r="X352" s="149">
        <f t="shared" si="13"/>
        <v>34.400706</v>
      </c>
      <c r="Y352" s="149"/>
    </row>
    <row r="353" spans="1:25" ht="16">
      <c r="A353" s="117" t="s">
        <v>3570</v>
      </c>
      <c r="B353" s="150" t="s">
        <v>362</v>
      </c>
      <c r="C353" s="149" t="s">
        <v>1744</v>
      </c>
      <c r="D353" s="149" t="str">
        <f t="shared" si="14"/>
        <v>COFFS</v>
      </c>
      <c r="E353" s="149" t="s">
        <v>2549</v>
      </c>
      <c r="F353" s="149">
        <v>-30.010960000000001</v>
      </c>
      <c r="G353" s="149">
        <v>153.13486599999999</v>
      </c>
      <c r="H353" s="149">
        <v>0</v>
      </c>
      <c r="I353" s="151">
        <v>42997</v>
      </c>
      <c r="J353" s="149" t="s">
        <v>2098</v>
      </c>
      <c r="K353" s="149" t="s">
        <v>177</v>
      </c>
      <c r="L353" s="149" t="s">
        <v>2566</v>
      </c>
      <c r="M353" s="149" t="s">
        <v>2567</v>
      </c>
      <c r="N353" s="149" t="s">
        <v>2668</v>
      </c>
      <c r="O353" s="140" t="s">
        <v>2600</v>
      </c>
      <c r="P353" s="149" t="s">
        <v>2735</v>
      </c>
      <c r="Q353" s="149" t="s">
        <v>2384</v>
      </c>
      <c r="R353" s="149" t="s">
        <v>2713</v>
      </c>
      <c r="S353" s="149">
        <v>4.5600000000000002E-2</v>
      </c>
      <c r="T353" s="149">
        <v>3.8671999999999984E-2</v>
      </c>
      <c r="U353" s="70">
        <f t="shared" si="12"/>
        <v>6.9280000000000175E-3</v>
      </c>
      <c r="V353" s="149">
        <v>2.677</v>
      </c>
      <c r="W353" s="149">
        <f>5.299+5.527</f>
        <v>10.826000000000001</v>
      </c>
      <c r="X353" s="149">
        <f t="shared" si="13"/>
        <v>28.981202000000003</v>
      </c>
      <c r="Y353" s="149"/>
    </row>
    <row r="354" spans="1:25" ht="16">
      <c r="A354" s="117" t="s">
        <v>3570</v>
      </c>
      <c r="B354" s="150" t="s">
        <v>363</v>
      </c>
      <c r="C354" s="149" t="s">
        <v>1744</v>
      </c>
      <c r="D354" s="149" t="str">
        <f t="shared" si="14"/>
        <v>COFFS</v>
      </c>
      <c r="E354" s="149" t="s">
        <v>2549</v>
      </c>
      <c r="F354" s="149">
        <v>-30.010960000000001</v>
      </c>
      <c r="G354" s="149">
        <v>153.13486599999999</v>
      </c>
      <c r="H354" s="149">
        <v>0</v>
      </c>
      <c r="I354" s="151">
        <v>42997</v>
      </c>
      <c r="J354" s="149" t="s">
        <v>2098</v>
      </c>
      <c r="K354" s="149" t="s">
        <v>177</v>
      </c>
      <c r="L354" s="149" t="s">
        <v>2566</v>
      </c>
      <c r="M354" s="149" t="s">
        <v>2567</v>
      </c>
      <c r="N354" s="149" t="s">
        <v>2668</v>
      </c>
      <c r="O354" s="140" t="s">
        <v>2600</v>
      </c>
      <c r="P354" s="149" t="s">
        <v>2735</v>
      </c>
      <c r="Q354" s="149" t="s">
        <v>2384</v>
      </c>
      <c r="R354" s="149" t="s">
        <v>2713</v>
      </c>
      <c r="S354" s="149">
        <v>4.6800000000000001E-2</v>
      </c>
      <c r="T354" s="149">
        <v>3.8671999999999984E-2</v>
      </c>
      <c r="U354" s="70">
        <f t="shared" si="12"/>
        <v>8.1280000000000172E-3</v>
      </c>
      <c r="V354" s="149">
        <v>3.0089999999999999</v>
      </c>
      <c r="W354" s="149">
        <f>6.072+6.249</f>
        <v>12.321</v>
      </c>
      <c r="X354" s="149">
        <f t="shared" si="13"/>
        <v>37.073889000000001</v>
      </c>
      <c r="Y354" s="149"/>
    </row>
    <row r="355" spans="1:25" ht="16">
      <c r="A355" s="117" t="s">
        <v>3570</v>
      </c>
      <c r="B355" s="150" t="s">
        <v>364</v>
      </c>
      <c r="C355" s="149" t="s">
        <v>1744</v>
      </c>
      <c r="D355" s="149" t="str">
        <f t="shared" si="14"/>
        <v>COFFS</v>
      </c>
      <c r="E355" s="149" t="s">
        <v>2547</v>
      </c>
      <c r="F355" s="149">
        <v>-29.991299000000001</v>
      </c>
      <c r="G355" s="149">
        <v>153.143249</v>
      </c>
      <c r="H355" s="149">
        <v>0</v>
      </c>
      <c r="I355" s="151">
        <v>42993</v>
      </c>
      <c r="J355" s="149" t="s">
        <v>36</v>
      </c>
      <c r="K355" s="149" t="s">
        <v>177</v>
      </c>
      <c r="L355" s="149" t="s">
        <v>2566</v>
      </c>
      <c r="M355" s="149" t="s">
        <v>2574</v>
      </c>
      <c r="N355" s="140" t="s">
        <v>3191</v>
      </c>
      <c r="O355" s="149" t="s">
        <v>2111</v>
      </c>
      <c r="P355" s="149" t="s">
        <v>2739</v>
      </c>
      <c r="Q355" s="149" t="s">
        <v>2399</v>
      </c>
      <c r="R355" s="149" t="s">
        <v>2713</v>
      </c>
      <c r="S355" s="149">
        <v>6.6900000000000001E-2</v>
      </c>
      <c r="T355" s="149">
        <v>3.8671999999999984E-2</v>
      </c>
      <c r="U355" s="70">
        <f t="shared" si="12"/>
        <v>2.8228000000000017E-2</v>
      </c>
      <c r="V355" s="149">
        <v>4.3239999999999998</v>
      </c>
      <c r="W355" s="149">
        <f>7.919+4.278+5.646</f>
        <v>17.843</v>
      </c>
      <c r="X355" s="149">
        <f t="shared" si="13"/>
        <v>77.153131999999999</v>
      </c>
      <c r="Y355" s="149"/>
    </row>
    <row r="356" spans="1:25" ht="16">
      <c r="A356" s="117" t="s">
        <v>3570</v>
      </c>
      <c r="B356" s="150" t="s">
        <v>365</v>
      </c>
      <c r="C356" s="149" t="s">
        <v>1744</v>
      </c>
      <c r="D356" s="149" t="str">
        <f t="shared" si="14"/>
        <v>COFFS</v>
      </c>
      <c r="E356" s="149" t="s">
        <v>2545</v>
      </c>
      <c r="F356" s="160">
        <v>-30.004933000000001</v>
      </c>
      <c r="G356" s="70">
        <v>153.09672599999999</v>
      </c>
      <c r="H356" s="149">
        <v>0</v>
      </c>
      <c r="I356" s="151">
        <v>42997</v>
      </c>
      <c r="J356" s="149" t="s">
        <v>2096</v>
      </c>
      <c r="K356" s="149" t="s">
        <v>177</v>
      </c>
      <c r="L356" s="149" t="s">
        <v>2566</v>
      </c>
      <c r="M356" s="149" t="s">
        <v>2567</v>
      </c>
      <c r="N356" s="149" t="s">
        <v>2668</v>
      </c>
      <c r="O356" s="140" t="s">
        <v>2600</v>
      </c>
      <c r="P356" s="149" t="s">
        <v>2735</v>
      </c>
      <c r="Q356" s="149" t="s">
        <v>2384</v>
      </c>
      <c r="R356" s="149" t="s">
        <v>2713</v>
      </c>
      <c r="S356" s="149">
        <v>4.8800000000000003E-2</v>
      </c>
      <c r="T356" s="149">
        <v>3.8671999999999984E-2</v>
      </c>
      <c r="U356" s="70">
        <f t="shared" si="12"/>
        <v>1.0128000000000019E-2</v>
      </c>
      <c r="V356" s="149">
        <v>2.91</v>
      </c>
      <c r="W356" s="149">
        <v>11.510999999999999</v>
      </c>
      <c r="X356" s="149">
        <f t="shared" si="13"/>
        <v>33.497009999999996</v>
      </c>
      <c r="Y356" s="149"/>
    </row>
    <row r="357" spans="1:25" ht="16">
      <c r="A357" s="117" t="s">
        <v>3570</v>
      </c>
      <c r="B357" s="150" t="s">
        <v>366</v>
      </c>
      <c r="C357" s="149" t="s">
        <v>1744</v>
      </c>
      <c r="D357" s="149" t="str">
        <f t="shared" si="14"/>
        <v>COFFS</v>
      </c>
      <c r="E357" s="149" t="s">
        <v>2545</v>
      </c>
      <c r="F357" s="160">
        <v>-30.004933000000001</v>
      </c>
      <c r="G357" s="70">
        <v>153.09672599999999</v>
      </c>
      <c r="H357" s="149">
        <v>0</v>
      </c>
      <c r="I357" s="151">
        <v>42997</v>
      </c>
      <c r="J357" s="149" t="s">
        <v>2096</v>
      </c>
      <c r="K357" s="149" t="s">
        <v>177</v>
      </c>
      <c r="L357" s="149" t="s">
        <v>2566</v>
      </c>
      <c r="M357" s="149" t="s">
        <v>2567</v>
      </c>
      <c r="N357" s="149" t="s">
        <v>2668</v>
      </c>
      <c r="O357" s="140" t="s">
        <v>2600</v>
      </c>
      <c r="P357" s="149" t="s">
        <v>2735</v>
      </c>
      <c r="Q357" s="149" t="s">
        <v>2384</v>
      </c>
      <c r="R357" s="149" t="s">
        <v>2713</v>
      </c>
      <c r="S357" s="149">
        <v>4.6800000000000001E-2</v>
      </c>
      <c r="T357" s="149">
        <v>3.8671999999999984E-2</v>
      </c>
      <c r="U357" s="70">
        <f t="shared" si="12"/>
        <v>8.1280000000000172E-3</v>
      </c>
      <c r="V357" s="149">
        <v>2.649</v>
      </c>
      <c r="W357" s="149">
        <v>10.537000000000001</v>
      </c>
      <c r="X357" s="149">
        <f t="shared" si="13"/>
        <v>27.912513000000004</v>
      </c>
      <c r="Y357" s="149"/>
    </row>
    <row r="358" spans="1:25" ht="16">
      <c r="A358" s="117" t="s">
        <v>3570</v>
      </c>
      <c r="B358" s="150" t="s">
        <v>367</v>
      </c>
      <c r="C358" s="149" t="s">
        <v>1744</v>
      </c>
      <c r="D358" s="149" t="str">
        <f t="shared" si="14"/>
        <v>COFFS</v>
      </c>
      <c r="E358" s="149" t="s">
        <v>2545</v>
      </c>
      <c r="F358" s="160">
        <v>-30.004933000000001</v>
      </c>
      <c r="G358" s="70">
        <v>153.09672599999999</v>
      </c>
      <c r="H358" s="149">
        <v>0</v>
      </c>
      <c r="I358" s="151">
        <v>42997</v>
      </c>
      <c r="J358" s="149" t="s">
        <v>2096</v>
      </c>
      <c r="K358" s="149" t="s">
        <v>177</v>
      </c>
      <c r="L358" s="149" t="s">
        <v>2566</v>
      </c>
      <c r="M358" s="149" t="s">
        <v>2567</v>
      </c>
      <c r="N358" s="149" t="s">
        <v>2668</v>
      </c>
      <c r="O358" s="140" t="s">
        <v>2600</v>
      </c>
      <c r="P358" s="149" t="s">
        <v>2735</v>
      </c>
      <c r="Q358" s="149" t="s">
        <v>2707</v>
      </c>
      <c r="R358" s="149" t="s">
        <v>2713</v>
      </c>
      <c r="S358" s="149">
        <v>4.9799999999999997E-2</v>
      </c>
      <c r="T358" s="149">
        <v>3.8671999999999984E-2</v>
      </c>
      <c r="U358" s="70">
        <f t="shared" si="12"/>
        <v>1.1128000000000013E-2</v>
      </c>
      <c r="V358" s="149">
        <v>3.0249999999999999</v>
      </c>
      <c r="W358" s="149">
        <v>11.862</v>
      </c>
      <c r="X358" s="149">
        <f t="shared" si="13"/>
        <v>35.882550000000002</v>
      </c>
      <c r="Y358" s="149"/>
    </row>
    <row r="359" spans="1:25" ht="16">
      <c r="A359" s="117" t="s">
        <v>3570</v>
      </c>
      <c r="B359" s="150" t="s">
        <v>368</v>
      </c>
      <c r="C359" s="149" t="s">
        <v>1744</v>
      </c>
      <c r="D359" s="149" t="str">
        <f t="shared" si="14"/>
        <v>COFFS</v>
      </c>
      <c r="E359" s="149" t="s">
        <v>2551</v>
      </c>
      <c r="F359" s="149">
        <v>-30.012446000000001</v>
      </c>
      <c r="G359" s="149">
        <v>153.14997199999999</v>
      </c>
      <c r="H359" s="149">
        <v>0</v>
      </c>
      <c r="I359" s="151">
        <v>42990</v>
      </c>
      <c r="J359" s="149" t="s">
        <v>2097</v>
      </c>
      <c r="K359" s="149" t="s">
        <v>177</v>
      </c>
      <c r="L359" s="149" t="s">
        <v>1687</v>
      </c>
      <c r="M359" s="149" t="s">
        <v>2564</v>
      </c>
      <c r="N359" s="149" t="s">
        <v>2565</v>
      </c>
      <c r="O359" s="149" t="s">
        <v>2095</v>
      </c>
      <c r="P359" s="149" t="s">
        <v>2095</v>
      </c>
      <c r="Q359" s="149" t="s">
        <v>2686</v>
      </c>
      <c r="R359" s="149" t="s">
        <v>2713</v>
      </c>
      <c r="S359" s="149">
        <v>4.5600000000000002E-2</v>
      </c>
      <c r="T359" s="149">
        <v>3.8671999999999984E-2</v>
      </c>
      <c r="U359" s="70">
        <f t="shared" si="12"/>
        <v>6.9280000000000175E-3</v>
      </c>
      <c r="V359" s="149">
        <v>2.66</v>
      </c>
      <c r="W359" s="149">
        <v>11.862</v>
      </c>
      <c r="X359" s="149">
        <f t="shared" si="13"/>
        <v>31.55292</v>
      </c>
      <c r="Y359" s="149"/>
    </row>
    <row r="360" spans="1:25" ht="16">
      <c r="A360" s="117" t="s">
        <v>3570</v>
      </c>
      <c r="B360" s="150" t="s">
        <v>369</v>
      </c>
      <c r="C360" s="149" t="s">
        <v>1744</v>
      </c>
      <c r="D360" s="149" t="str">
        <f t="shared" si="14"/>
        <v>COFFS</v>
      </c>
      <c r="E360" s="149" t="s">
        <v>2547</v>
      </c>
      <c r="F360" s="149">
        <v>-29.991299000000001</v>
      </c>
      <c r="G360" s="149">
        <v>153.143249</v>
      </c>
      <c r="H360" s="149">
        <v>0</v>
      </c>
      <c r="I360" s="151">
        <v>42996</v>
      </c>
      <c r="J360" s="149" t="s">
        <v>2097</v>
      </c>
      <c r="K360" s="149" t="s">
        <v>177</v>
      </c>
      <c r="L360" s="149" t="s">
        <v>1687</v>
      </c>
      <c r="M360" s="149" t="s">
        <v>2564</v>
      </c>
      <c r="N360" s="149" t="s">
        <v>2565</v>
      </c>
      <c r="O360" s="149" t="s">
        <v>2095</v>
      </c>
      <c r="P360" s="149" t="s">
        <v>2095</v>
      </c>
      <c r="Q360" s="149" t="s">
        <v>2686</v>
      </c>
      <c r="R360" s="149" t="s">
        <v>2713</v>
      </c>
      <c r="S360" s="149">
        <v>4.3299999999999998E-2</v>
      </c>
      <c r="T360" s="149">
        <v>3.8671999999999984E-2</v>
      </c>
      <c r="U360" s="70">
        <f t="shared" si="12"/>
        <v>4.628000000000014E-3</v>
      </c>
      <c r="V360" s="149">
        <v>2.2959999999999998</v>
      </c>
      <c r="W360" s="149">
        <v>8.5239999999999991</v>
      </c>
      <c r="X360" s="149">
        <f t="shared" si="13"/>
        <v>19.571103999999995</v>
      </c>
      <c r="Y360" s="149"/>
    </row>
    <row r="361" spans="1:25" ht="16">
      <c r="A361" s="117" t="s">
        <v>3570</v>
      </c>
      <c r="B361" s="150" t="s">
        <v>370</v>
      </c>
      <c r="C361" s="149" t="s">
        <v>1744</v>
      </c>
      <c r="D361" s="149" t="str">
        <f t="shared" si="14"/>
        <v>COFFS</v>
      </c>
      <c r="E361" s="149" t="s">
        <v>2545</v>
      </c>
      <c r="F361" s="160">
        <v>-30.004933000000001</v>
      </c>
      <c r="G361" s="70">
        <v>153.09672599999999</v>
      </c>
      <c r="H361" s="149">
        <v>0</v>
      </c>
      <c r="I361" s="151">
        <v>42997</v>
      </c>
      <c r="J361" s="149" t="s">
        <v>2096</v>
      </c>
      <c r="K361" s="149" t="s">
        <v>177</v>
      </c>
      <c r="L361" s="149" t="s">
        <v>2566</v>
      </c>
      <c r="M361" s="149" t="s">
        <v>2567</v>
      </c>
      <c r="N361" s="149" t="s">
        <v>2668</v>
      </c>
      <c r="O361" s="140" t="s">
        <v>2600</v>
      </c>
      <c r="P361" s="149" t="s">
        <v>2735</v>
      </c>
      <c r="Q361" s="149" t="s">
        <v>2384</v>
      </c>
      <c r="R361" s="149" t="s">
        <v>2713</v>
      </c>
      <c r="S361" s="149">
        <v>4.8800000000000003E-2</v>
      </c>
      <c r="T361" s="149">
        <v>3.8671999999999984E-2</v>
      </c>
      <c r="U361" s="70">
        <f t="shared" si="12"/>
        <v>1.0128000000000019E-2</v>
      </c>
      <c r="V361" s="149">
        <v>3.0920000000000001</v>
      </c>
      <c r="W361" s="149">
        <f>5.728+5.932</f>
        <v>11.66</v>
      </c>
      <c r="X361" s="149">
        <f t="shared" si="13"/>
        <v>36.052720000000001</v>
      </c>
      <c r="Y361" s="149"/>
    </row>
    <row r="362" spans="1:25" ht="16">
      <c r="A362" s="117" t="s">
        <v>3570</v>
      </c>
      <c r="B362" s="150" t="s">
        <v>372</v>
      </c>
      <c r="C362" s="149" t="s">
        <v>1744</v>
      </c>
      <c r="D362" s="149" t="str">
        <f t="shared" si="14"/>
        <v>COFFS</v>
      </c>
      <c r="E362" s="149" t="s">
        <v>2545</v>
      </c>
      <c r="F362" s="160">
        <v>-30.004933000000001</v>
      </c>
      <c r="G362" s="70">
        <v>153.09672599999999</v>
      </c>
      <c r="H362" s="149">
        <v>0</v>
      </c>
      <c r="I362" s="151">
        <v>42985</v>
      </c>
      <c r="J362" s="149" t="s">
        <v>2098</v>
      </c>
      <c r="K362" s="149" t="s">
        <v>177</v>
      </c>
      <c r="L362" s="149" t="s">
        <v>2566</v>
      </c>
      <c r="M362" s="149" t="s">
        <v>2567</v>
      </c>
      <c r="N362" s="149" t="s">
        <v>2668</v>
      </c>
      <c r="O362" s="140" t="s">
        <v>2600</v>
      </c>
      <c r="P362" s="149" t="s">
        <v>2735</v>
      </c>
      <c r="Q362" s="149" t="s">
        <v>2384</v>
      </c>
      <c r="R362" s="149" t="s">
        <v>2713</v>
      </c>
      <c r="S362" s="149">
        <v>4.5699999999999998E-2</v>
      </c>
      <c r="T362" s="149">
        <v>3.8671999999999984E-2</v>
      </c>
      <c r="U362" s="70">
        <f t="shared" si="12"/>
        <v>7.0280000000000134E-3</v>
      </c>
      <c r="V362" s="149">
        <v>2.7610000000000001</v>
      </c>
      <c r="W362" s="149">
        <f>5.931+5.287</f>
        <v>11.218</v>
      </c>
      <c r="X362" s="149">
        <f t="shared" si="13"/>
        <v>30.972898000000001</v>
      </c>
      <c r="Y362" s="149"/>
    </row>
    <row r="363" spans="1:25" ht="16">
      <c r="A363" s="117" t="s">
        <v>3570</v>
      </c>
      <c r="B363" s="150" t="s">
        <v>373</v>
      </c>
      <c r="C363" s="149" t="s">
        <v>1744</v>
      </c>
      <c r="D363" s="149" t="str">
        <f t="shared" si="14"/>
        <v>COFFS</v>
      </c>
      <c r="E363" s="149" t="s">
        <v>2547</v>
      </c>
      <c r="F363" s="149">
        <v>-29.991299000000001</v>
      </c>
      <c r="G363" s="149">
        <v>153.143249</v>
      </c>
      <c r="H363" s="149">
        <v>0</v>
      </c>
      <c r="I363" s="151">
        <v>42990</v>
      </c>
      <c r="J363" s="149" t="s">
        <v>2097</v>
      </c>
      <c r="K363" s="149" t="s">
        <v>177</v>
      </c>
      <c r="L363" s="149" t="s">
        <v>1687</v>
      </c>
      <c r="M363" s="149" t="s">
        <v>2564</v>
      </c>
      <c r="N363" s="149" t="s">
        <v>2565</v>
      </c>
      <c r="O363" s="149" t="s">
        <v>2733</v>
      </c>
      <c r="P363" s="149" t="s">
        <v>2733</v>
      </c>
      <c r="Q363" s="149" t="s">
        <v>2381</v>
      </c>
      <c r="R363" s="149" t="s">
        <v>2713</v>
      </c>
      <c r="S363" s="149">
        <v>4.41E-2</v>
      </c>
      <c r="T363" s="149">
        <v>3.8671999999999984E-2</v>
      </c>
      <c r="U363" s="70">
        <f t="shared" si="12"/>
        <v>5.4280000000000161E-3</v>
      </c>
      <c r="V363" s="149">
        <v>2.427</v>
      </c>
      <c r="W363" s="149">
        <v>11.946999999999999</v>
      </c>
      <c r="X363" s="149">
        <f t="shared" si="13"/>
        <v>28.995369</v>
      </c>
      <c r="Y363" s="149"/>
    </row>
    <row r="364" spans="1:25" ht="16">
      <c r="A364" s="117" t="s">
        <v>3570</v>
      </c>
      <c r="B364" s="150" t="s">
        <v>374</v>
      </c>
      <c r="C364" s="149" t="s">
        <v>1744</v>
      </c>
      <c r="D364" s="149" t="str">
        <f t="shared" si="14"/>
        <v>COFFS</v>
      </c>
      <c r="E364" s="149" t="s">
        <v>2545</v>
      </c>
      <c r="F364" s="160">
        <v>-30.004933000000001</v>
      </c>
      <c r="G364" s="70">
        <v>153.09672599999999</v>
      </c>
      <c r="H364" s="149">
        <v>0</v>
      </c>
      <c r="I364" s="151">
        <v>42985</v>
      </c>
      <c r="J364" s="149" t="s">
        <v>2096</v>
      </c>
      <c r="K364" s="149" t="s">
        <v>177</v>
      </c>
      <c r="L364" s="149" t="s">
        <v>2566</v>
      </c>
      <c r="M364" s="149" t="s">
        <v>2567</v>
      </c>
      <c r="N364" s="149" t="s">
        <v>2668</v>
      </c>
      <c r="O364" s="140" t="s">
        <v>2600</v>
      </c>
      <c r="P364" s="149" t="s">
        <v>2735</v>
      </c>
      <c r="Q364" s="149" t="s">
        <v>2384</v>
      </c>
      <c r="R364" s="149" t="s">
        <v>2713</v>
      </c>
      <c r="S364" s="149">
        <v>4.65E-2</v>
      </c>
      <c r="T364" s="149">
        <v>3.8671999999999984E-2</v>
      </c>
      <c r="U364" s="70">
        <f t="shared" si="12"/>
        <v>7.8280000000000155E-3</v>
      </c>
      <c r="V364" s="149">
        <v>2.8420000000000001</v>
      </c>
      <c r="W364" s="149">
        <f>6.24+5.818</f>
        <v>12.058</v>
      </c>
      <c r="X364" s="149">
        <f t="shared" si="13"/>
        <v>34.268836</v>
      </c>
      <c r="Y364" s="149"/>
    </row>
    <row r="365" spans="1:25" ht="16">
      <c r="A365" s="117" t="s">
        <v>3570</v>
      </c>
      <c r="B365" s="150" t="s">
        <v>375</v>
      </c>
      <c r="C365" s="149" t="s">
        <v>1744</v>
      </c>
      <c r="D365" s="149" t="str">
        <f t="shared" si="14"/>
        <v>COFFS</v>
      </c>
      <c r="E365" s="149" t="s">
        <v>2545</v>
      </c>
      <c r="F365" s="160">
        <v>-30.004933000000001</v>
      </c>
      <c r="G365" s="70">
        <v>153.09672599999999</v>
      </c>
      <c r="H365" s="149">
        <v>0</v>
      </c>
      <c r="I365" s="151">
        <v>42985</v>
      </c>
      <c r="J365" s="149" t="s">
        <v>2096</v>
      </c>
      <c r="K365" s="149" t="s">
        <v>177</v>
      </c>
      <c r="L365" s="149" t="s">
        <v>2566</v>
      </c>
      <c r="M365" s="149" t="s">
        <v>2567</v>
      </c>
      <c r="N365" s="149" t="s">
        <v>2668</v>
      </c>
      <c r="O365" s="140" t="s">
        <v>2600</v>
      </c>
      <c r="P365" s="149" t="s">
        <v>2735</v>
      </c>
      <c r="Q365" s="149" t="s">
        <v>2384</v>
      </c>
      <c r="R365" s="149" t="s">
        <v>2713</v>
      </c>
      <c r="S365" s="149">
        <v>4.7600000000000003E-2</v>
      </c>
      <c r="T365" s="149">
        <v>3.8671999999999984E-2</v>
      </c>
      <c r="U365" s="70">
        <f t="shared" si="12"/>
        <v>8.9280000000000193E-3</v>
      </c>
      <c r="V365" s="149">
        <v>2.71</v>
      </c>
      <c r="W365" s="149">
        <f>6.392+5.864</f>
        <v>12.256</v>
      </c>
      <c r="X365" s="149">
        <f t="shared" si="13"/>
        <v>33.213760000000001</v>
      </c>
      <c r="Y365" s="149"/>
    </row>
    <row r="366" spans="1:25" ht="16">
      <c r="A366" s="117" t="s">
        <v>3570</v>
      </c>
      <c r="B366" s="150" t="s">
        <v>376</v>
      </c>
      <c r="C366" s="149" t="s">
        <v>1744</v>
      </c>
      <c r="D366" s="149" t="str">
        <f t="shared" si="14"/>
        <v>COFFS</v>
      </c>
      <c r="E366" s="149" t="s">
        <v>2545</v>
      </c>
      <c r="F366" s="160">
        <v>-30.004933000000001</v>
      </c>
      <c r="G366" s="70">
        <v>153.09672599999999</v>
      </c>
      <c r="H366" s="149">
        <v>0</v>
      </c>
      <c r="I366" s="151">
        <v>42985</v>
      </c>
      <c r="J366" s="149" t="s">
        <v>2096</v>
      </c>
      <c r="K366" s="149" t="s">
        <v>177</v>
      </c>
      <c r="L366" s="149" t="s">
        <v>2566</v>
      </c>
      <c r="M366" s="149" t="s">
        <v>2567</v>
      </c>
      <c r="N366" s="149" t="s">
        <v>2668</v>
      </c>
      <c r="O366" s="140" t="s">
        <v>2600</v>
      </c>
      <c r="P366" s="149" t="s">
        <v>2735</v>
      </c>
      <c r="Q366" s="149" t="s">
        <v>2384</v>
      </c>
      <c r="R366" s="149" t="s">
        <v>2713</v>
      </c>
      <c r="S366" s="149">
        <v>4.8399999999999999E-2</v>
      </c>
      <c r="T366" s="149">
        <v>3.8671999999999984E-2</v>
      </c>
      <c r="U366" s="70">
        <f t="shared" si="12"/>
        <v>9.7280000000000144E-3</v>
      </c>
      <c r="V366" s="149">
        <v>2.9420000000000002</v>
      </c>
      <c r="W366" s="149">
        <v>12.096</v>
      </c>
      <c r="X366" s="149">
        <f t="shared" si="13"/>
        <v>35.586432000000002</v>
      </c>
      <c r="Y366" s="149"/>
    </row>
    <row r="367" spans="1:25" ht="16">
      <c r="A367" s="117" t="s">
        <v>3570</v>
      </c>
      <c r="B367" s="150" t="s">
        <v>378</v>
      </c>
      <c r="C367" s="149" t="s">
        <v>1744</v>
      </c>
      <c r="D367" s="149" t="str">
        <f t="shared" si="14"/>
        <v>COFFS</v>
      </c>
      <c r="E367" s="149" t="s">
        <v>2547</v>
      </c>
      <c r="F367" s="149">
        <v>-29.991299000000001</v>
      </c>
      <c r="G367" s="149">
        <v>153.143249</v>
      </c>
      <c r="H367" s="149">
        <v>0</v>
      </c>
      <c r="I367" s="151">
        <v>42992</v>
      </c>
      <c r="J367" s="149" t="s">
        <v>2098</v>
      </c>
      <c r="K367" s="149" t="s">
        <v>177</v>
      </c>
      <c r="L367" s="149" t="s">
        <v>2566</v>
      </c>
      <c r="M367" s="149" t="s">
        <v>2567</v>
      </c>
      <c r="N367" s="149" t="s">
        <v>2668</v>
      </c>
      <c r="O367" s="140" t="s">
        <v>2600</v>
      </c>
      <c r="P367" s="149" t="s">
        <v>2735</v>
      </c>
      <c r="Q367" s="149" t="s">
        <v>2384</v>
      </c>
      <c r="R367" s="149" t="s">
        <v>2713</v>
      </c>
      <c r="S367" s="149">
        <v>4.6199999999999998E-2</v>
      </c>
      <c r="T367" s="149">
        <v>3.8671999999999984E-2</v>
      </c>
      <c r="U367" s="70">
        <f t="shared" si="12"/>
        <v>7.5280000000000138E-3</v>
      </c>
      <c r="V367" s="149">
        <v>2.9119999999999999</v>
      </c>
      <c r="W367" s="149">
        <f>6.235+5.889</f>
        <v>12.124000000000001</v>
      </c>
      <c r="X367" s="149">
        <f t="shared" si="13"/>
        <v>35.305087999999998</v>
      </c>
      <c r="Y367" s="149"/>
    </row>
    <row r="368" spans="1:25" ht="16">
      <c r="A368" s="117" t="s">
        <v>3570</v>
      </c>
      <c r="B368" s="150" t="s">
        <v>379</v>
      </c>
      <c r="C368" s="149" t="s">
        <v>1744</v>
      </c>
      <c r="D368" s="149" t="str">
        <f t="shared" si="14"/>
        <v>COFFS</v>
      </c>
      <c r="E368" s="149" t="s">
        <v>2548</v>
      </c>
      <c r="F368" s="149">
        <v>-30.012446000000001</v>
      </c>
      <c r="G368" s="149">
        <v>153.14997199999999</v>
      </c>
      <c r="H368" s="149">
        <v>0</v>
      </c>
      <c r="I368" s="151">
        <v>42992</v>
      </c>
      <c r="J368" s="149" t="s">
        <v>2097</v>
      </c>
      <c r="K368" s="149" t="s">
        <v>177</v>
      </c>
      <c r="L368" s="149" t="s">
        <v>1687</v>
      </c>
      <c r="M368" s="149" t="s">
        <v>2564</v>
      </c>
      <c r="N368" s="149" t="s">
        <v>2565</v>
      </c>
      <c r="O368" s="149" t="s">
        <v>2733</v>
      </c>
      <c r="P368" s="149" t="s">
        <v>2733</v>
      </c>
      <c r="Q368" s="149" t="s">
        <v>2381</v>
      </c>
      <c r="R368" s="149" t="s">
        <v>2713</v>
      </c>
      <c r="S368" s="149">
        <v>4.2999999999999997E-2</v>
      </c>
      <c r="T368" s="149">
        <v>3.8671999999999984E-2</v>
      </c>
      <c r="U368" s="70">
        <f t="shared" ref="U368:U431" si="15">S368-T368</f>
        <v>4.3280000000000124E-3</v>
      </c>
      <c r="V368" s="149">
        <v>2.294</v>
      </c>
      <c r="W368" s="149">
        <v>10.009</v>
      </c>
      <c r="X368" s="149">
        <f t="shared" ref="X368:X431" si="16">V368*W368</f>
        <v>22.960646000000001</v>
      </c>
      <c r="Y368" s="149"/>
    </row>
    <row r="369" spans="1:25" ht="16">
      <c r="A369" s="117" t="s">
        <v>3570</v>
      </c>
      <c r="B369" s="150" t="s">
        <v>380</v>
      </c>
      <c r="C369" s="149" t="s">
        <v>1744</v>
      </c>
      <c r="D369" s="149" t="str">
        <f t="shared" ref="D369:D394" si="17">LEFT(E369,5)</f>
        <v>COFFS</v>
      </c>
      <c r="E369" s="149" t="s">
        <v>2552</v>
      </c>
      <c r="F369" s="160">
        <v>-30.004933000000001</v>
      </c>
      <c r="G369" s="70">
        <v>153.09672599999999</v>
      </c>
      <c r="H369" s="149">
        <v>0</v>
      </c>
      <c r="I369" s="151">
        <v>42992</v>
      </c>
      <c r="J369" s="149" t="s">
        <v>2098</v>
      </c>
      <c r="K369" s="149" t="s">
        <v>177</v>
      </c>
      <c r="L369" s="149" t="s">
        <v>2566</v>
      </c>
      <c r="M369" s="149" t="s">
        <v>2567</v>
      </c>
      <c r="N369" s="149" t="s">
        <v>2668</v>
      </c>
      <c r="O369" s="140" t="s">
        <v>2600</v>
      </c>
      <c r="P369" s="149" t="s">
        <v>2735</v>
      </c>
      <c r="Q369" s="149" t="s">
        <v>2384</v>
      </c>
      <c r="R369" s="149" t="s">
        <v>2713</v>
      </c>
      <c r="S369" s="149">
        <v>4.6800000000000001E-2</v>
      </c>
      <c r="T369" s="149">
        <v>3.8671999999999984E-2</v>
      </c>
      <c r="U369" s="70">
        <f t="shared" si="15"/>
        <v>8.1280000000000172E-3</v>
      </c>
      <c r="V369" s="149">
        <v>2.66</v>
      </c>
      <c r="W369" s="149">
        <f>5.897+6.149</f>
        <v>12.045999999999999</v>
      </c>
      <c r="X369" s="149">
        <f t="shared" si="16"/>
        <v>32.042360000000002</v>
      </c>
      <c r="Y369" s="149"/>
    </row>
    <row r="370" spans="1:25" ht="16">
      <c r="A370" s="117" t="s">
        <v>3570</v>
      </c>
      <c r="B370" s="150" t="s">
        <v>381</v>
      </c>
      <c r="C370" s="149" t="s">
        <v>1744</v>
      </c>
      <c r="D370" s="149" t="str">
        <f t="shared" si="17"/>
        <v>COFFS</v>
      </c>
      <c r="E370" s="149" t="s">
        <v>2548</v>
      </c>
      <c r="F370" s="149">
        <v>-30.012446000000001</v>
      </c>
      <c r="G370" s="149">
        <v>153.14997199999999</v>
      </c>
      <c r="H370" s="149">
        <v>0</v>
      </c>
      <c r="I370" s="151">
        <v>42992</v>
      </c>
      <c r="J370" s="149" t="s">
        <v>2097</v>
      </c>
      <c r="K370" s="149" t="s">
        <v>177</v>
      </c>
      <c r="L370" s="149" t="s">
        <v>1687</v>
      </c>
      <c r="M370" s="149" t="s">
        <v>2564</v>
      </c>
      <c r="N370" s="149" t="s">
        <v>2565</v>
      </c>
      <c r="O370" s="149" t="s">
        <v>2095</v>
      </c>
      <c r="P370" s="149" t="s">
        <v>2095</v>
      </c>
      <c r="Q370" s="149" t="s">
        <v>2686</v>
      </c>
      <c r="R370" s="149" t="s">
        <v>2713</v>
      </c>
      <c r="S370" s="149">
        <v>4.7600000000000003E-2</v>
      </c>
      <c r="T370" s="149">
        <v>3.8671999999999984E-2</v>
      </c>
      <c r="U370" s="70">
        <f t="shared" si="15"/>
        <v>8.9280000000000193E-3</v>
      </c>
      <c r="V370" s="149">
        <v>2.7149999999999999</v>
      </c>
      <c r="W370" s="149">
        <v>11.81</v>
      </c>
      <c r="X370" s="149">
        <f t="shared" si="16"/>
        <v>32.064149999999998</v>
      </c>
      <c r="Y370" s="149"/>
    </row>
    <row r="371" spans="1:25" ht="16">
      <c r="A371" s="117" t="s">
        <v>3570</v>
      </c>
      <c r="B371" s="150" t="s">
        <v>382</v>
      </c>
      <c r="C371" s="149" t="s">
        <v>1744</v>
      </c>
      <c r="D371" s="149" t="str">
        <f t="shared" si="17"/>
        <v>COFFS</v>
      </c>
      <c r="E371" s="149" t="s">
        <v>2548</v>
      </c>
      <c r="F371" s="149">
        <v>-30.012446000000001</v>
      </c>
      <c r="G371" s="149">
        <v>153.14997199999999</v>
      </c>
      <c r="H371" s="149">
        <v>0</v>
      </c>
      <c r="I371" s="151">
        <v>42992</v>
      </c>
      <c r="J371" s="149" t="s">
        <v>2097</v>
      </c>
      <c r="K371" s="149" t="s">
        <v>177</v>
      </c>
      <c r="L371" s="149" t="s">
        <v>1687</v>
      </c>
      <c r="M371" s="149" t="s">
        <v>2564</v>
      </c>
      <c r="N371" s="149" t="s">
        <v>2565</v>
      </c>
      <c r="O371" s="149" t="s">
        <v>2733</v>
      </c>
      <c r="P371" s="149" t="s">
        <v>2733</v>
      </c>
      <c r="Q371" s="149" t="s">
        <v>2381</v>
      </c>
      <c r="R371" s="149" t="s">
        <v>2713</v>
      </c>
      <c r="S371" s="149">
        <v>4.3200000000000002E-2</v>
      </c>
      <c r="T371" s="149">
        <v>3.8671999999999984E-2</v>
      </c>
      <c r="U371" s="70">
        <f t="shared" si="15"/>
        <v>4.5280000000000181E-3</v>
      </c>
      <c r="V371" s="149">
        <v>2.1800000000000002</v>
      </c>
      <c r="W371" s="149">
        <v>9.2219999999999995</v>
      </c>
      <c r="X371" s="149">
        <f t="shared" si="16"/>
        <v>20.103960000000001</v>
      </c>
      <c r="Y371" s="149"/>
    </row>
    <row r="372" spans="1:25" ht="16">
      <c r="A372" s="117" t="s">
        <v>3570</v>
      </c>
      <c r="B372" s="150" t="s">
        <v>383</v>
      </c>
      <c r="C372" s="149" t="s">
        <v>1744</v>
      </c>
      <c r="D372" s="149" t="str">
        <f t="shared" si="17"/>
        <v>COFFS</v>
      </c>
      <c r="E372" s="149" t="s">
        <v>2547</v>
      </c>
      <c r="F372" s="149">
        <v>-29.991299000000001</v>
      </c>
      <c r="G372" s="149">
        <v>153.143249</v>
      </c>
      <c r="H372" s="149">
        <v>0</v>
      </c>
      <c r="I372" s="151">
        <v>42979</v>
      </c>
      <c r="J372" s="149" t="s">
        <v>2098</v>
      </c>
      <c r="K372" s="149" t="s">
        <v>177</v>
      </c>
      <c r="L372" s="149" t="s">
        <v>2566</v>
      </c>
      <c r="M372" s="149" t="s">
        <v>2567</v>
      </c>
      <c r="N372" s="149" t="s">
        <v>2668</v>
      </c>
      <c r="O372" s="140" t="s">
        <v>2600</v>
      </c>
      <c r="P372" s="149" t="s">
        <v>2735</v>
      </c>
      <c r="Q372" s="149" t="s">
        <v>2384</v>
      </c>
      <c r="R372" s="149" t="s">
        <v>2713</v>
      </c>
      <c r="S372" s="149">
        <v>4.82E-2</v>
      </c>
      <c r="T372" s="149">
        <v>3.8671999999999984E-2</v>
      </c>
      <c r="U372" s="70">
        <f t="shared" si="15"/>
        <v>9.5280000000000156E-3</v>
      </c>
      <c r="V372" s="149">
        <v>2.92</v>
      </c>
      <c r="W372" s="149">
        <v>11.795</v>
      </c>
      <c r="X372" s="149">
        <f t="shared" si="16"/>
        <v>34.441400000000002</v>
      </c>
      <c r="Y372" s="149"/>
    </row>
    <row r="373" spans="1:25" ht="16">
      <c r="A373" s="117" t="s">
        <v>3570</v>
      </c>
      <c r="B373" s="150" t="s">
        <v>384</v>
      </c>
      <c r="C373" s="149" t="s">
        <v>1744</v>
      </c>
      <c r="D373" s="149" t="str">
        <f t="shared" si="17"/>
        <v>COFFS</v>
      </c>
      <c r="E373" s="149" t="s">
        <v>2548</v>
      </c>
      <c r="F373" s="149">
        <v>-30.012446000000001</v>
      </c>
      <c r="G373" s="149">
        <v>153.14997199999999</v>
      </c>
      <c r="H373" s="149">
        <v>0</v>
      </c>
      <c r="I373" s="151">
        <v>42992</v>
      </c>
      <c r="J373" s="149" t="s">
        <v>2098</v>
      </c>
      <c r="K373" s="149" t="s">
        <v>177</v>
      </c>
      <c r="L373" s="149" t="s">
        <v>2566</v>
      </c>
      <c r="M373" s="149" t="s">
        <v>2567</v>
      </c>
      <c r="N373" s="149" t="s">
        <v>2668</v>
      </c>
      <c r="O373" s="140" t="s">
        <v>2600</v>
      </c>
      <c r="P373" s="149" t="s">
        <v>2735</v>
      </c>
      <c r="Q373" s="149" t="s">
        <v>2384</v>
      </c>
      <c r="R373" s="149" t="s">
        <v>2713</v>
      </c>
      <c r="S373" s="149">
        <v>4.1000000000000002E-2</v>
      </c>
      <c r="T373" s="149">
        <v>3.8671999999999984E-2</v>
      </c>
      <c r="U373" s="70">
        <f t="shared" si="15"/>
        <v>2.3280000000000176E-3</v>
      </c>
      <c r="V373" s="149">
        <v>2.2320000000000002</v>
      </c>
      <c r="W373" s="149">
        <f>5.023+4.988</f>
        <v>10.010999999999999</v>
      </c>
      <c r="X373" s="149">
        <f t="shared" si="16"/>
        <v>22.344552</v>
      </c>
      <c r="Y373" s="149"/>
    </row>
    <row r="374" spans="1:25" ht="16">
      <c r="A374" s="117" t="s">
        <v>3570</v>
      </c>
      <c r="B374" s="150" t="s">
        <v>386</v>
      </c>
      <c r="C374" s="149" t="s">
        <v>1744</v>
      </c>
      <c r="D374" s="149" t="str">
        <f t="shared" si="17"/>
        <v>COFFS</v>
      </c>
      <c r="E374" s="149" t="s">
        <v>2545</v>
      </c>
      <c r="F374" s="160">
        <v>-30.004933000000001</v>
      </c>
      <c r="G374" s="70">
        <v>153.09672599999999</v>
      </c>
      <c r="H374" s="149">
        <v>0</v>
      </c>
      <c r="I374" s="151">
        <v>42985</v>
      </c>
      <c r="J374" s="149" t="s">
        <v>2098</v>
      </c>
      <c r="K374" s="149" t="s">
        <v>177</v>
      </c>
      <c r="L374" s="149" t="s">
        <v>2566</v>
      </c>
      <c r="M374" s="149" t="s">
        <v>2567</v>
      </c>
      <c r="N374" s="149" t="s">
        <v>2668</v>
      </c>
      <c r="O374" s="140" t="s">
        <v>2600</v>
      </c>
      <c r="P374" s="149" t="s">
        <v>2735</v>
      </c>
      <c r="Q374" s="149" t="s">
        <v>2384</v>
      </c>
      <c r="R374" s="149" t="s">
        <v>2713</v>
      </c>
      <c r="S374" s="149">
        <v>4.5999999999999999E-2</v>
      </c>
      <c r="T374" s="149">
        <v>3.8671999999999984E-2</v>
      </c>
      <c r="U374" s="70">
        <f t="shared" si="15"/>
        <v>7.3280000000000151E-3</v>
      </c>
      <c r="V374" s="149">
        <v>2.6080000000000001</v>
      </c>
      <c r="W374" s="149">
        <f>4.815+5.556</f>
        <v>10.371</v>
      </c>
      <c r="X374" s="149">
        <f t="shared" si="16"/>
        <v>27.047568000000002</v>
      </c>
      <c r="Y374" s="149"/>
    </row>
    <row r="375" spans="1:25" ht="16">
      <c r="A375" s="117" t="s">
        <v>3570</v>
      </c>
      <c r="B375" s="150" t="s">
        <v>387</v>
      </c>
      <c r="C375" s="149" t="s">
        <v>1744</v>
      </c>
      <c r="D375" s="149" t="str">
        <f t="shared" si="17"/>
        <v>COFFS</v>
      </c>
      <c r="E375" s="149" t="s">
        <v>2548</v>
      </c>
      <c r="F375" s="149">
        <v>-30.012446000000001</v>
      </c>
      <c r="G375" s="149">
        <v>153.14997199999999</v>
      </c>
      <c r="H375" s="149">
        <v>0</v>
      </c>
      <c r="I375" s="151">
        <v>42992</v>
      </c>
      <c r="J375" s="149" t="s">
        <v>2098</v>
      </c>
      <c r="K375" s="149" t="s">
        <v>177</v>
      </c>
      <c r="L375" s="149" t="s">
        <v>2566</v>
      </c>
      <c r="M375" s="149" t="s">
        <v>2567</v>
      </c>
      <c r="N375" s="149" t="s">
        <v>2668</v>
      </c>
      <c r="O375" s="140" t="s">
        <v>2600</v>
      </c>
      <c r="P375" s="149" t="s">
        <v>2735</v>
      </c>
      <c r="Q375" s="149" t="s">
        <v>2384</v>
      </c>
      <c r="R375" s="149" t="s">
        <v>2713</v>
      </c>
      <c r="S375" s="149">
        <v>4.99E-2</v>
      </c>
      <c r="T375" s="149">
        <v>3.8671999999999984E-2</v>
      </c>
      <c r="U375" s="70">
        <f t="shared" si="15"/>
        <v>1.1228000000000016E-2</v>
      </c>
      <c r="V375" s="149">
        <v>2.923</v>
      </c>
      <c r="W375" s="149">
        <f>6.171+5.963</f>
        <v>12.134</v>
      </c>
      <c r="X375" s="149">
        <f t="shared" si="16"/>
        <v>35.467682000000003</v>
      </c>
      <c r="Y375" s="149"/>
    </row>
    <row r="376" spans="1:25" ht="16">
      <c r="A376" s="117" t="s">
        <v>3570</v>
      </c>
      <c r="B376" s="150" t="s">
        <v>388</v>
      </c>
      <c r="C376" s="149" t="s">
        <v>1744</v>
      </c>
      <c r="D376" s="149" t="str">
        <f t="shared" si="17"/>
        <v>COFFS</v>
      </c>
      <c r="E376" s="149" t="s">
        <v>2548</v>
      </c>
      <c r="F376" s="149">
        <v>-30.012446000000001</v>
      </c>
      <c r="G376" s="149">
        <v>153.14997199999999</v>
      </c>
      <c r="H376" s="149">
        <v>0</v>
      </c>
      <c r="I376" s="151">
        <v>42992</v>
      </c>
      <c r="J376" s="149" t="s">
        <v>2097</v>
      </c>
      <c r="K376" s="149" t="s">
        <v>177</v>
      </c>
      <c r="L376" s="149" t="s">
        <v>1687</v>
      </c>
      <c r="M376" s="149" t="s">
        <v>2564</v>
      </c>
      <c r="N376" s="149" t="s">
        <v>2565</v>
      </c>
      <c r="O376" s="149" t="s">
        <v>2733</v>
      </c>
      <c r="P376" s="149" t="s">
        <v>2733</v>
      </c>
      <c r="Q376" s="149" t="s">
        <v>2381</v>
      </c>
      <c r="R376" s="149" t="s">
        <v>2713</v>
      </c>
      <c r="S376" s="149">
        <v>4.2200000000000001E-2</v>
      </c>
      <c r="T376" s="149">
        <v>3.8671999999999984E-2</v>
      </c>
      <c r="U376" s="70">
        <f t="shared" si="15"/>
        <v>3.5280000000000172E-3</v>
      </c>
      <c r="V376" s="149">
        <v>2.3199999999999998</v>
      </c>
      <c r="W376" s="149">
        <v>9.968</v>
      </c>
      <c r="X376" s="149">
        <f t="shared" si="16"/>
        <v>23.12576</v>
      </c>
      <c r="Y376" s="149"/>
    </row>
    <row r="377" spans="1:25" ht="16">
      <c r="A377" s="117" t="s">
        <v>3570</v>
      </c>
      <c r="B377" s="150" t="s">
        <v>389</v>
      </c>
      <c r="C377" s="149" t="s">
        <v>1744</v>
      </c>
      <c r="D377" s="149" t="str">
        <f t="shared" si="17"/>
        <v>COFFS</v>
      </c>
      <c r="E377" s="149" t="s">
        <v>2547</v>
      </c>
      <c r="F377" s="149">
        <v>-29.991299000000001</v>
      </c>
      <c r="G377" s="149">
        <v>153.143249</v>
      </c>
      <c r="H377" s="149">
        <v>0</v>
      </c>
      <c r="I377" s="151">
        <v>42990</v>
      </c>
      <c r="J377" s="149" t="s">
        <v>2098</v>
      </c>
      <c r="K377" s="149" t="s">
        <v>177</v>
      </c>
      <c r="L377" s="149" t="s">
        <v>2566</v>
      </c>
      <c r="M377" s="149" t="s">
        <v>2574</v>
      </c>
      <c r="N377" s="140" t="s">
        <v>3191</v>
      </c>
      <c r="O377" s="149" t="s">
        <v>2111</v>
      </c>
      <c r="P377" s="149" t="s">
        <v>2739</v>
      </c>
      <c r="Q377" s="149" t="s">
        <v>2399</v>
      </c>
      <c r="R377" s="149" t="s">
        <v>2713</v>
      </c>
      <c r="S377" s="149">
        <v>7.1900000000000006E-2</v>
      </c>
      <c r="T377" s="149">
        <v>3.8671999999999984E-2</v>
      </c>
      <c r="U377" s="70">
        <f t="shared" si="15"/>
        <v>3.3228000000000021E-2</v>
      </c>
      <c r="V377" s="149">
        <v>4.0940000000000003</v>
      </c>
      <c r="W377" s="149">
        <f>7.421+8.002</f>
        <v>15.423000000000002</v>
      </c>
      <c r="X377" s="149">
        <f t="shared" si="16"/>
        <v>63.141762000000014</v>
      </c>
      <c r="Y377" s="149"/>
    </row>
    <row r="378" spans="1:25" ht="16">
      <c r="A378" s="117" t="s">
        <v>3570</v>
      </c>
      <c r="B378" s="150" t="s">
        <v>390</v>
      </c>
      <c r="C378" s="149" t="s">
        <v>1744</v>
      </c>
      <c r="D378" s="149" t="str">
        <f t="shared" si="17"/>
        <v>COFFS</v>
      </c>
      <c r="E378" s="149" t="s">
        <v>2548</v>
      </c>
      <c r="F378" s="149">
        <v>-30.012446000000001</v>
      </c>
      <c r="G378" s="149">
        <v>153.14997199999999</v>
      </c>
      <c r="H378" s="149">
        <v>0</v>
      </c>
      <c r="I378" s="151">
        <v>42990</v>
      </c>
      <c r="J378" s="149" t="s">
        <v>2099</v>
      </c>
      <c r="K378" s="149" t="s">
        <v>177</v>
      </c>
      <c r="L378" s="149" t="s">
        <v>2566</v>
      </c>
      <c r="M378" s="149" t="s">
        <v>2567</v>
      </c>
      <c r="N378" s="149" t="s">
        <v>2668</v>
      </c>
      <c r="O378" s="140" t="s">
        <v>2600</v>
      </c>
      <c r="P378" s="149" t="s">
        <v>2735</v>
      </c>
      <c r="Q378" s="149" t="s">
        <v>2384</v>
      </c>
      <c r="R378" s="149" t="s">
        <v>2713</v>
      </c>
      <c r="S378" s="149">
        <v>4.7E-2</v>
      </c>
      <c r="T378" s="149">
        <v>3.8671999999999984E-2</v>
      </c>
      <c r="U378" s="70">
        <f t="shared" si="15"/>
        <v>8.3280000000000159E-3</v>
      </c>
      <c r="V378" s="149">
        <v>2.6739999999999999</v>
      </c>
      <c r="W378" s="149">
        <f>6.258+5.718</f>
        <v>11.975999999999999</v>
      </c>
      <c r="X378" s="149">
        <f t="shared" si="16"/>
        <v>32.023823999999998</v>
      </c>
      <c r="Y378" s="149"/>
    </row>
    <row r="379" spans="1:25" ht="16">
      <c r="A379" s="117" t="s">
        <v>3570</v>
      </c>
      <c r="B379" s="150" t="s">
        <v>391</v>
      </c>
      <c r="C379" s="149" t="s">
        <v>1744</v>
      </c>
      <c r="D379" s="149" t="str">
        <f t="shared" si="17"/>
        <v>COFFS</v>
      </c>
      <c r="E379" s="149" t="s">
        <v>2552</v>
      </c>
      <c r="F379" s="160">
        <v>-30.004933000000001</v>
      </c>
      <c r="G379" s="70">
        <v>153.09672599999999</v>
      </c>
      <c r="H379" s="149">
        <v>0</v>
      </c>
      <c r="I379" s="151">
        <v>42990</v>
      </c>
      <c r="J379" s="149" t="s">
        <v>2098</v>
      </c>
      <c r="K379" s="149" t="s">
        <v>177</v>
      </c>
      <c r="L379" s="149" t="s">
        <v>2566</v>
      </c>
      <c r="M379" s="149" t="s">
        <v>2567</v>
      </c>
      <c r="N379" s="149" t="s">
        <v>2668</v>
      </c>
      <c r="O379" s="140" t="s">
        <v>2600</v>
      </c>
      <c r="P379" s="149" t="s">
        <v>2735</v>
      </c>
      <c r="Q379" s="149" t="s">
        <v>2384</v>
      </c>
      <c r="R379" s="149" t="s">
        <v>2713</v>
      </c>
      <c r="S379" s="149">
        <v>4.9399999999999999E-2</v>
      </c>
      <c r="T379" s="149">
        <v>3.8671999999999984E-2</v>
      </c>
      <c r="U379" s="70">
        <f t="shared" si="15"/>
        <v>1.0728000000000015E-2</v>
      </c>
      <c r="V379" s="149">
        <v>3.044</v>
      </c>
      <c r="W379" s="149">
        <f>6.224+6.448</f>
        <v>12.672000000000001</v>
      </c>
      <c r="X379" s="149">
        <f t="shared" si="16"/>
        <v>38.573568000000002</v>
      </c>
      <c r="Y379" s="149"/>
    </row>
    <row r="380" spans="1:25" ht="16">
      <c r="A380" s="117" t="s">
        <v>3570</v>
      </c>
      <c r="B380" s="150" t="s">
        <v>392</v>
      </c>
      <c r="C380" s="149" t="s">
        <v>1744</v>
      </c>
      <c r="D380" s="149" t="str">
        <f t="shared" si="17"/>
        <v>COFFS</v>
      </c>
      <c r="E380" s="149" t="s">
        <v>2547</v>
      </c>
      <c r="F380" s="149">
        <v>-29.991299000000001</v>
      </c>
      <c r="G380" s="149">
        <v>153.143249</v>
      </c>
      <c r="H380" s="149">
        <v>0</v>
      </c>
      <c r="I380" s="151">
        <v>42990</v>
      </c>
      <c r="J380" s="149" t="s">
        <v>2097</v>
      </c>
      <c r="K380" s="149" t="s">
        <v>177</v>
      </c>
      <c r="L380" s="149" t="s">
        <v>1687</v>
      </c>
      <c r="M380" s="149" t="s">
        <v>2564</v>
      </c>
      <c r="N380" s="149" t="s">
        <v>2577</v>
      </c>
      <c r="O380" s="149" t="s">
        <v>2742</v>
      </c>
      <c r="P380" s="149" t="s">
        <v>2740</v>
      </c>
      <c r="Q380" s="149" t="s">
        <v>2389</v>
      </c>
      <c r="R380" s="149" t="s">
        <v>2712</v>
      </c>
      <c r="S380" s="149">
        <v>0.1235</v>
      </c>
      <c r="T380" s="149">
        <v>3.8671999999999984E-2</v>
      </c>
      <c r="U380" s="70">
        <f t="shared" si="15"/>
        <v>8.4828000000000015E-2</v>
      </c>
      <c r="V380" s="149">
        <v>8.5466999999999995</v>
      </c>
      <c r="W380" s="149">
        <f>14.027+10.848</f>
        <v>24.875</v>
      </c>
      <c r="X380" s="149">
        <f t="shared" si="16"/>
        <v>212.59916249999998</v>
      </c>
      <c r="Y380" s="149"/>
    </row>
    <row r="381" spans="1:25" ht="16">
      <c r="A381" s="117" t="s">
        <v>3570</v>
      </c>
      <c r="B381" s="150" t="s">
        <v>393</v>
      </c>
      <c r="C381" s="149" t="s">
        <v>1744</v>
      </c>
      <c r="D381" s="149" t="str">
        <f t="shared" si="17"/>
        <v>COFFS</v>
      </c>
      <c r="E381" s="149" t="s">
        <v>2548</v>
      </c>
      <c r="F381" s="149">
        <v>-30.012446000000001</v>
      </c>
      <c r="G381" s="149">
        <v>153.14997199999999</v>
      </c>
      <c r="H381" s="149">
        <v>0</v>
      </c>
      <c r="I381" s="151">
        <v>42990</v>
      </c>
      <c r="J381" s="149" t="s">
        <v>2097</v>
      </c>
      <c r="K381" s="149" t="s">
        <v>177</v>
      </c>
      <c r="L381" s="149" t="s">
        <v>1687</v>
      </c>
      <c r="M381" s="149" t="s">
        <v>2564</v>
      </c>
      <c r="N381" s="149" t="s">
        <v>2565</v>
      </c>
      <c r="O381" s="149" t="s">
        <v>2733</v>
      </c>
      <c r="P381" s="149" t="s">
        <v>2733</v>
      </c>
      <c r="Q381" s="149" t="s">
        <v>2381</v>
      </c>
      <c r="R381" s="149" t="s">
        <v>2713</v>
      </c>
      <c r="S381" s="149">
        <v>4.2999999999999997E-2</v>
      </c>
      <c r="T381" s="149">
        <v>3.8671999999999984E-2</v>
      </c>
      <c r="U381" s="70">
        <f t="shared" si="15"/>
        <v>4.3280000000000124E-3</v>
      </c>
      <c r="V381" s="149">
        <v>2.2290000000000001</v>
      </c>
      <c r="W381" s="149">
        <f>4.701+5.398</f>
        <v>10.099</v>
      </c>
      <c r="X381" s="149">
        <f t="shared" si="16"/>
        <v>22.510671000000002</v>
      </c>
      <c r="Y381" s="149"/>
    </row>
    <row r="382" spans="1:25" ht="16">
      <c r="A382" s="117" t="s">
        <v>3570</v>
      </c>
      <c r="B382" s="150" t="s">
        <v>394</v>
      </c>
      <c r="C382" s="149" t="s">
        <v>1744</v>
      </c>
      <c r="D382" s="149" t="str">
        <f t="shared" si="17"/>
        <v>COFFS</v>
      </c>
      <c r="E382" s="149" t="s">
        <v>2548</v>
      </c>
      <c r="F382" s="149">
        <v>-30.012446000000001</v>
      </c>
      <c r="G382" s="149">
        <v>153.14997199999999</v>
      </c>
      <c r="H382" s="149">
        <v>0</v>
      </c>
      <c r="I382" s="151">
        <v>42990</v>
      </c>
      <c r="J382" s="149" t="s">
        <v>2097</v>
      </c>
      <c r="K382" s="149" t="s">
        <v>177</v>
      </c>
      <c r="L382" s="149" t="s">
        <v>1687</v>
      </c>
      <c r="M382" s="149" t="s">
        <v>2564</v>
      </c>
      <c r="N382" s="149" t="s">
        <v>2565</v>
      </c>
      <c r="O382" s="149" t="s">
        <v>2095</v>
      </c>
      <c r="P382" s="149" t="s">
        <v>2095</v>
      </c>
      <c r="Q382" s="149" t="s">
        <v>2686</v>
      </c>
      <c r="R382" s="149" t="s">
        <v>2713</v>
      </c>
      <c r="S382" s="149">
        <v>4.24E-2</v>
      </c>
      <c r="T382" s="149">
        <v>3.8671999999999984E-2</v>
      </c>
      <c r="U382" s="70">
        <f t="shared" si="15"/>
        <v>3.728000000000016E-3</v>
      </c>
      <c r="V382" s="149">
        <v>1.889</v>
      </c>
      <c r="W382" s="149">
        <v>9.3119999999999994</v>
      </c>
      <c r="X382" s="149">
        <f t="shared" si="16"/>
        <v>17.590367999999998</v>
      </c>
      <c r="Y382" s="149"/>
    </row>
    <row r="383" spans="1:25" ht="16">
      <c r="A383" s="117" t="s">
        <v>3570</v>
      </c>
      <c r="B383" s="150" t="s">
        <v>395</v>
      </c>
      <c r="C383" s="149" t="s">
        <v>1744</v>
      </c>
      <c r="D383" s="149" t="str">
        <f t="shared" si="17"/>
        <v>COFFS</v>
      </c>
      <c r="E383" s="149" t="s">
        <v>2552</v>
      </c>
      <c r="F383" s="160">
        <v>-30.004933000000001</v>
      </c>
      <c r="G383" s="70">
        <v>153.09672599999999</v>
      </c>
      <c r="H383" s="149">
        <v>0</v>
      </c>
      <c r="I383" s="151">
        <v>42990</v>
      </c>
      <c r="J383" s="149" t="s">
        <v>2098</v>
      </c>
      <c r="K383" s="149" t="s">
        <v>177</v>
      </c>
      <c r="L383" s="149" t="s">
        <v>2566</v>
      </c>
      <c r="M383" s="149" t="s">
        <v>2567</v>
      </c>
      <c r="N383" s="149" t="s">
        <v>2668</v>
      </c>
      <c r="O383" s="140" t="s">
        <v>2600</v>
      </c>
      <c r="P383" s="149" t="s">
        <v>2735</v>
      </c>
      <c r="Q383" s="149" t="s">
        <v>2384</v>
      </c>
      <c r="R383" s="149" t="s">
        <v>2713</v>
      </c>
      <c r="S383" s="149">
        <v>4.4999999999999998E-2</v>
      </c>
      <c r="T383" s="149">
        <v>3.8671999999999984E-2</v>
      </c>
      <c r="U383" s="70">
        <f t="shared" si="15"/>
        <v>6.3280000000000142E-3</v>
      </c>
      <c r="V383" s="149">
        <v>2.6080000000000001</v>
      </c>
      <c r="W383" s="149">
        <f>5.851+5.702</f>
        <v>11.553000000000001</v>
      </c>
      <c r="X383" s="149">
        <f t="shared" si="16"/>
        <v>30.130224000000002</v>
      </c>
      <c r="Y383" s="149"/>
    </row>
    <row r="384" spans="1:25" ht="16">
      <c r="A384" s="117" t="s">
        <v>3570</v>
      </c>
      <c r="B384" s="150" t="s">
        <v>396</v>
      </c>
      <c r="C384" s="149" t="s">
        <v>1744</v>
      </c>
      <c r="D384" s="149" t="str">
        <f t="shared" si="17"/>
        <v>COFFS</v>
      </c>
      <c r="E384" s="149" t="s">
        <v>2547</v>
      </c>
      <c r="F384" s="149">
        <v>-29.991299000000001</v>
      </c>
      <c r="G384" s="149">
        <v>153.143249</v>
      </c>
      <c r="H384" s="149">
        <v>0</v>
      </c>
      <c r="I384" s="151">
        <v>42991</v>
      </c>
      <c r="J384" s="149" t="s">
        <v>2097</v>
      </c>
      <c r="K384" s="149" t="s">
        <v>177</v>
      </c>
      <c r="L384" s="149" t="s">
        <v>1687</v>
      </c>
      <c r="M384" s="149" t="s">
        <v>2564</v>
      </c>
      <c r="N384" s="149" t="s">
        <v>2577</v>
      </c>
      <c r="O384" s="149" t="s">
        <v>2742</v>
      </c>
      <c r="P384" s="149" t="s">
        <v>2740</v>
      </c>
      <c r="Q384" s="149" t="s">
        <v>2389</v>
      </c>
      <c r="R384" s="149" t="s">
        <v>2713</v>
      </c>
      <c r="S384" s="149">
        <v>0.16220000000000001</v>
      </c>
      <c r="T384" s="149">
        <v>3.8671999999999984E-2</v>
      </c>
      <c r="U384" s="70">
        <f t="shared" si="15"/>
        <v>0.12352800000000003</v>
      </c>
      <c r="V384" s="149">
        <v>7.9470000000000001</v>
      </c>
      <c r="W384" s="149">
        <f>12.056+14.546</f>
        <v>26.601999999999997</v>
      </c>
      <c r="X384" s="149">
        <f t="shared" si="16"/>
        <v>211.40609399999997</v>
      </c>
      <c r="Y384" s="149"/>
    </row>
    <row r="385" spans="1:25" ht="16">
      <c r="A385" s="117" t="s">
        <v>3570</v>
      </c>
      <c r="B385" s="150" t="s">
        <v>397</v>
      </c>
      <c r="C385" s="149" t="s">
        <v>1744</v>
      </c>
      <c r="D385" s="149" t="str">
        <f t="shared" si="17"/>
        <v>COFFS</v>
      </c>
      <c r="E385" s="149" t="s">
        <v>2547</v>
      </c>
      <c r="F385" s="149">
        <v>-29.991299000000001</v>
      </c>
      <c r="G385" s="149">
        <v>153.143249</v>
      </c>
      <c r="H385" s="149">
        <v>0</v>
      </c>
      <c r="I385" s="151">
        <v>42991</v>
      </c>
      <c r="J385" s="149" t="s">
        <v>2097</v>
      </c>
      <c r="K385" s="149" t="s">
        <v>177</v>
      </c>
      <c r="L385" s="149" t="s">
        <v>1687</v>
      </c>
      <c r="M385" s="149" t="s">
        <v>2564</v>
      </c>
      <c r="N385" s="149" t="s">
        <v>2577</v>
      </c>
      <c r="O385" s="149" t="s">
        <v>2742</v>
      </c>
      <c r="P385" s="149" t="s">
        <v>2740</v>
      </c>
      <c r="Q385" s="149" t="s">
        <v>2389</v>
      </c>
      <c r="R385" s="149" t="s">
        <v>2713</v>
      </c>
      <c r="S385" s="149">
        <v>0.14799999999999999</v>
      </c>
      <c r="T385" s="149">
        <v>3.8671999999999984E-2</v>
      </c>
      <c r="U385" s="70">
        <f t="shared" si="15"/>
        <v>0.10932800000000001</v>
      </c>
      <c r="V385" s="149">
        <v>6.9</v>
      </c>
      <c r="W385" s="149">
        <f>10.558+13.779</f>
        <v>24.337</v>
      </c>
      <c r="X385" s="149">
        <f t="shared" si="16"/>
        <v>167.92529999999999</v>
      </c>
      <c r="Y385" s="149"/>
    </row>
    <row r="386" spans="1:25" ht="16">
      <c r="A386" s="117" t="s">
        <v>3570</v>
      </c>
      <c r="B386" s="150" t="s">
        <v>398</v>
      </c>
      <c r="C386" s="149" t="s">
        <v>1744</v>
      </c>
      <c r="D386" s="149" t="str">
        <f t="shared" si="17"/>
        <v>COFFS</v>
      </c>
      <c r="E386" s="149" t="s">
        <v>2549</v>
      </c>
      <c r="F386" s="149">
        <v>-30.010960000000001</v>
      </c>
      <c r="G386" s="149">
        <v>153.13486599999999</v>
      </c>
      <c r="H386" s="149">
        <v>0</v>
      </c>
      <c r="I386" s="151">
        <v>42997</v>
      </c>
      <c r="J386" s="149" t="s">
        <v>2097</v>
      </c>
      <c r="K386" s="149" t="s">
        <v>177</v>
      </c>
      <c r="L386" s="149" t="s">
        <v>1687</v>
      </c>
      <c r="M386" s="149" t="s">
        <v>2564</v>
      </c>
      <c r="N386" s="149" t="s">
        <v>2577</v>
      </c>
      <c r="O386" s="149" t="s">
        <v>2742</v>
      </c>
      <c r="P386" s="149" t="s">
        <v>2740</v>
      </c>
      <c r="Q386" s="149" t="s">
        <v>2389</v>
      </c>
      <c r="R386" s="149" t="s">
        <v>2712</v>
      </c>
      <c r="S386" s="149">
        <v>0.1386</v>
      </c>
      <c r="T386" s="149">
        <v>3.8671999999999984E-2</v>
      </c>
      <c r="U386" s="70">
        <f t="shared" si="15"/>
        <v>9.9928000000000017E-2</v>
      </c>
      <c r="V386" s="149">
        <v>8.5069999999999997</v>
      </c>
      <c r="W386" s="149">
        <f>13.969+11.209</f>
        <v>25.177999999999997</v>
      </c>
      <c r="X386" s="149">
        <f t="shared" si="16"/>
        <v>214.18924599999997</v>
      </c>
      <c r="Y386" s="149"/>
    </row>
    <row r="387" spans="1:25" ht="16">
      <c r="A387" s="117" t="s">
        <v>3570</v>
      </c>
      <c r="B387" s="150" t="s">
        <v>399</v>
      </c>
      <c r="C387" s="149" t="s">
        <v>1744</v>
      </c>
      <c r="D387" s="149" t="str">
        <f t="shared" si="17"/>
        <v>COFFS</v>
      </c>
      <c r="E387" s="149" t="s">
        <v>2547</v>
      </c>
      <c r="F387" s="149">
        <v>-29.991299000000001</v>
      </c>
      <c r="G387" s="149">
        <v>153.143249</v>
      </c>
      <c r="H387" s="149">
        <v>0</v>
      </c>
      <c r="I387" s="151">
        <v>42990</v>
      </c>
      <c r="J387" s="149" t="s">
        <v>2097</v>
      </c>
      <c r="K387" s="149" t="s">
        <v>177</v>
      </c>
      <c r="L387" s="149" t="s">
        <v>1687</v>
      </c>
      <c r="M387" s="149" t="s">
        <v>2564</v>
      </c>
      <c r="N387" s="149" t="s">
        <v>2577</v>
      </c>
      <c r="O387" s="149" t="s">
        <v>2742</v>
      </c>
      <c r="P387" s="149" t="s">
        <v>2780</v>
      </c>
      <c r="Q387" s="149" t="s">
        <v>2388</v>
      </c>
      <c r="R387" s="149" t="s">
        <v>2713</v>
      </c>
      <c r="S387" s="149">
        <v>0.27</v>
      </c>
      <c r="T387" s="149">
        <v>3.8671999999999984E-2</v>
      </c>
      <c r="U387" s="70">
        <f t="shared" si="15"/>
        <v>0.23132800000000003</v>
      </c>
      <c r="V387" s="149">
        <v>11.282</v>
      </c>
      <c r="W387" s="149">
        <f>6.671+14.978+14.504</f>
        <v>36.152999999999999</v>
      </c>
      <c r="X387" s="149">
        <f t="shared" si="16"/>
        <v>407.87814599999996</v>
      </c>
      <c r="Y387" s="149"/>
    </row>
    <row r="388" spans="1:25" ht="16">
      <c r="A388" s="117" t="s">
        <v>3570</v>
      </c>
      <c r="B388" s="150" t="s">
        <v>400</v>
      </c>
      <c r="C388" s="149" t="s">
        <v>1744</v>
      </c>
      <c r="D388" s="149" t="str">
        <f t="shared" si="17"/>
        <v>COFFS</v>
      </c>
      <c r="E388" s="149" t="s">
        <v>2549</v>
      </c>
      <c r="F388" s="149">
        <v>-30.010960000000001</v>
      </c>
      <c r="G388" s="149">
        <v>153.13486599999999</v>
      </c>
      <c r="H388" s="149">
        <v>0</v>
      </c>
      <c r="I388" s="151">
        <v>42982</v>
      </c>
      <c r="J388" s="149" t="s">
        <v>2097</v>
      </c>
      <c r="K388" s="149" t="s">
        <v>177</v>
      </c>
      <c r="L388" s="149" t="s">
        <v>1687</v>
      </c>
      <c r="M388" s="149" t="s">
        <v>2564</v>
      </c>
      <c r="N388" s="149" t="s">
        <v>2577</v>
      </c>
      <c r="O388" s="149" t="s">
        <v>2742</v>
      </c>
      <c r="P388" s="149" t="s">
        <v>2740</v>
      </c>
      <c r="Q388" s="149" t="s">
        <v>2389</v>
      </c>
      <c r="R388" s="149" t="s">
        <v>2712</v>
      </c>
      <c r="S388" s="149">
        <v>0.1236</v>
      </c>
      <c r="T388" s="149">
        <v>3.8671999999999984E-2</v>
      </c>
      <c r="U388" s="70">
        <f t="shared" si="15"/>
        <v>8.4928000000000017E-2</v>
      </c>
      <c r="V388" s="149">
        <v>8.2159999999999993</v>
      </c>
      <c r="W388" s="149">
        <f>11.769+12.706</f>
        <v>24.475000000000001</v>
      </c>
      <c r="X388" s="149">
        <f t="shared" si="16"/>
        <v>201.0866</v>
      </c>
      <c r="Y388" s="149"/>
    </row>
    <row r="389" spans="1:25" ht="16">
      <c r="A389" s="117" t="s">
        <v>3570</v>
      </c>
      <c r="B389" s="150" t="s">
        <v>401</v>
      </c>
      <c r="C389" s="149" t="s">
        <v>1744</v>
      </c>
      <c r="D389" s="149" t="str">
        <f t="shared" si="17"/>
        <v>COFFS</v>
      </c>
      <c r="E389" s="149" t="s">
        <v>2547</v>
      </c>
      <c r="F389" s="149">
        <v>-29.991299000000001</v>
      </c>
      <c r="G389" s="149">
        <v>153.143249</v>
      </c>
      <c r="H389" s="149">
        <v>0</v>
      </c>
      <c r="I389" s="151">
        <v>42991</v>
      </c>
      <c r="J389" s="149" t="s">
        <v>2097</v>
      </c>
      <c r="K389" s="149" t="s">
        <v>177</v>
      </c>
      <c r="L389" s="149" t="s">
        <v>1687</v>
      </c>
      <c r="M389" s="149" t="s">
        <v>2564</v>
      </c>
      <c r="N389" s="149" t="s">
        <v>2577</v>
      </c>
      <c r="O389" s="149" t="s">
        <v>2742</v>
      </c>
      <c r="P389" s="149" t="s">
        <v>2740</v>
      </c>
      <c r="Q389" s="149" t="s">
        <v>2389</v>
      </c>
      <c r="R389" s="149" t="s">
        <v>2713</v>
      </c>
      <c r="S389" s="149">
        <v>0.1094</v>
      </c>
      <c r="T389" s="149">
        <v>3.8671999999999984E-2</v>
      </c>
      <c r="U389" s="70">
        <f t="shared" si="15"/>
        <v>7.0728000000000013E-2</v>
      </c>
      <c r="V389" s="149">
        <v>7.2240000000000002</v>
      </c>
      <c r="W389" s="149">
        <f>14.111+9.61</f>
        <v>23.721</v>
      </c>
      <c r="X389" s="149">
        <f t="shared" si="16"/>
        <v>171.36050399999999</v>
      </c>
      <c r="Y389" s="149"/>
    </row>
    <row r="390" spans="1:25" ht="16">
      <c r="A390" s="117" t="s">
        <v>3570</v>
      </c>
      <c r="B390" s="150" t="s">
        <v>402</v>
      </c>
      <c r="C390" s="149" t="s">
        <v>1744</v>
      </c>
      <c r="D390" s="149" t="str">
        <f t="shared" si="17"/>
        <v>COFFS</v>
      </c>
      <c r="E390" s="149" t="s">
        <v>2547</v>
      </c>
      <c r="F390" s="149">
        <v>-29.991299000000001</v>
      </c>
      <c r="G390" s="149">
        <v>153.143249</v>
      </c>
      <c r="H390" s="149">
        <v>0</v>
      </c>
      <c r="I390" s="151">
        <v>42990</v>
      </c>
      <c r="J390" s="149" t="s">
        <v>2097</v>
      </c>
      <c r="K390" s="149" t="s">
        <v>177</v>
      </c>
      <c r="L390" s="149" t="s">
        <v>1687</v>
      </c>
      <c r="M390" s="149" t="s">
        <v>2564</v>
      </c>
      <c r="N390" s="149" t="s">
        <v>2577</v>
      </c>
      <c r="O390" s="149" t="s">
        <v>2742</v>
      </c>
      <c r="P390" s="149" t="s">
        <v>2740</v>
      </c>
      <c r="Q390" s="149" t="s">
        <v>2389</v>
      </c>
      <c r="R390" s="149" t="s">
        <v>2713</v>
      </c>
      <c r="S390" s="149">
        <v>0.13880000000000001</v>
      </c>
      <c r="T390" s="149">
        <v>3.8671999999999984E-2</v>
      </c>
      <c r="U390" s="70">
        <f t="shared" si="15"/>
        <v>0.10012800000000002</v>
      </c>
      <c r="V390" s="149">
        <v>7.0830000000000002</v>
      </c>
      <c r="W390" s="149">
        <f>14.152+9.875</f>
        <v>24.027000000000001</v>
      </c>
      <c r="X390" s="149">
        <f t="shared" si="16"/>
        <v>170.18324100000001</v>
      </c>
      <c r="Y390" s="149"/>
    </row>
    <row r="391" spans="1:25" ht="16">
      <c r="A391" s="117" t="s">
        <v>3570</v>
      </c>
      <c r="B391" s="150" t="s">
        <v>403</v>
      </c>
      <c r="C391" s="149" t="s">
        <v>1744</v>
      </c>
      <c r="D391" s="149" t="str">
        <f t="shared" si="17"/>
        <v>COFFS</v>
      </c>
      <c r="E391" s="149" t="s">
        <v>2547</v>
      </c>
      <c r="F391" s="149">
        <v>-29.991299000000001</v>
      </c>
      <c r="G391" s="149">
        <v>153.143249</v>
      </c>
      <c r="H391" s="149">
        <v>0</v>
      </c>
      <c r="I391" s="151">
        <v>42991</v>
      </c>
      <c r="J391" s="149" t="s">
        <v>2097</v>
      </c>
      <c r="K391" s="149" t="s">
        <v>177</v>
      </c>
      <c r="L391" s="149" t="s">
        <v>1687</v>
      </c>
      <c r="M391" s="149" t="s">
        <v>2564</v>
      </c>
      <c r="N391" s="149" t="s">
        <v>2577</v>
      </c>
      <c r="O391" s="149" t="s">
        <v>2742</v>
      </c>
      <c r="P391" s="149" t="s">
        <v>2740</v>
      </c>
      <c r="Q391" s="149" t="s">
        <v>2389</v>
      </c>
      <c r="R391" s="149" t="s">
        <v>2713</v>
      </c>
      <c r="S391" s="149">
        <v>0.114</v>
      </c>
      <c r="T391" s="149">
        <v>3.8671999999999984E-2</v>
      </c>
      <c r="U391" s="70">
        <f t="shared" si="15"/>
        <v>7.532800000000002E-2</v>
      </c>
      <c r="V391" s="149">
        <v>6.944</v>
      </c>
      <c r="W391" s="149">
        <f>12.611+9.668</f>
        <v>22.279</v>
      </c>
      <c r="X391" s="149">
        <f t="shared" si="16"/>
        <v>154.705376</v>
      </c>
      <c r="Y391" s="149"/>
    </row>
    <row r="392" spans="1:25" ht="16">
      <c r="A392" s="117" t="s">
        <v>3570</v>
      </c>
      <c r="B392" s="150" t="s">
        <v>404</v>
      </c>
      <c r="C392" s="149" t="s">
        <v>1744</v>
      </c>
      <c r="D392" s="149" t="str">
        <f t="shared" si="17"/>
        <v>COFFS</v>
      </c>
      <c r="E392" s="149" t="s">
        <v>2549</v>
      </c>
      <c r="F392" s="149">
        <v>-30.010960000000001</v>
      </c>
      <c r="G392" s="149">
        <v>153.13486599999999</v>
      </c>
      <c r="H392" s="149">
        <v>0</v>
      </c>
      <c r="I392" s="151">
        <v>42982</v>
      </c>
      <c r="J392" s="149" t="s">
        <v>2097</v>
      </c>
      <c r="K392" s="149" t="s">
        <v>177</v>
      </c>
      <c r="L392" s="149" t="s">
        <v>1687</v>
      </c>
      <c r="M392" s="149" t="s">
        <v>2564</v>
      </c>
      <c r="N392" s="149" t="s">
        <v>2577</v>
      </c>
      <c r="O392" s="149" t="s">
        <v>2742</v>
      </c>
      <c r="P392" s="149" t="s">
        <v>2780</v>
      </c>
      <c r="Q392" s="149" t="s">
        <v>2388</v>
      </c>
      <c r="R392" s="149" t="s">
        <v>2713</v>
      </c>
      <c r="S392" s="149">
        <v>0.25419999999999998</v>
      </c>
      <c r="T392" s="149">
        <v>3.8671999999999984E-2</v>
      </c>
      <c r="U392" s="70">
        <f t="shared" si="15"/>
        <v>0.215528</v>
      </c>
      <c r="V392" s="149">
        <v>10.19</v>
      </c>
      <c r="W392" s="149">
        <f>19.484+14.533</f>
        <v>34.017000000000003</v>
      </c>
      <c r="X392" s="149">
        <f t="shared" si="16"/>
        <v>346.63323000000003</v>
      </c>
      <c r="Y392" s="149"/>
    </row>
    <row r="393" spans="1:25" ht="16">
      <c r="A393" s="117" t="s">
        <v>3570</v>
      </c>
      <c r="B393" s="150" t="s">
        <v>405</v>
      </c>
      <c r="C393" s="149" t="s">
        <v>1744</v>
      </c>
      <c r="D393" s="149" t="str">
        <f t="shared" si="17"/>
        <v>COFFS</v>
      </c>
      <c r="E393" s="149" t="s">
        <v>2547</v>
      </c>
      <c r="F393" s="149">
        <v>-29.991299000000001</v>
      </c>
      <c r="G393" s="149">
        <v>153.143249</v>
      </c>
      <c r="H393" s="149">
        <v>0</v>
      </c>
      <c r="I393" s="151">
        <v>42991</v>
      </c>
      <c r="J393" s="149" t="s">
        <v>2097</v>
      </c>
      <c r="K393" s="149" t="s">
        <v>177</v>
      </c>
      <c r="L393" s="149" t="s">
        <v>1687</v>
      </c>
      <c r="M393" s="149" t="s">
        <v>2564</v>
      </c>
      <c r="N393" s="149" t="s">
        <v>2577</v>
      </c>
      <c r="O393" s="149" t="s">
        <v>2742</v>
      </c>
      <c r="P393" s="149" t="s">
        <v>2740</v>
      </c>
      <c r="Q393" s="149" t="s">
        <v>2389</v>
      </c>
      <c r="R393" s="149" t="s">
        <v>2713</v>
      </c>
      <c r="S393" s="149">
        <v>0.154</v>
      </c>
      <c r="T393" s="149">
        <v>3.8671999999999984E-2</v>
      </c>
      <c r="U393" s="70">
        <f t="shared" si="15"/>
        <v>0.11532800000000001</v>
      </c>
      <c r="V393" s="149">
        <v>7.9050000000000002</v>
      </c>
      <c r="W393" s="149">
        <f>12.576+10.978</f>
        <v>23.554000000000002</v>
      </c>
      <c r="X393" s="149">
        <f t="shared" si="16"/>
        <v>186.19437000000002</v>
      </c>
      <c r="Y393" s="149"/>
    </row>
    <row r="394" spans="1:25" ht="16">
      <c r="A394" s="117" t="s">
        <v>3570</v>
      </c>
      <c r="B394" s="150" t="s">
        <v>406</v>
      </c>
      <c r="C394" s="149" t="s">
        <v>1744</v>
      </c>
      <c r="D394" s="149" t="str">
        <f t="shared" si="17"/>
        <v>COFFS</v>
      </c>
      <c r="E394" s="149" t="s">
        <v>2547</v>
      </c>
      <c r="F394" s="149">
        <v>-29.991299000000001</v>
      </c>
      <c r="G394" s="149">
        <v>153.143249</v>
      </c>
      <c r="H394" s="149">
        <v>0</v>
      </c>
      <c r="I394" s="151">
        <v>42991</v>
      </c>
      <c r="J394" s="149" t="s">
        <v>2097</v>
      </c>
      <c r="K394" s="149" t="s">
        <v>177</v>
      </c>
      <c r="L394" s="149" t="s">
        <v>1687</v>
      </c>
      <c r="M394" s="149" t="s">
        <v>2564</v>
      </c>
      <c r="N394" s="149" t="s">
        <v>2577</v>
      </c>
      <c r="O394" s="149" t="s">
        <v>2742</v>
      </c>
      <c r="P394" s="149" t="s">
        <v>2740</v>
      </c>
      <c r="Q394" s="149" t="s">
        <v>2389</v>
      </c>
      <c r="R394" s="149" t="s">
        <v>2713</v>
      </c>
      <c r="S394" s="149">
        <v>0.15579999999999999</v>
      </c>
      <c r="T394" s="149">
        <v>3.8671999999999984E-2</v>
      </c>
      <c r="U394" s="70">
        <f t="shared" si="15"/>
        <v>0.11712800000000001</v>
      </c>
      <c r="V394" s="149">
        <v>7.1470000000000002</v>
      </c>
      <c r="W394" s="149">
        <f>10.77+14.219</f>
        <v>24.988999999999997</v>
      </c>
      <c r="X394" s="149">
        <f t="shared" si="16"/>
        <v>178.59638299999997</v>
      </c>
      <c r="Y394" s="149"/>
    </row>
    <row r="395" spans="1:25" ht="16">
      <c r="A395" s="117" t="s">
        <v>3570</v>
      </c>
      <c r="B395" s="150" t="s">
        <v>2247</v>
      </c>
      <c r="C395" s="149" t="s">
        <v>1744</v>
      </c>
      <c r="D395" s="163" t="s">
        <v>3563</v>
      </c>
      <c r="E395" s="149" t="s">
        <v>2415</v>
      </c>
      <c r="F395" s="149">
        <v>-14.62</v>
      </c>
      <c r="G395" s="149">
        <v>132.45400000000001</v>
      </c>
      <c r="H395" s="149">
        <v>0</v>
      </c>
      <c r="I395" s="151">
        <v>42905</v>
      </c>
      <c r="J395" s="149" t="s">
        <v>2556</v>
      </c>
      <c r="K395" s="149" t="s">
        <v>177</v>
      </c>
      <c r="L395" s="149" t="s">
        <v>1687</v>
      </c>
      <c r="M395" s="149" t="s">
        <v>2563</v>
      </c>
      <c r="N395" s="149" t="s">
        <v>2562</v>
      </c>
      <c r="O395" s="149" t="s">
        <v>2103</v>
      </c>
      <c r="P395" s="149" t="s">
        <v>2103</v>
      </c>
      <c r="Q395" s="149" t="s">
        <v>2405</v>
      </c>
      <c r="R395" s="149" t="s">
        <v>2713</v>
      </c>
      <c r="S395" s="149">
        <v>4.0899999999999999E-2</v>
      </c>
      <c r="T395" s="149">
        <v>3.8671999999999984E-2</v>
      </c>
      <c r="U395" s="70">
        <f t="shared" si="15"/>
        <v>2.2280000000000147E-3</v>
      </c>
      <c r="V395" s="149">
        <v>1.883</v>
      </c>
      <c r="W395" s="70">
        <v>6.1</v>
      </c>
      <c r="X395" s="149">
        <f t="shared" si="16"/>
        <v>11.4863</v>
      </c>
      <c r="Y395" s="149">
        <v>3</v>
      </c>
    </row>
    <row r="396" spans="1:25" ht="16">
      <c r="A396" s="117" t="s">
        <v>3570</v>
      </c>
      <c r="B396" s="150" t="s">
        <v>2248</v>
      </c>
      <c r="C396" s="149" t="s">
        <v>1744</v>
      </c>
      <c r="D396" s="163" t="s">
        <v>3563</v>
      </c>
      <c r="E396" s="149" t="s">
        <v>2416</v>
      </c>
      <c r="F396" s="149">
        <v>-14.522</v>
      </c>
      <c r="G396" s="149">
        <v>132.45400000000001</v>
      </c>
      <c r="H396" s="149">
        <v>0</v>
      </c>
      <c r="I396" s="151">
        <v>42889</v>
      </c>
      <c r="J396" s="149" t="s">
        <v>2556</v>
      </c>
      <c r="K396" s="149" t="s">
        <v>177</v>
      </c>
      <c r="L396" s="149" t="s">
        <v>1687</v>
      </c>
      <c r="M396" s="149" t="s">
        <v>2564</v>
      </c>
      <c r="N396" s="149" t="s">
        <v>2565</v>
      </c>
      <c r="O396" s="149" t="s">
        <v>2095</v>
      </c>
      <c r="P396" s="149" t="s">
        <v>2095</v>
      </c>
      <c r="Q396" s="149" t="s">
        <v>2685</v>
      </c>
      <c r="R396" s="149" t="s">
        <v>2713</v>
      </c>
      <c r="S396" s="149">
        <v>4.07E-2</v>
      </c>
      <c r="T396" s="149">
        <v>3.8671999999999984E-2</v>
      </c>
      <c r="U396" s="70">
        <f t="shared" si="15"/>
        <v>2.0280000000000159E-3</v>
      </c>
      <c r="V396" s="149">
        <v>1.673</v>
      </c>
      <c r="W396" s="70">
        <v>6.6310000000000002</v>
      </c>
      <c r="X396" s="149">
        <f t="shared" si="16"/>
        <v>11.093663000000001</v>
      </c>
      <c r="Y396" s="149">
        <v>3</v>
      </c>
    </row>
    <row r="397" spans="1:25" ht="16">
      <c r="A397" s="117" t="s">
        <v>3570</v>
      </c>
      <c r="B397" s="150" t="s">
        <v>2249</v>
      </c>
      <c r="C397" s="149" t="s">
        <v>1744</v>
      </c>
      <c r="D397" s="163" t="s">
        <v>3563</v>
      </c>
      <c r="E397" s="149" t="s">
        <v>2417</v>
      </c>
      <c r="F397" s="149">
        <v>-14.62</v>
      </c>
      <c r="G397" s="149">
        <v>132.45400000000001</v>
      </c>
      <c r="H397" s="149">
        <v>0</v>
      </c>
      <c r="I397" s="151">
        <v>42887</v>
      </c>
      <c r="J397" s="149" t="s">
        <v>2556</v>
      </c>
      <c r="K397" s="149" t="s">
        <v>177</v>
      </c>
      <c r="L397" s="149" t="s">
        <v>2566</v>
      </c>
      <c r="M397" s="149" t="s">
        <v>2567</v>
      </c>
      <c r="N397" s="149" t="s">
        <v>2668</v>
      </c>
      <c r="O397" s="149" t="s">
        <v>2105</v>
      </c>
      <c r="P397" s="140" t="s">
        <v>2105</v>
      </c>
      <c r="Q397" s="149" t="s">
        <v>2387</v>
      </c>
      <c r="R397" s="149" t="s">
        <v>2713</v>
      </c>
      <c r="S397" s="149">
        <v>4.0800000000000003E-2</v>
      </c>
      <c r="T397" s="149">
        <v>3.8671999999999984E-2</v>
      </c>
      <c r="U397" s="70">
        <f t="shared" si="15"/>
        <v>2.1280000000000188E-3</v>
      </c>
      <c r="V397" s="149">
        <v>1.661</v>
      </c>
      <c r="W397" s="70">
        <f>3.171+4.309</f>
        <v>7.48</v>
      </c>
      <c r="X397" s="149">
        <f t="shared" si="16"/>
        <v>12.424280000000001</v>
      </c>
      <c r="Y397" s="149">
        <v>3</v>
      </c>
    </row>
    <row r="398" spans="1:25" ht="16">
      <c r="A398" s="117" t="s">
        <v>3570</v>
      </c>
      <c r="B398" s="150" t="s">
        <v>2250</v>
      </c>
      <c r="C398" s="149" t="s">
        <v>1744</v>
      </c>
      <c r="D398" s="163" t="s">
        <v>3563</v>
      </c>
      <c r="E398" s="149" t="s">
        <v>2418</v>
      </c>
      <c r="F398" s="149">
        <v>-14.62</v>
      </c>
      <c r="G398" s="149">
        <v>132.45400000000001</v>
      </c>
      <c r="H398" s="149">
        <v>0</v>
      </c>
      <c r="I398" s="151">
        <v>42908</v>
      </c>
      <c r="J398" s="149" t="s">
        <v>2556</v>
      </c>
      <c r="K398" s="149" t="s">
        <v>177</v>
      </c>
      <c r="L398" s="149" t="s">
        <v>2569</v>
      </c>
      <c r="M398" s="149" t="s">
        <v>2570</v>
      </c>
      <c r="N398" s="149" t="s">
        <v>2571</v>
      </c>
      <c r="O398" s="149" t="s">
        <v>2369</v>
      </c>
      <c r="P398" s="149" t="s">
        <v>3556</v>
      </c>
      <c r="Q398" s="149" t="s">
        <v>2674</v>
      </c>
      <c r="R398" s="149" t="s">
        <v>2712</v>
      </c>
      <c r="S398" s="149">
        <v>4.3499999999999997E-2</v>
      </c>
      <c r="T398" s="149">
        <v>3.8671999999999984E-2</v>
      </c>
      <c r="U398" s="70">
        <f t="shared" si="15"/>
        <v>4.8280000000000128E-3</v>
      </c>
      <c r="V398" s="149">
        <v>2.5840000000000001</v>
      </c>
      <c r="W398" s="70">
        <f>5.723+1.738+1.801</f>
        <v>9.2620000000000005</v>
      </c>
      <c r="X398" s="149">
        <f t="shared" si="16"/>
        <v>23.933008000000001</v>
      </c>
      <c r="Y398" s="149">
        <v>3</v>
      </c>
    </row>
    <row r="399" spans="1:25" ht="16">
      <c r="A399" s="117" t="s">
        <v>3570</v>
      </c>
      <c r="B399" s="150" t="s">
        <v>2251</v>
      </c>
      <c r="C399" s="149" t="s">
        <v>1744</v>
      </c>
      <c r="D399" s="163" t="s">
        <v>3563</v>
      </c>
      <c r="E399" s="149" t="s">
        <v>2419</v>
      </c>
      <c r="F399" s="149">
        <v>-14.62</v>
      </c>
      <c r="G399" s="149">
        <v>132.45400000000001</v>
      </c>
      <c r="H399" s="149">
        <v>0</v>
      </c>
      <c r="I399" s="151">
        <v>42905</v>
      </c>
      <c r="J399" s="149" t="s">
        <v>2556</v>
      </c>
      <c r="K399" s="149" t="s">
        <v>177</v>
      </c>
      <c r="L399" s="149" t="s">
        <v>2569</v>
      </c>
      <c r="M399" s="149" t="s">
        <v>2570</v>
      </c>
      <c r="N399" s="149" t="s">
        <v>2571</v>
      </c>
      <c r="O399" s="149" t="s">
        <v>2369</v>
      </c>
      <c r="P399" s="149" t="s">
        <v>3556</v>
      </c>
      <c r="Q399" s="149" t="s">
        <v>2681</v>
      </c>
      <c r="R399" s="149" t="s">
        <v>2712</v>
      </c>
      <c r="S399" s="149">
        <v>7.22E-2</v>
      </c>
      <c r="T399" s="149">
        <v>6.7166000000000003E-2</v>
      </c>
      <c r="U399" s="70">
        <f t="shared" si="15"/>
        <v>5.0339999999999968E-3</v>
      </c>
      <c r="V399" s="149">
        <v>3.1549999999999998</v>
      </c>
      <c r="W399" s="70">
        <f>5.265+2.734+1.872</f>
        <v>9.8710000000000004</v>
      </c>
      <c r="X399" s="149">
        <f t="shared" si="16"/>
        <v>31.143004999999999</v>
      </c>
      <c r="Y399" s="149">
        <v>2</v>
      </c>
    </row>
    <row r="400" spans="1:25" ht="16">
      <c r="A400" s="117" t="s">
        <v>3570</v>
      </c>
      <c r="B400" s="150" t="s">
        <v>2252</v>
      </c>
      <c r="C400" s="149" t="s">
        <v>1744</v>
      </c>
      <c r="D400" s="163" t="s">
        <v>3563</v>
      </c>
      <c r="E400" s="149" t="s">
        <v>2420</v>
      </c>
      <c r="F400" s="149">
        <v>-14.62</v>
      </c>
      <c r="G400" s="149">
        <v>132.45400000000001</v>
      </c>
      <c r="H400" s="149">
        <v>0</v>
      </c>
      <c r="I400" s="151">
        <v>42907</v>
      </c>
      <c r="J400" s="149" t="s">
        <v>2556</v>
      </c>
      <c r="K400" s="149" t="s">
        <v>177</v>
      </c>
      <c r="L400" s="149" t="s">
        <v>1687</v>
      </c>
      <c r="M400" s="149" t="s">
        <v>2563</v>
      </c>
      <c r="N400" s="149" t="s">
        <v>2710</v>
      </c>
      <c r="O400" s="149" t="s">
        <v>2403</v>
      </c>
      <c r="P400" s="149" t="s">
        <v>2403</v>
      </c>
      <c r="Q400" s="149" t="s">
        <v>2404</v>
      </c>
      <c r="R400" s="149" t="s">
        <v>2713</v>
      </c>
      <c r="S400" s="149">
        <v>5.9400000000000001E-2</v>
      </c>
      <c r="T400" s="149">
        <v>3.8671999999999984E-2</v>
      </c>
      <c r="U400" s="70">
        <f t="shared" si="15"/>
        <v>2.0728000000000017E-2</v>
      </c>
      <c r="V400" s="149">
        <v>4.4450000000000003</v>
      </c>
      <c r="W400" s="70">
        <f>7.404+9.288</f>
        <v>16.692</v>
      </c>
      <c r="X400" s="149">
        <f t="shared" si="16"/>
        <v>74.195940000000007</v>
      </c>
      <c r="Y400" s="149">
        <v>3</v>
      </c>
    </row>
    <row r="401" spans="1:25" ht="16">
      <c r="A401" s="117" t="s">
        <v>3570</v>
      </c>
      <c r="B401" s="150" t="s">
        <v>2253</v>
      </c>
      <c r="C401" s="149" t="s">
        <v>1744</v>
      </c>
      <c r="D401" s="163" t="s">
        <v>3563</v>
      </c>
      <c r="E401" s="149" t="s">
        <v>2421</v>
      </c>
      <c r="F401" s="149">
        <v>-14.522</v>
      </c>
      <c r="G401" s="149">
        <v>132.45400000000001</v>
      </c>
      <c r="H401" s="149">
        <v>0</v>
      </c>
      <c r="I401" s="151">
        <v>42889</v>
      </c>
      <c r="J401" s="149" t="s">
        <v>2556</v>
      </c>
      <c r="K401" s="149" t="s">
        <v>177</v>
      </c>
      <c r="L401" s="149" t="s">
        <v>2569</v>
      </c>
      <c r="M401" s="149" t="s">
        <v>2570</v>
      </c>
      <c r="N401" s="149" t="s">
        <v>2571</v>
      </c>
      <c r="O401" s="149" t="s">
        <v>2369</v>
      </c>
      <c r="P401" s="149" t="s">
        <v>2737</v>
      </c>
      <c r="Q401" s="149" t="s">
        <v>2396</v>
      </c>
      <c r="R401" s="149" t="s">
        <v>2713</v>
      </c>
      <c r="S401" s="149">
        <v>0.08</v>
      </c>
      <c r="T401" s="149">
        <v>6.7166000000000003E-2</v>
      </c>
      <c r="U401" s="70">
        <f t="shared" si="15"/>
        <v>1.2833999999999998E-2</v>
      </c>
      <c r="V401" s="149">
        <v>3.91</v>
      </c>
      <c r="W401" s="70">
        <f>6.293+7.136</f>
        <v>13.429</v>
      </c>
      <c r="X401" s="149">
        <f t="shared" si="16"/>
        <v>52.507390000000001</v>
      </c>
      <c r="Y401" s="149">
        <v>2</v>
      </c>
    </row>
    <row r="402" spans="1:25" ht="16">
      <c r="A402" s="117" t="s">
        <v>3570</v>
      </c>
      <c r="B402" s="150" t="s">
        <v>2254</v>
      </c>
      <c r="C402" s="149" t="s">
        <v>1744</v>
      </c>
      <c r="D402" s="163" t="s">
        <v>3563</v>
      </c>
      <c r="E402" s="149" t="s">
        <v>2422</v>
      </c>
      <c r="F402" s="149">
        <v>-14.522</v>
      </c>
      <c r="G402" s="149">
        <v>132.45400000000001</v>
      </c>
      <c r="H402" s="149">
        <v>0</v>
      </c>
      <c r="I402" s="151">
        <v>42898</v>
      </c>
      <c r="J402" s="149" t="s">
        <v>2556</v>
      </c>
      <c r="K402" s="149" t="s">
        <v>177</v>
      </c>
      <c r="L402" s="149" t="s">
        <v>1687</v>
      </c>
      <c r="M402" s="149" t="s">
        <v>2563</v>
      </c>
      <c r="N402" s="149" t="s">
        <v>2568</v>
      </c>
      <c r="O402" s="149" t="s">
        <v>2734</v>
      </c>
      <c r="P402" s="149" t="s">
        <v>2782</v>
      </c>
      <c r="Q402" s="149" t="s">
        <v>2650</v>
      </c>
      <c r="R402" s="149" t="s">
        <v>2713</v>
      </c>
      <c r="S402" s="149">
        <v>6.9699999999999998E-2</v>
      </c>
      <c r="T402" s="149">
        <v>3.8671999999999984E-2</v>
      </c>
      <c r="U402" s="70">
        <f t="shared" si="15"/>
        <v>3.1028000000000014E-2</v>
      </c>
      <c r="V402" s="149">
        <v>5.26</v>
      </c>
      <c r="W402" s="70">
        <f>10.13+9.844</f>
        <v>19.974</v>
      </c>
      <c r="X402" s="149">
        <f t="shared" si="16"/>
        <v>105.06323999999999</v>
      </c>
      <c r="Y402" s="149">
        <v>2</v>
      </c>
    </row>
    <row r="403" spans="1:25" ht="16">
      <c r="A403" s="117" t="s">
        <v>3570</v>
      </c>
      <c r="B403" s="150" t="s">
        <v>2271</v>
      </c>
      <c r="C403" s="149" t="s">
        <v>1744</v>
      </c>
      <c r="D403" s="163" t="s">
        <v>3564</v>
      </c>
      <c r="E403" s="149" t="s">
        <v>2439</v>
      </c>
      <c r="F403" s="149">
        <v>-16.9011</v>
      </c>
      <c r="G403" s="149">
        <v>145.43090000000001</v>
      </c>
      <c r="H403" s="149">
        <v>0</v>
      </c>
      <c r="I403" s="151">
        <v>42956</v>
      </c>
      <c r="J403" s="149" t="s">
        <v>2556</v>
      </c>
      <c r="K403" s="149" t="s">
        <v>177</v>
      </c>
      <c r="L403" s="149" t="s">
        <v>1687</v>
      </c>
      <c r="M403" s="149" t="s">
        <v>2563</v>
      </c>
      <c r="N403" s="149" t="s">
        <v>2710</v>
      </c>
      <c r="O403" s="149" t="s">
        <v>2403</v>
      </c>
      <c r="P403" s="149" t="s">
        <v>2403</v>
      </c>
      <c r="Q403" s="149" t="s">
        <v>2406</v>
      </c>
      <c r="R403" s="149" t="s">
        <v>2713</v>
      </c>
      <c r="S403" s="149">
        <v>4.9700000000000001E-2</v>
      </c>
      <c r="T403" s="149">
        <v>3.8671999999999984E-2</v>
      </c>
      <c r="U403" s="70">
        <f t="shared" si="15"/>
        <v>1.1028000000000017E-2</v>
      </c>
      <c r="V403" s="149">
        <v>3.6429999999999998</v>
      </c>
      <c r="W403" s="70">
        <v>13.586</v>
      </c>
      <c r="X403" s="149">
        <f t="shared" si="16"/>
        <v>49.493797999999998</v>
      </c>
      <c r="Y403" s="149">
        <v>3</v>
      </c>
    </row>
    <row r="404" spans="1:25" ht="16">
      <c r="A404" s="117" t="s">
        <v>3570</v>
      </c>
      <c r="B404" s="150" t="s">
        <v>2272</v>
      </c>
      <c r="C404" s="149" t="s">
        <v>1744</v>
      </c>
      <c r="D404" s="163" t="s">
        <v>3564</v>
      </c>
      <c r="E404" s="149" t="s">
        <v>2440</v>
      </c>
      <c r="F404" s="149">
        <v>-16.9011</v>
      </c>
      <c r="G404" s="149">
        <v>145.43090000000001</v>
      </c>
      <c r="H404" s="149">
        <v>0</v>
      </c>
      <c r="I404" s="151">
        <v>42956</v>
      </c>
      <c r="J404" s="149" t="s">
        <v>2556</v>
      </c>
      <c r="K404" s="149" t="s">
        <v>177</v>
      </c>
      <c r="L404" s="149" t="s">
        <v>1687</v>
      </c>
      <c r="M404" s="149" t="s">
        <v>2563</v>
      </c>
      <c r="N404" s="149" t="s">
        <v>2710</v>
      </c>
      <c r="O404" s="149" t="s">
        <v>2403</v>
      </c>
      <c r="P404" s="149" t="s">
        <v>2403</v>
      </c>
      <c r="Q404" s="149" t="s">
        <v>2406</v>
      </c>
      <c r="R404" s="149" t="s">
        <v>2713</v>
      </c>
      <c r="S404" s="149">
        <v>5.1200000000000002E-2</v>
      </c>
      <c r="T404" s="149">
        <v>3.8671999999999984E-2</v>
      </c>
      <c r="U404" s="70">
        <f t="shared" si="15"/>
        <v>1.2528000000000018E-2</v>
      </c>
      <c r="V404" s="149">
        <v>3.6070000000000002</v>
      </c>
      <c r="W404" s="70">
        <v>14.127000000000001</v>
      </c>
      <c r="X404" s="149">
        <f t="shared" si="16"/>
        <v>50.956089000000006</v>
      </c>
      <c r="Y404" s="149">
        <v>3</v>
      </c>
    </row>
    <row r="405" spans="1:25" ht="16">
      <c r="A405" s="117" t="s">
        <v>3570</v>
      </c>
      <c r="B405" s="150" t="s">
        <v>2273</v>
      </c>
      <c r="C405" s="149" t="s">
        <v>1744</v>
      </c>
      <c r="D405" s="163" t="s">
        <v>3564</v>
      </c>
      <c r="E405" s="149" t="s">
        <v>2441</v>
      </c>
      <c r="F405" s="149">
        <v>-16.992799999999999</v>
      </c>
      <c r="G405" s="149">
        <v>145.46170000000001</v>
      </c>
      <c r="H405" s="149">
        <v>0</v>
      </c>
      <c r="I405" s="151">
        <v>42961</v>
      </c>
      <c r="J405" s="149" t="s">
        <v>2556</v>
      </c>
      <c r="K405" s="149" t="s">
        <v>177</v>
      </c>
      <c r="L405" s="149" t="s">
        <v>1687</v>
      </c>
      <c r="M405" s="149" t="s">
        <v>2563</v>
      </c>
      <c r="N405" s="149" t="s">
        <v>2710</v>
      </c>
      <c r="O405" s="149" t="s">
        <v>2403</v>
      </c>
      <c r="P405" s="149" t="s">
        <v>2403</v>
      </c>
      <c r="Q405" s="149" t="s">
        <v>2404</v>
      </c>
      <c r="R405" s="149" t="s">
        <v>2713</v>
      </c>
      <c r="S405" s="149">
        <v>6.0100000000000001E-2</v>
      </c>
      <c r="T405" s="149">
        <v>3.8671999999999984E-2</v>
      </c>
      <c r="U405" s="70">
        <f t="shared" si="15"/>
        <v>2.1428000000000016E-2</v>
      </c>
      <c r="V405" s="149">
        <v>4.6189999999999998</v>
      </c>
      <c r="W405" s="70">
        <f>9.056+7.599</f>
        <v>16.655000000000001</v>
      </c>
      <c r="X405" s="149">
        <f t="shared" si="16"/>
        <v>76.929445000000001</v>
      </c>
      <c r="Y405" s="149">
        <v>3</v>
      </c>
    </row>
    <row r="406" spans="1:25" ht="16">
      <c r="A406" s="117" t="s">
        <v>3570</v>
      </c>
      <c r="B406" s="150" t="s">
        <v>2274</v>
      </c>
      <c r="C406" s="149" t="s">
        <v>1744</v>
      </c>
      <c r="D406" s="163" t="s">
        <v>3564</v>
      </c>
      <c r="E406" s="149" t="s">
        <v>2442</v>
      </c>
      <c r="F406" s="149">
        <v>-17.020199999999999</v>
      </c>
      <c r="G406" s="149">
        <v>145.34039999999999</v>
      </c>
      <c r="H406" s="149">
        <v>0</v>
      </c>
      <c r="I406" s="151">
        <v>42961</v>
      </c>
      <c r="J406" s="149" t="s">
        <v>2556</v>
      </c>
      <c r="K406" s="149" t="s">
        <v>177</v>
      </c>
      <c r="L406" s="149" t="s">
        <v>1687</v>
      </c>
      <c r="M406" s="149" t="s">
        <v>2563</v>
      </c>
      <c r="N406" s="149" t="s">
        <v>2710</v>
      </c>
      <c r="O406" s="149" t="s">
        <v>2403</v>
      </c>
      <c r="P406" s="149" t="s">
        <v>2403</v>
      </c>
      <c r="Q406" s="149" t="s">
        <v>2404</v>
      </c>
      <c r="R406" s="149" t="s">
        <v>2713</v>
      </c>
      <c r="S406" s="149">
        <v>6.0199999999999997E-2</v>
      </c>
      <c r="T406" s="149">
        <v>3.8671999999999984E-2</v>
      </c>
      <c r="U406" s="70">
        <f t="shared" si="15"/>
        <v>2.1528000000000012E-2</v>
      </c>
      <c r="V406" s="149">
        <v>4.335</v>
      </c>
      <c r="W406" s="70">
        <f>6.937+9.066</f>
        <v>16.003</v>
      </c>
      <c r="X406" s="149">
        <f t="shared" si="16"/>
        <v>69.373005000000006</v>
      </c>
      <c r="Y406" s="149">
        <v>3</v>
      </c>
    </row>
    <row r="407" spans="1:25" ht="16">
      <c r="A407" s="117" t="s">
        <v>3570</v>
      </c>
      <c r="B407" s="150" t="s">
        <v>2275</v>
      </c>
      <c r="C407" s="149" t="s">
        <v>1744</v>
      </c>
      <c r="D407" s="163" t="s">
        <v>3564</v>
      </c>
      <c r="E407" s="149" t="s">
        <v>2443</v>
      </c>
      <c r="F407" s="149">
        <v>-17.020199999999999</v>
      </c>
      <c r="G407" s="149">
        <v>145.34039999999999</v>
      </c>
      <c r="H407" s="149">
        <v>0</v>
      </c>
      <c r="I407" s="151">
        <v>42961</v>
      </c>
      <c r="J407" s="149" t="s">
        <v>2556</v>
      </c>
      <c r="K407" s="149" t="s">
        <v>177</v>
      </c>
      <c r="L407" s="149" t="s">
        <v>1687</v>
      </c>
      <c r="M407" s="149" t="s">
        <v>2564</v>
      </c>
      <c r="N407" s="149" t="s">
        <v>2565</v>
      </c>
      <c r="O407" s="149" t="s">
        <v>2095</v>
      </c>
      <c r="P407" s="149" t="s">
        <v>2095</v>
      </c>
      <c r="Q407" s="149" t="s">
        <v>2685</v>
      </c>
      <c r="R407" s="149" t="s">
        <v>2713</v>
      </c>
      <c r="S407" s="149">
        <v>3.9300000000000002E-2</v>
      </c>
      <c r="T407" s="149">
        <v>3.8671999999999984E-2</v>
      </c>
      <c r="U407" s="70">
        <f t="shared" si="15"/>
        <v>6.2800000000001743E-4</v>
      </c>
      <c r="V407" s="149">
        <v>1.798</v>
      </c>
      <c r="W407" s="70">
        <v>8.0060000000000002</v>
      </c>
      <c r="X407" s="149">
        <f t="shared" si="16"/>
        <v>14.394788</v>
      </c>
      <c r="Y407" s="149">
        <v>3</v>
      </c>
    </row>
    <row r="408" spans="1:25" ht="16">
      <c r="A408" s="117" t="s">
        <v>3570</v>
      </c>
      <c r="B408" s="150" t="s">
        <v>2276</v>
      </c>
      <c r="C408" s="149" t="s">
        <v>1744</v>
      </c>
      <c r="D408" s="163" t="s">
        <v>3564</v>
      </c>
      <c r="E408" s="149" t="s">
        <v>2444</v>
      </c>
      <c r="F408" s="149">
        <v>-16.9011</v>
      </c>
      <c r="G408" s="149">
        <v>145.43090000000001</v>
      </c>
      <c r="H408" s="149">
        <v>0</v>
      </c>
      <c r="I408" s="151">
        <v>42956</v>
      </c>
      <c r="J408" s="149" t="s">
        <v>2556</v>
      </c>
      <c r="K408" s="149" t="s">
        <v>177</v>
      </c>
      <c r="L408" s="149" t="s">
        <v>2566</v>
      </c>
      <c r="M408" s="149" t="s">
        <v>2567</v>
      </c>
      <c r="N408" s="149" t="s">
        <v>2668</v>
      </c>
      <c r="O408" s="140" t="s">
        <v>2600</v>
      </c>
      <c r="P408" s="149" t="s">
        <v>2735</v>
      </c>
      <c r="Q408" s="149" t="s">
        <v>2704</v>
      </c>
      <c r="R408" s="149" t="s">
        <v>2713</v>
      </c>
      <c r="S408" s="149">
        <v>4.3400000000000001E-2</v>
      </c>
      <c r="T408" s="149">
        <v>3.8671999999999984E-2</v>
      </c>
      <c r="U408" s="70">
        <f t="shared" si="15"/>
        <v>4.7280000000000169E-3</v>
      </c>
      <c r="V408" s="149">
        <v>2.6840000000000002</v>
      </c>
      <c r="W408" s="70">
        <f>3.104+1.997+5.741</f>
        <v>10.841999999999999</v>
      </c>
      <c r="X408" s="149">
        <f t="shared" si="16"/>
        <v>29.099927999999998</v>
      </c>
      <c r="Y408" s="149">
        <v>3</v>
      </c>
    </row>
    <row r="409" spans="1:25" ht="16">
      <c r="A409" s="117" t="s">
        <v>3570</v>
      </c>
      <c r="B409" s="150" t="s">
        <v>2277</v>
      </c>
      <c r="C409" s="149" t="s">
        <v>1744</v>
      </c>
      <c r="D409" s="163" t="s">
        <v>3564</v>
      </c>
      <c r="E409" s="149" t="s">
        <v>2445</v>
      </c>
      <c r="F409" s="149">
        <v>-16.987500000000001</v>
      </c>
      <c r="G409" s="149">
        <v>145.36689999999999</v>
      </c>
      <c r="H409" s="149">
        <v>0</v>
      </c>
      <c r="I409" s="151">
        <v>42961</v>
      </c>
      <c r="J409" s="149" t="s">
        <v>2556</v>
      </c>
      <c r="K409" s="149" t="s">
        <v>177</v>
      </c>
      <c r="L409" s="149" t="s">
        <v>1687</v>
      </c>
      <c r="M409" s="149" t="s">
        <v>2563</v>
      </c>
      <c r="N409" s="149" t="s">
        <v>2562</v>
      </c>
      <c r="O409" s="149" t="s">
        <v>2103</v>
      </c>
      <c r="P409" s="149" t="s">
        <v>2103</v>
      </c>
      <c r="Q409" s="149" t="s">
        <v>2104</v>
      </c>
      <c r="R409" s="149" t="s">
        <v>2713</v>
      </c>
      <c r="S409" s="149">
        <v>4.1500000000000002E-2</v>
      </c>
      <c r="T409" s="149">
        <v>3.8671999999999984E-2</v>
      </c>
      <c r="U409" s="70">
        <f t="shared" si="15"/>
        <v>2.828000000000018E-3</v>
      </c>
      <c r="V409" s="149">
        <v>2.0409999999999999</v>
      </c>
      <c r="W409" s="70">
        <v>6.4880000000000004</v>
      </c>
      <c r="X409" s="149">
        <f t="shared" si="16"/>
        <v>13.242008</v>
      </c>
      <c r="Y409" s="149">
        <v>3</v>
      </c>
    </row>
    <row r="410" spans="1:25" ht="16">
      <c r="A410" s="117" t="s">
        <v>3570</v>
      </c>
      <c r="B410" s="150" t="s">
        <v>2278</v>
      </c>
      <c r="C410" s="149" t="s">
        <v>1744</v>
      </c>
      <c r="D410" s="163" t="s">
        <v>3564</v>
      </c>
      <c r="E410" s="149" t="s">
        <v>2446</v>
      </c>
      <c r="F410" s="149">
        <v>-16.992799999999999</v>
      </c>
      <c r="G410" s="149">
        <v>145.46170000000001</v>
      </c>
      <c r="H410" s="149">
        <v>0</v>
      </c>
      <c r="I410" s="151">
        <v>42961</v>
      </c>
      <c r="J410" s="149" t="s">
        <v>2556</v>
      </c>
      <c r="K410" s="149" t="s">
        <v>177</v>
      </c>
      <c r="L410" s="149" t="s">
        <v>1687</v>
      </c>
      <c r="M410" s="149" t="s">
        <v>2563</v>
      </c>
      <c r="N410" s="149" t="s">
        <v>2568</v>
      </c>
      <c r="O410" s="149" t="s">
        <v>2734</v>
      </c>
      <c r="P410" s="149" t="s">
        <v>2782</v>
      </c>
      <c r="Q410" s="149" t="s">
        <v>2650</v>
      </c>
      <c r="R410" s="149" t="s">
        <v>2713</v>
      </c>
      <c r="S410" s="149">
        <v>7.0099999999999996E-2</v>
      </c>
      <c r="T410" s="149">
        <v>3.8671999999999984E-2</v>
      </c>
      <c r="U410" s="70">
        <f t="shared" si="15"/>
        <v>3.1428000000000011E-2</v>
      </c>
      <c r="V410" s="149">
        <v>5.05</v>
      </c>
      <c r="W410" s="149">
        <f>9.255+8.998</f>
        <v>18.253</v>
      </c>
      <c r="X410" s="149">
        <f t="shared" si="16"/>
        <v>92.17765</v>
      </c>
      <c r="Y410" s="149">
        <v>2</v>
      </c>
    </row>
    <row r="411" spans="1:25" ht="16">
      <c r="A411" s="117" t="s">
        <v>3570</v>
      </c>
      <c r="B411" s="150" t="s">
        <v>2283</v>
      </c>
      <c r="C411" s="149" t="s">
        <v>1744</v>
      </c>
      <c r="D411" s="163" t="s">
        <v>3563</v>
      </c>
      <c r="E411" s="149" t="s">
        <v>2450</v>
      </c>
      <c r="F411" s="149">
        <v>-14.54</v>
      </c>
      <c r="G411" s="149">
        <v>132.131</v>
      </c>
      <c r="H411" s="149">
        <v>0</v>
      </c>
      <c r="I411" s="151">
        <v>42948</v>
      </c>
      <c r="J411" s="149" t="s">
        <v>2557</v>
      </c>
      <c r="K411" s="149" t="s">
        <v>177</v>
      </c>
      <c r="L411" s="149" t="s">
        <v>2566</v>
      </c>
      <c r="M411" s="149" t="s">
        <v>2574</v>
      </c>
      <c r="N411" s="140" t="s">
        <v>3191</v>
      </c>
      <c r="O411" s="149" t="s">
        <v>2111</v>
      </c>
      <c r="P411" s="149" t="s">
        <v>2739</v>
      </c>
      <c r="Q411" s="149" t="s">
        <v>2401</v>
      </c>
      <c r="R411" s="149" t="s">
        <v>2713</v>
      </c>
      <c r="S411" s="149">
        <v>4.19E-2</v>
      </c>
      <c r="T411" s="149">
        <v>3.8671999999999984E-2</v>
      </c>
      <c r="U411" s="70">
        <f t="shared" si="15"/>
        <v>3.2280000000000156E-3</v>
      </c>
      <c r="V411" s="149">
        <v>2.206</v>
      </c>
      <c r="W411" s="70">
        <f>2.603+1.964+4.419</f>
        <v>8.9860000000000007</v>
      </c>
      <c r="X411" s="149">
        <f t="shared" si="16"/>
        <v>19.823116000000002</v>
      </c>
      <c r="Y411" s="149">
        <v>3</v>
      </c>
    </row>
    <row r="412" spans="1:25" ht="16">
      <c r="A412" s="117" t="s">
        <v>3570</v>
      </c>
      <c r="B412" s="150" t="s">
        <v>2284</v>
      </c>
      <c r="C412" s="149" t="s">
        <v>1744</v>
      </c>
      <c r="D412" s="163" t="s">
        <v>3563</v>
      </c>
      <c r="E412" s="149" t="s">
        <v>2451</v>
      </c>
      <c r="F412" s="149">
        <v>-14.54</v>
      </c>
      <c r="G412" s="149">
        <v>132.131</v>
      </c>
      <c r="H412" s="149">
        <v>0</v>
      </c>
      <c r="I412" s="151">
        <v>42945</v>
      </c>
      <c r="J412" s="149" t="s">
        <v>2557</v>
      </c>
      <c r="K412" s="149" t="s">
        <v>177</v>
      </c>
      <c r="L412" s="149" t="s">
        <v>2566</v>
      </c>
      <c r="M412" s="149" t="s">
        <v>2574</v>
      </c>
      <c r="N412" s="140" t="s">
        <v>3191</v>
      </c>
      <c r="O412" s="149" t="s">
        <v>2111</v>
      </c>
      <c r="P412" s="149" t="s">
        <v>2739</v>
      </c>
      <c r="Q412" s="149" t="s">
        <v>2401</v>
      </c>
      <c r="R412" s="149" t="s">
        <v>2713</v>
      </c>
      <c r="S412" s="149">
        <v>4.2700000000000002E-2</v>
      </c>
      <c r="T412" s="149">
        <v>3.8671999999999984E-2</v>
      </c>
      <c r="U412" s="70">
        <f t="shared" si="15"/>
        <v>4.0280000000000177E-3</v>
      </c>
      <c r="V412" s="149">
        <v>2.492</v>
      </c>
      <c r="W412" s="70">
        <f>4.877+4.435</f>
        <v>9.3119999999999994</v>
      </c>
      <c r="X412" s="149">
        <f t="shared" si="16"/>
        <v>23.205503999999998</v>
      </c>
      <c r="Y412" s="149">
        <v>3</v>
      </c>
    </row>
    <row r="413" spans="1:25" ht="16">
      <c r="A413" s="117" t="s">
        <v>3570</v>
      </c>
      <c r="B413" s="150" t="s">
        <v>2285</v>
      </c>
      <c r="C413" s="149" t="s">
        <v>1744</v>
      </c>
      <c r="D413" s="163" t="s">
        <v>3563</v>
      </c>
      <c r="E413" s="149" t="s">
        <v>2452</v>
      </c>
      <c r="F413" s="149">
        <v>-14.555999999999999</v>
      </c>
      <c r="G413" s="149">
        <v>132.47499999999999</v>
      </c>
      <c r="H413" s="149">
        <v>0</v>
      </c>
      <c r="I413" s="151">
        <v>42950</v>
      </c>
      <c r="J413" s="149" t="s">
        <v>2557</v>
      </c>
      <c r="K413" s="149" t="s">
        <v>177</v>
      </c>
      <c r="L413" s="149" t="s">
        <v>2569</v>
      </c>
      <c r="M413" s="149" t="s">
        <v>2570</v>
      </c>
      <c r="N413" s="149" t="s">
        <v>2571</v>
      </c>
      <c r="O413" s="149" t="s">
        <v>2369</v>
      </c>
      <c r="P413" s="149" t="s">
        <v>3556</v>
      </c>
      <c r="Q413" s="149" t="s">
        <v>2669</v>
      </c>
      <c r="R413" s="149" t="s">
        <v>2713</v>
      </c>
      <c r="S413" s="149">
        <v>4.5600000000000002E-2</v>
      </c>
      <c r="T413" s="149">
        <v>3.8671999999999984E-2</v>
      </c>
      <c r="U413" s="70">
        <f t="shared" si="15"/>
        <v>6.9280000000000175E-3</v>
      </c>
      <c r="V413" s="149">
        <v>2.9249999999999998</v>
      </c>
      <c r="W413" s="70">
        <f>4.902+5.917</f>
        <v>10.818999999999999</v>
      </c>
      <c r="X413" s="149">
        <f t="shared" si="16"/>
        <v>31.645574999999994</v>
      </c>
      <c r="Y413" s="149">
        <v>3</v>
      </c>
    </row>
    <row r="414" spans="1:25" ht="16">
      <c r="A414" s="117" t="s">
        <v>3570</v>
      </c>
      <c r="B414" s="150" t="s">
        <v>2286</v>
      </c>
      <c r="C414" s="149" t="s">
        <v>1744</v>
      </c>
      <c r="D414" s="163" t="s">
        <v>3563</v>
      </c>
      <c r="E414" s="149" t="s">
        <v>2453</v>
      </c>
      <c r="F414" s="149">
        <v>-14.555999999999999</v>
      </c>
      <c r="G414" s="149">
        <v>132.47499999999999</v>
      </c>
      <c r="H414" s="149">
        <v>0</v>
      </c>
      <c r="I414" s="151">
        <v>42947</v>
      </c>
      <c r="J414" s="149" t="s">
        <v>2557</v>
      </c>
      <c r="K414" s="149" t="s">
        <v>177</v>
      </c>
      <c r="L414" s="149" t="s">
        <v>2569</v>
      </c>
      <c r="M414" s="149" t="s">
        <v>2570</v>
      </c>
      <c r="N414" s="149" t="s">
        <v>2571</v>
      </c>
      <c r="O414" s="149" t="s">
        <v>2369</v>
      </c>
      <c r="P414" s="149" t="s">
        <v>3556</v>
      </c>
      <c r="Q414" s="149" t="s">
        <v>2674</v>
      </c>
      <c r="R414" s="149" t="s">
        <v>2712</v>
      </c>
      <c r="S414" s="149">
        <v>4.24E-2</v>
      </c>
      <c r="T414" s="149">
        <v>3.8671999999999984E-2</v>
      </c>
      <c r="U414" s="70">
        <f t="shared" si="15"/>
        <v>3.728000000000016E-3</v>
      </c>
      <c r="V414" s="149">
        <v>2.3620000000000001</v>
      </c>
      <c r="W414" s="70">
        <v>9.1910000000000007</v>
      </c>
      <c r="X414" s="149">
        <f t="shared" si="16"/>
        <v>21.709142000000003</v>
      </c>
      <c r="Y414" s="149">
        <v>3</v>
      </c>
    </row>
    <row r="415" spans="1:25" ht="16">
      <c r="A415" s="117" t="s">
        <v>3570</v>
      </c>
      <c r="B415" s="150" t="s">
        <v>2287</v>
      </c>
      <c r="C415" s="149" t="s">
        <v>1744</v>
      </c>
      <c r="D415" s="163" t="s">
        <v>3563</v>
      </c>
      <c r="E415" s="149" t="s">
        <v>2454</v>
      </c>
      <c r="F415" s="149">
        <v>-14.525</v>
      </c>
      <c r="G415" s="149">
        <v>132.45500000000001</v>
      </c>
      <c r="H415" s="149">
        <v>0</v>
      </c>
      <c r="I415" s="151">
        <v>42944</v>
      </c>
      <c r="J415" s="149" t="s">
        <v>2557</v>
      </c>
      <c r="K415" s="149" t="s">
        <v>177</v>
      </c>
      <c r="L415" s="149" t="s">
        <v>2566</v>
      </c>
      <c r="M415" s="149" t="s">
        <v>2567</v>
      </c>
      <c r="N415" s="149" t="s">
        <v>2668</v>
      </c>
      <c r="O415" s="149" t="s">
        <v>2105</v>
      </c>
      <c r="P415" s="140" t="s">
        <v>2105</v>
      </c>
      <c r="Q415" s="149" t="s">
        <v>2387</v>
      </c>
      <c r="R415" s="149" t="s">
        <v>2713</v>
      </c>
      <c r="S415" s="149">
        <v>4.0399999999999998E-2</v>
      </c>
      <c r="T415" s="149">
        <v>3.8671999999999984E-2</v>
      </c>
      <c r="U415" s="70">
        <f t="shared" si="15"/>
        <v>1.7280000000000142E-3</v>
      </c>
      <c r="V415" s="149">
        <v>1.7330000000000001</v>
      </c>
      <c r="W415" s="70">
        <f>3.414+3.61</f>
        <v>7.024</v>
      </c>
      <c r="X415" s="149">
        <f t="shared" si="16"/>
        <v>12.172592</v>
      </c>
      <c r="Y415" s="149">
        <v>3</v>
      </c>
    </row>
    <row r="416" spans="1:25" ht="16">
      <c r="A416" s="117" t="s">
        <v>3570</v>
      </c>
      <c r="B416" s="150" t="s">
        <v>2288</v>
      </c>
      <c r="C416" s="149" t="s">
        <v>1744</v>
      </c>
      <c r="D416" s="163" t="s">
        <v>3563</v>
      </c>
      <c r="E416" s="149" t="s">
        <v>2455</v>
      </c>
      <c r="F416" s="149">
        <v>-14.525</v>
      </c>
      <c r="G416" s="149">
        <v>132.45500000000001</v>
      </c>
      <c r="H416" s="149">
        <v>0</v>
      </c>
      <c r="I416" s="151">
        <v>42944</v>
      </c>
      <c r="J416" s="149" t="s">
        <v>2557</v>
      </c>
      <c r="K416" s="149" t="s">
        <v>177</v>
      </c>
      <c r="L416" s="149" t="s">
        <v>2566</v>
      </c>
      <c r="M416" s="149" t="s">
        <v>2567</v>
      </c>
      <c r="N416" s="149" t="s">
        <v>2668</v>
      </c>
      <c r="O416" s="149" t="s">
        <v>2105</v>
      </c>
      <c r="P416" s="140" t="s">
        <v>2105</v>
      </c>
      <c r="Q416" s="149" t="s">
        <v>2387</v>
      </c>
      <c r="R416" s="149" t="s">
        <v>2713</v>
      </c>
      <c r="S416" s="149">
        <v>4.0300000000000002E-2</v>
      </c>
      <c r="T416" s="149">
        <v>3.8671999999999984E-2</v>
      </c>
      <c r="U416" s="70">
        <f t="shared" si="15"/>
        <v>1.6280000000000183E-3</v>
      </c>
      <c r="V416" s="149">
        <v>1.806</v>
      </c>
      <c r="W416" s="70">
        <f>2.7+1.558+3.889</f>
        <v>8.1470000000000002</v>
      </c>
      <c r="X416" s="149">
        <f t="shared" si="16"/>
        <v>14.713482000000001</v>
      </c>
      <c r="Y416" s="149">
        <v>3</v>
      </c>
    </row>
    <row r="417" spans="1:25" ht="16">
      <c r="A417" s="117" t="s">
        <v>3570</v>
      </c>
      <c r="B417" s="150" t="s">
        <v>2289</v>
      </c>
      <c r="C417" s="149" t="s">
        <v>1744</v>
      </c>
      <c r="D417" s="163" t="s">
        <v>3563</v>
      </c>
      <c r="E417" s="149" t="s">
        <v>2456</v>
      </c>
      <c r="F417" s="149">
        <v>-14.555999999999999</v>
      </c>
      <c r="G417" s="149">
        <v>132.47499999999999</v>
      </c>
      <c r="H417" s="149">
        <v>0</v>
      </c>
      <c r="I417" s="151">
        <v>42947</v>
      </c>
      <c r="J417" s="149" t="s">
        <v>2557</v>
      </c>
      <c r="K417" s="149" t="s">
        <v>177</v>
      </c>
      <c r="L417" s="149" t="s">
        <v>2566</v>
      </c>
      <c r="M417" s="149" t="s">
        <v>2567</v>
      </c>
      <c r="N417" s="149" t="s">
        <v>2668</v>
      </c>
      <c r="O417" s="149" t="s">
        <v>2105</v>
      </c>
      <c r="P417" s="140" t="s">
        <v>2105</v>
      </c>
      <c r="Q417" s="149" t="s">
        <v>2387</v>
      </c>
      <c r="R417" s="149" t="s">
        <v>2713</v>
      </c>
      <c r="S417" s="149">
        <v>2.8999999999999998E-3</v>
      </c>
      <c r="T417" s="149">
        <v>2.6680000000000011E-3</v>
      </c>
      <c r="U417" s="70">
        <f t="shared" si="15"/>
        <v>2.319999999999987E-4</v>
      </c>
      <c r="V417" s="149">
        <v>1.5589999999999999</v>
      </c>
      <c r="W417" s="70">
        <f>3.335+3.342</f>
        <v>6.6769999999999996</v>
      </c>
      <c r="X417" s="149">
        <f t="shared" si="16"/>
        <v>10.409443</v>
      </c>
      <c r="Y417" s="149">
        <v>4</v>
      </c>
    </row>
    <row r="418" spans="1:25" ht="16">
      <c r="A418" s="117" t="s">
        <v>3570</v>
      </c>
      <c r="B418" s="150" t="s">
        <v>2290</v>
      </c>
      <c r="C418" s="149" t="s">
        <v>1744</v>
      </c>
      <c r="D418" s="163" t="s">
        <v>3563</v>
      </c>
      <c r="E418" s="149" t="s">
        <v>2457</v>
      </c>
      <c r="F418" s="149">
        <v>-14.555999999999999</v>
      </c>
      <c r="G418" s="149">
        <v>132.47499999999999</v>
      </c>
      <c r="H418" s="149">
        <v>0</v>
      </c>
      <c r="I418" s="151">
        <v>42947</v>
      </c>
      <c r="J418" s="149" t="s">
        <v>2557</v>
      </c>
      <c r="K418" s="149" t="s">
        <v>177</v>
      </c>
      <c r="L418" s="149" t="s">
        <v>2566</v>
      </c>
      <c r="M418" s="149" t="s">
        <v>2567</v>
      </c>
      <c r="N418" s="149" t="s">
        <v>2668</v>
      </c>
      <c r="O418" s="149" t="s">
        <v>2105</v>
      </c>
      <c r="P418" s="140" t="s">
        <v>2105</v>
      </c>
      <c r="Q418" s="149" t="s">
        <v>2387</v>
      </c>
      <c r="R418" s="149" t="s">
        <v>2713</v>
      </c>
      <c r="S418" s="149">
        <v>2.8E-3</v>
      </c>
      <c r="T418" s="149">
        <v>2.6680000000000011E-3</v>
      </c>
      <c r="U418" s="70">
        <f t="shared" si="15"/>
        <v>1.3199999999999887E-4</v>
      </c>
      <c r="V418" s="149">
        <v>1.589</v>
      </c>
      <c r="W418" s="70">
        <f>3.484+3.438</f>
        <v>6.9220000000000006</v>
      </c>
      <c r="X418" s="149">
        <f t="shared" si="16"/>
        <v>10.999058000000002</v>
      </c>
      <c r="Y418" s="149">
        <v>4</v>
      </c>
    </row>
    <row r="419" spans="1:25" ht="16">
      <c r="A419" s="117" t="s">
        <v>3570</v>
      </c>
      <c r="B419" s="150" t="s">
        <v>2291</v>
      </c>
      <c r="C419" s="149" t="s">
        <v>1744</v>
      </c>
      <c r="D419" s="163" t="s">
        <v>3563</v>
      </c>
      <c r="E419" s="149" t="s">
        <v>2458</v>
      </c>
      <c r="F419" s="149">
        <v>-14.555999999999999</v>
      </c>
      <c r="G419" s="149">
        <v>132.47499999999999</v>
      </c>
      <c r="H419" s="149">
        <v>0</v>
      </c>
      <c r="I419" s="151">
        <v>42950</v>
      </c>
      <c r="J419" s="149" t="s">
        <v>2557</v>
      </c>
      <c r="K419" s="149" t="s">
        <v>177</v>
      </c>
      <c r="L419" s="149" t="s">
        <v>2566</v>
      </c>
      <c r="M419" s="149" t="s">
        <v>2567</v>
      </c>
      <c r="N419" s="149" t="s">
        <v>2668</v>
      </c>
      <c r="O419" s="149" t="s">
        <v>2105</v>
      </c>
      <c r="P419" s="140" t="s">
        <v>2105</v>
      </c>
      <c r="Q419" s="149" t="s">
        <v>2387</v>
      </c>
      <c r="R419" s="149" t="s">
        <v>2713</v>
      </c>
      <c r="S419" s="149">
        <v>3.0999999999999999E-3</v>
      </c>
      <c r="T419" s="149">
        <v>2.6680000000000011E-3</v>
      </c>
      <c r="U419" s="70">
        <f t="shared" si="15"/>
        <v>4.3199999999999879E-4</v>
      </c>
      <c r="V419" s="149">
        <v>1.69</v>
      </c>
      <c r="W419" s="70">
        <f>3.6+3.282</f>
        <v>6.8819999999999997</v>
      </c>
      <c r="X419" s="149">
        <f t="shared" si="16"/>
        <v>11.630579999999998</v>
      </c>
      <c r="Y419" s="149">
        <v>4</v>
      </c>
    </row>
    <row r="420" spans="1:25" ht="16">
      <c r="A420" s="117" t="s">
        <v>3570</v>
      </c>
      <c r="B420" s="139" t="s">
        <v>2292</v>
      </c>
      <c r="C420" s="140" t="s">
        <v>1744</v>
      </c>
      <c r="D420" s="163" t="s">
        <v>3563</v>
      </c>
      <c r="E420" s="140" t="s">
        <v>2459</v>
      </c>
      <c r="F420" s="140">
        <v>-14.62</v>
      </c>
      <c r="G420" s="140">
        <v>132.45400000000001</v>
      </c>
      <c r="H420" s="140">
        <v>0</v>
      </c>
      <c r="I420" s="141">
        <v>42905</v>
      </c>
      <c r="J420" s="140" t="s">
        <v>2556</v>
      </c>
      <c r="K420" s="149" t="s">
        <v>177</v>
      </c>
      <c r="L420" s="140" t="s">
        <v>1687</v>
      </c>
      <c r="M420" s="140" t="s">
        <v>2563</v>
      </c>
      <c r="N420" s="140" t="s">
        <v>2562</v>
      </c>
      <c r="O420" s="140" t="s">
        <v>2103</v>
      </c>
      <c r="P420" s="149" t="s">
        <v>2103</v>
      </c>
      <c r="Q420" s="140" t="s">
        <v>2405</v>
      </c>
      <c r="R420" s="140" t="s">
        <v>2713</v>
      </c>
      <c r="S420" s="140">
        <v>6.8199999999999997E-2</v>
      </c>
      <c r="T420" s="140">
        <v>6.7166000000000003E-2</v>
      </c>
      <c r="U420" s="142">
        <f t="shared" si="15"/>
        <v>1.0339999999999933E-3</v>
      </c>
      <c r="V420" s="140">
        <v>1.7350000000000001</v>
      </c>
      <c r="W420" s="142">
        <f>3.696+2.446</f>
        <v>6.1420000000000003</v>
      </c>
      <c r="X420" s="140">
        <f t="shared" si="16"/>
        <v>10.656370000000001</v>
      </c>
      <c r="Y420" s="140">
        <v>2</v>
      </c>
    </row>
    <row r="421" spans="1:25" ht="16">
      <c r="A421" s="117" t="s">
        <v>3570</v>
      </c>
      <c r="B421" s="139" t="s">
        <v>2293</v>
      </c>
      <c r="C421" s="140" t="s">
        <v>1744</v>
      </c>
      <c r="D421" s="163" t="s">
        <v>3563</v>
      </c>
      <c r="E421" s="140" t="s">
        <v>2460</v>
      </c>
      <c r="F421" s="140">
        <v>-14.522</v>
      </c>
      <c r="G421" s="140">
        <v>132.45400000000001</v>
      </c>
      <c r="H421" s="140">
        <v>0</v>
      </c>
      <c r="I421" s="141">
        <v>42919</v>
      </c>
      <c r="J421" s="140" t="s">
        <v>2556</v>
      </c>
      <c r="K421" s="149" t="s">
        <v>177</v>
      </c>
      <c r="L421" s="140" t="s">
        <v>2566</v>
      </c>
      <c r="M421" s="140" t="s">
        <v>2567</v>
      </c>
      <c r="N421" s="140" t="s">
        <v>2668</v>
      </c>
      <c r="O421" s="140" t="s">
        <v>2105</v>
      </c>
      <c r="P421" s="140" t="s">
        <v>2105</v>
      </c>
      <c r="Q421" s="140" t="s">
        <v>2387</v>
      </c>
      <c r="R421" s="140" t="s">
        <v>2712</v>
      </c>
      <c r="S421" s="140">
        <v>6.0000000000000001E-3</v>
      </c>
      <c r="T421" s="149">
        <v>2.6680000000000011E-3</v>
      </c>
      <c r="U421" s="142">
        <f t="shared" si="15"/>
        <v>3.331999999999999E-3</v>
      </c>
      <c r="V421" s="140">
        <v>1.2490000000000001</v>
      </c>
      <c r="W421" s="142">
        <f>2.701+1.047+1.532</f>
        <v>5.28</v>
      </c>
      <c r="X421" s="140">
        <f t="shared" si="16"/>
        <v>6.5947200000000006</v>
      </c>
      <c r="Y421" s="140">
        <v>4</v>
      </c>
    </row>
    <row r="422" spans="1:25" ht="16">
      <c r="A422" s="117" t="s">
        <v>3570</v>
      </c>
      <c r="B422" s="150" t="s">
        <v>2294</v>
      </c>
      <c r="C422" s="149" t="s">
        <v>1744</v>
      </c>
      <c r="D422" s="163" t="s">
        <v>3563</v>
      </c>
      <c r="E422" s="149" t="s">
        <v>2461</v>
      </c>
      <c r="F422" s="149">
        <v>-14.62</v>
      </c>
      <c r="G422" s="149">
        <v>132.45400000000001</v>
      </c>
      <c r="H422" s="149">
        <v>0</v>
      </c>
      <c r="I422" s="151">
        <v>42912</v>
      </c>
      <c r="J422" s="149" t="s">
        <v>2556</v>
      </c>
      <c r="K422" s="149" t="s">
        <v>177</v>
      </c>
      <c r="L422" s="149" t="s">
        <v>1687</v>
      </c>
      <c r="M422" s="149" t="s">
        <v>2564</v>
      </c>
      <c r="N422" s="149" t="s">
        <v>2565</v>
      </c>
      <c r="O422" s="149" t="s">
        <v>2095</v>
      </c>
      <c r="P422" s="149" t="s">
        <v>2095</v>
      </c>
      <c r="Q422" s="149" t="s">
        <v>2685</v>
      </c>
      <c r="R422" s="149" t="s">
        <v>2713</v>
      </c>
      <c r="S422" s="149">
        <v>0.04</v>
      </c>
      <c r="T422" s="149">
        <v>3.8671999999999984E-2</v>
      </c>
      <c r="U422" s="70">
        <f t="shared" si="15"/>
        <v>1.3280000000000167E-3</v>
      </c>
      <c r="V422" s="149">
        <v>2.1920000000000002</v>
      </c>
      <c r="W422" s="70">
        <v>8.5020000000000007</v>
      </c>
      <c r="X422" s="149">
        <f t="shared" si="16"/>
        <v>18.636384000000003</v>
      </c>
      <c r="Y422" s="149">
        <v>3</v>
      </c>
    </row>
    <row r="423" spans="1:25" ht="16">
      <c r="A423" s="117" t="s">
        <v>3570</v>
      </c>
      <c r="B423" s="150" t="s">
        <v>2295</v>
      </c>
      <c r="C423" s="149" t="s">
        <v>1744</v>
      </c>
      <c r="D423" s="163" t="s">
        <v>3563</v>
      </c>
      <c r="E423" s="149" t="s">
        <v>2462</v>
      </c>
      <c r="F423" s="149">
        <v>-14.62</v>
      </c>
      <c r="G423" s="149">
        <v>132.45400000000001</v>
      </c>
      <c r="H423" s="149">
        <v>0</v>
      </c>
      <c r="I423" s="151">
        <v>42901</v>
      </c>
      <c r="J423" s="149" t="s">
        <v>2556</v>
      </c>
      <c r="K423" s="149" t="s">
        <v>177</v>
      </c>
      <c r="L423" s="149" t="s">
        <v>1687</v>
      </c>
      <c r="M423" s="149" t="s">
        <v>2563</v>
      </c>
      <c r="N423" s="149" t="s">
        <v>2562</v>
      </c>
      <c r="O423" s="149" t="s">
        <v>2103</v>
      </c>
      <c r="P423" s="149" t="s">
        <v>2103</v>
      </c>
      <c r="Q423" s="149" t="s">
        <v>2405</v>
      </c>
      <c r="R423" s="149" t="s">
        <v>2713</v>
      </c>
      <c r="S423" s="149">
        <v>4.1000000000000002E-2</v>
      </c>
      <c r="T423" s="149">
        <v>3.8671999999999984E-2</v>
      </c>
      <c r="U423" s="70">
        <f t="shared" si="15"/>
        <v>2.3280000000000176E-3</v>
      </c>
      <c r="V423" s="149">
        <v>1.7390000000000001</v>
      </c>
      <c r="W423" s="70">
        <f>2.84+3.434</f>
        <v>6.274</v>
      </c>
      <c r="X423" s="149">
        <f t="shared" si="16"/>
        <v>10.910486000000001</v>
      </c>
      <c r="Y423" s="149">
        <v>3</v>
      </c>
    </row>
    <row r="424" spans="1:25" ht="16">
      <c r="A424" s="117" t="s">
        <v>3570</v>
      </c>
      <c r="B424" s="150" t="s">
        <v>2296</v>
      </c>
      <c r="C424" s="149" t="s">
        <v>1744</v>
      </c>
      <c r="D424" s="163" t="s">
        <v>3563</v>
      </c>
      <c r="E424" s="149" t="s">
        <v>2463</v>
      </c>
      <c r="F424" s="149">
        <v>-14.62</v>
      </c>
      <c r="G424" s="149">
        <v>132.45400000000001</v>
      </c>
      <c r="H424" s="149">
        <v>0</v>
      </c>
      <c r="I424" s="151">
        <v>42901</v>
      </c>
      <c r="J424" s="149" t="s">
        <v>2556</v>
      </c>
      <c r="K424" s="149" t="s">
        <v>177</v>
      </c>
      <c r="L424" s="149" t="s">
        <v>1687</v>
      </c>
      <c r="M424" s="149" t="s">
        <v>2563</v>
      </c>
      <c r="N424" s="149" t="s">
        <v>2562</v>
      </c>
      <c r="O424" s="149" t="s">
        <v>2103</v>
      </c>
      <c r="P424" s="149" t="s">
        <v>2103</v>
      </c>
      <c r="Q424" s="149" t="s">
        <v>2405</v>
      </c>
      <c r="R424" s="149" t="s">
        <v>2713</v>
      </c>
      <c r="S424" s="149">
        <v>4.0599999999999997E-2</v>
      </c>
      <c r="T424" s="149">
        <v>3.8671999999999984E-2</v>
      </c>
      <c r="U424" s="70">
        <f t="shared" si="15"/>
        <v>1.928000000000013E-3</v>
      </c>
      <c r="V424" s="149">
        <v>1.7909999999999999</v>
      </c>
      <c r="W424" s="70">
        <f>3.363+2.621</f>
        <v>5.984</v>
      </c>
      <c r="X424" s="149">
        <f t="shared" si="16"/>
        <v>10.717343999999999</v>
      </c>
      <c r="Y424" s="149">
        <v>3</v>
      </c>
    </row>
    <row r="425" spans="1:25" ht="16">
      <c r="A425" s="117" t="s">
        <v>3570</v>
      </c>
      <c r="B425" s="150" t="s">
        <v>2297</v>
      </c>
      <c r="C425" s="149" t="s">
        <v>1744</v>
      </c>
      <c r="D425" s="163" t="s">
        <v>3563</v>
      </c>
      <c r="E425" s="149" t="s">
        <v>2464</v>
      </c>
      <c r="F425" s="149">
        <v>-14.62</v>
      </c>
      <c r="G425" s="149">
        <v>132.45400000000001</v>
      </c>
      <c r="H425" s="149">
        <v>0</v>
      </c>
      <c r="I425" s="151">
        <v>42905</v>
      </c>
      <c r="J425" s="149" t="s">
        <v>2556</v>
      </c>
      <c r="K425" s="149" t="s">
        <v>177</v>
      </c>
      <c r="L425" s="149" t="s">
        <v>1687</v>
      </c>
      <c r="M425" s="149" t="s">
        <v>2563</v>
      </c>
      <c r="N425" s="149" t="s">
        <v>2562</v>
      </c>
      <c r="O425" s="149" t="s">
        <v>2103</v>
      </c>
      <c r="P425" s="149" t="s">
        <v>2103</v>
      </c>
      <c r="Q425" s="149" t="s">
        <v>2405</v>
      </c>
      <c r="R425" s="149" t="s">
        <v>2713</v>
      </c>
      <c r="S425" s="149">
        <v>4.0099999999999997E-2</v>
      </c>
      <c r="T425" s="149">
        <v>3.8671999999999984E-2</v>
      </c>
      <c r="U425" s="70">
        <f t="shared" si="15"/>
        <v>1.4280000000000126E-3</v>
      </c>
      <c r="V425" s="149">
        <v>1.839</v>
      </c>
      <c r="W425" s="70">
        <f>3.558+2.191</f>
        <v>5.7489999999999997</v>
      </c>
      <c r="X425" s="149">
        <f t="shared" si="16"/>
        <v>10.572410999999999</v>
      </c>
      <c r="Y425" s="149">
        <v>3</v>
      </c>
    </row>
    <row r="426" spans="1:25" ht="16">
      <c r="A426" s="117" t="s">
        <v>3570</v>
      </c>
      <c r="B426" s="150" t="s">
        <v>2298</v>
      </c>
      <c r="C426" s="149" t="s">
        <v>1744</v>
      </c>
      <c r="D426" s="163" t="s">
        <v>3563</v>
      </c>
      <c r="E426" s="149" t="s">
        <v>2465</v>
      </c>
      <c r="F426" s="149">
        <v>-14.62</v>
      </c>
      <c r="G426" s="149">
        <v>132.45400000000001</v>
      </c>
      <c r="H426" s="149">
        <v>0</v>
      </c>
      <c r="I426" s="151">
        <v>42906</v>
      </c>
      <c r="J426" s="149" t="s">
        <v>2556</v>
      </c>
      <c r="K426" s="149" t="s">
        <v>177</v>
      </c>
      <c r="L426" s="149" t="s">
        <v>1687</v>
      </c>
      <c r="M426" s="149" t="s">
        <v>2563</v>
      </c>
      <c r="N426" s="149" t="s">
        <v>2562</v>
      </c>
      <c r="O426" s="149" t="s">
        <v>2103</v>
      </c>
      <c r="P426" s="149" t="s">
        <v>2103</v>
      </c>
      <c r="Q426" s="149" t="s">
        <v>2405</v>
      </c>
      <c r="R426" s="149" t="s">
        <v>2713</v>
      </c>
      <c r="S426" s="149">
        <v>3.9699999999999999E-2</v>
      </c>
      <c r="T426" s="149">
        <v>3.8671999999999984E-2</v>
      </c>
      <c r="U426" s="70">
        <f t="shared" si="15"/>
        <v>1.028000000000015E-3</v>
      </c>
      <c r="V426" s="149">
        <v>2.101</v>
      </c>
      <c r="W426" s="70">
        <f>3.325+2.803</f>
        <v>6.1280000000000001</v>
      </c>
      <c r="X426" s="149">
        <f t="shared" si="16"/>
        <v>12.874928000000001</v>
      </c>
      <c r="Y426" s="149">
        <v>3</v>
      </c>
    </row>
    <row r="427" spans="1:25" ht="16">
      <c r="A427" s="117" t="s">
        <v>3570</v>
      </c>
      <c r="B427" s="150" t="s">
        <v>2299</v>
      </c>
      <c r="C427" s="149" t="s">
        <v>1744</v>
      </c>
      <c r="D427" s="163" t="s">
        <v>3563</v>
      </c>
      <c r="E427" s="149" t="s">
        <v>2466</v>
      </c>
      <c r="F427" s="149">
        <v>-14.62</v>
      </c>
      <c r="G427" s="149">
        <v>132.45400000000001</v>
      </c>
      <c r="H427" s="149">
        <v>0</v>
      </c>
      <c r="I427" s="151">
        <v>42905</v>
      </c>
      <c r="J427" s="149" t="s">
        <v>2556</v>
      </c>
      <c r="K427" s="149" t="s">
        <v>177</v>
      </c>
      <c r="L427" s="149" t="s">
        <v>1687</v>
      </c>
      <c r="M427" s="149" t="s">
        <v>2563</v>
      </c>
      <c r="N427" s="149" t="s">
        <v>2562</v>
      </c>
      <c r="O427" s="149" t="s">
        <v>2103</v>
      </c>
      <c r="P427" s="149" t="s">
        <v>2103</v>
      </c>
      <c r="Q427" s="149" t="s">
        <v>2405</v>
      </c>
      <c r="R427" s="149" t="s">
        <v>2713</v>
      </c>
      <c r="S427" s="149">
        <v>4.02E-2</v>
      </c>
      <c r="T427" s="149">
        <v>3.8671999999999984E-2</v>
      </c>
      <c r="U427" s="70">
        <f t="shared" si="15"/>
        <v>1.5280000000000155E-3</v>
      </c>
      <c r="V427" s="149">
        <v>1.8580000000000001</v>
      </c>
      <c r="W427" s="70">
        <f>3.696+1.994</f>
        <v>5.69</v>
      </c>
      <c r="X427" s="149">
        <f t="shared" si="16"/>
        <v>10.572020000000002</v>
      </c>
      <c r="Y427" s="149">
        <v>3</v>
      </c>
    </row>
    <row r="428" spans="1:25" ht="16">
      <c r="A428" s="117" t="s">
        <v>3570</v>
      </c>
      <c r="B428" s="150" t="s">
        <v>2300</v>
      </c>
      <c r="C428" s="149" t="s">
        <v>1744</v>
      </c>
      <c r="D428" s="163" t="s">
        <v>3563</v>
      </c>
      <c r="E428" s="149" t="s">
        <v>2467</v>
      </c>
      <c r="F428" s="149">
        <v>-14.62</v>
      </c>
      <c r="G428" s="149">
        <v>132.45400000000001</v>
      </c>
      <c r="H428" s="149">
        <v>0</v>
      </c>
      <c r="I428" s="151">
        <v>42901</v>
      </c>
      <c r="J428" s="149" t="s">
        <v>2556</v>
      </c>
      <c r="K428" s="149" t="s">
        <v>177</v>
      </c>
      <c r="L428" s="149" t="s">
        <v>1687</v>
      </c>
      <c r="M428" s="149" t="s">
        <v>2563</v>
      </c>
      <c r="N428" s="149" t="s">
        <v>2562</v>
      </c>
      <c r="O428" s="149" t="s">
        <v>2103</v>
      </c>
      <c r="P428" s="149" t="s">
        <v>2103</v>
      </c>
      <c r="Q428" s="149" t="s">
        <v>2405</v>
      </c>
      <c r="R428" s="149" t="s">
        <v>2713</v>
      </c>
      <c r="S428" s="149">
        <v>4.0500000000000001E-2</v>
      </c>
      <c r="T428" s="149">
        <v>3.8671999999999984E-2</v>
      </c>
      <c r="U428" s="70">
        <f t="shared" si="15"/>
        <v>1.8280000000000171E-3</v>
      </c>
      <c r="V428" s="149">
        <v>1.855</v>
      </c>
      <c r="W428" s="70">
        <f>3.972+2.396</f>
        <v>6.3680000000000003</v>
      </c>
      <c r="X428" s="149">
        <f t="shared" si="16"/>
        <v>11.81264</v>
      </c>
      <c r="Y428" s="149">
        <v>3</v>
      </c>
    </row>
    <row r="429" spans="1:25" ht="16">
      <c r="A429" s="117" t="s">
        <v>3570</v>
      </c>
      <c r="B429" s="150" t="s">
        <v>2301</v>
      </c>
      <c r="C429" s="149" t="s">
        <v>1744</v>
      </c>
      <c r="D429" s="163" t="s">
        <v>3563</v>
      </c>
      <c r="E429" s="149" t="s">
        <v>2468</v>
      </c>
      <c r="F429" s="149">
        <v>-14.521000000000001</v>
      </c>
      <c r="G429" s="149">
        <v>132.446</v>
      </c>
      <c r="H429" s="149">
        <v>0</v>
      </c>
      <c r="I429" s="151">
        <v>42924</v>
      </c>
      <c r="J429" s="149" t="s">
        <v>2556</v>
      </c>
      <c r="K429" s="149" t="s">
        <v>177</v>
      </c>
      <c r="L429" s="149" t="s">
        <v>1687</v>
      </c>
      <c r="M429" s="149" t="s">
        <v>2563</v>
      </c>
      <c r="N429" s="149" t="s">
        <v>2562</v>
      </c>
      <c r="O429" s="149" t="s">
        <v>2106</v>
      </c>
      <c r="P429" s="149" t="s">
        <v>2106</v>
      </c>
      <c r="Q429" s="149" t="s">
        <v>2107</v>
      </c>
      <c r="R429" s="149" t="s">
        <v>2713</v>
      </c>
      <c r="S429" s="149">
        <v>4.1500000000000002E-2</v>
      </c>
      <c r="T429" s="149">
        <v>3.8671999999999984E-2</v>
      </c>
      <c r="U429" s="70">
        <f t="shared" si="15"/>
        <v>2.828000000000018E-3</v>
      </c>
      <c r="V429" s="149">
        <v>2.1459999999999999</v>
      </c>
      <c r="W429" s="70">
        <f>2.703+4.052</f>
        <v>6.754999999999999</v>
      </c>
      <c r="X429" s="149">
        <f t="shared" si="16"/>
        <v>14.496229999999997</v>
      </c>
      <c r="Y429" s="149">
        <v>3</v>
      </c>
    </row>
    <row r="430" spans="1:25" ht="16">
      <c r="A430" s="117" t="s">
        <v>3570</v>
      </c>
      <c r="B430" s="150" t="s">
        <v>2302</v>
      </c>
      <c r="C430" s="149" t="s">
        <v>1744</v>
      </c>
      <c r="D430" s="163" t="s">
        <v>3563</v>
      </c>
      <c r="E430" s="149" t="s">
        <v>2469</v>
      </c>
      <c r="F430" s="149">
        <v>-14.522</v>
      </c>
      <c r="G430" s="149">
        <v>132.45400000000001</v>
      </c>
      <c r="H430" s="149">
        <v>0</v>
      </c>
      <c r="I430" s="151">
        <v>42919</v>
      </c>
      <c r="J430" s="149" t="s">
        <v>2556</v>
      </c>
      <c r="K430" s="149" t="s">
        <v>177</v>
      </c>
      <c r="L430" s="149" t="s">
        <v>2566</v>
      </c>
      <c r="M430" s="149" t="s">
        <v>2567</v>
      </c>
      <c r="N430" s="149" t="s">
        <v>2668</v>
      </c>
      <c r="O430" s="149" t="s">
        <v>2105</v>
      </c>
      <c r="P430" s="140" t="s">
        <v>2105</v>
      </c>
      <c r="Q430" s="149" t="s">
        <v>2387</v>
      </c>
      <c r="R430" s="149" t="s">
        <v>2712</v>
      </c>
      <c r="S430" s="149">
        <v>5.0000000000000001E-3</v>
      </c>
      <c r="T430" s="149">
        <v>2.6680000000000011E-3</v>
      </c>
      <c r="U430" s="70">
        <f t="shared" si="15"/>
        <v>2.331999999999999E-3</v>
      </c>
      <c r="V430" s="149">
        <v>1.139</v>
      </c>
      <c r="W430" s="70">
        <f>3.199+2.003</f>
        <v>5.202</v>
      </c>
      <c r="X430" s="149">
        <f t="shared" si="16"/>
        <v>5.9250780000000001</v>
      </c>
      <c r="Y430" s="149">
        <v>4</v>
      </c>
    </row>
    <row r="431" spans="1:25" ht="16">
      <c r="A431" s="117" t="s">
        <v>3570</v>
      </c>
      <c r="B431" s="150" t="s">
        <v>2303</v>
      </c>
      <c r="C431" s="149" t="s">
        <v>1744</v>
      </c>
      <c r="D431" s="163" t="s">
        <v>3563</v>
      </c>
      <c r="E431" s="149" t="s">
        <v>2470</v>
      </c>
      <c r="F431" s="149">
        <v>-14.62</v>
      </c>
      <c r="G431" s="149">
        <v>132.45400000000001</v>
      </c>
      <c r="H431" s="149">
        <v>0</v>
      </c>
      <c r="I431" s="151">
        <v>42936</v>
      </c>
      <c r="J431" s="149" t="s">
        <v>2556</v>
      </c>
      <c r="K431" s="149" t="s">
        <v>177</v>
      </c>
      <c r="L431" s="149" t="s">
        <v>2569</v>
      </c>
      <c r="M431" s="149" t="s">
        <v>2570</v>
      </c>
      <c r="N431" s="149" t="s">
        <v>2571</v>
      </c>
      <c r="O431" s="149" t="s">
        <v>2369</v>
      </c>
      <c r="P431" s="149" t="s">
        <v>3556</v>
      </c>
      <c r="Q431" s="149" t="s">
        <v>2681</v>
      </c>
      <c r="R431" s="149" t="s">
        <v>2712</v>
      </c>
      <c r="S431" s="149">
        <v>7.1599999999999997E-2</v>
      </c>
      <c r="T431" s="149">
        <v>6.7166000000000003E-2</v>
      </c>
      <c r="U431" s="70">
        <f t="shared" si="15"/>
        <v>4.4339999999999935E-3</v>
      </c>
      <c r="V431" s="149">
        <v>2.8849999999999998</v>
      </c>
      <c r="W431" s="70">
        <f>5.988+1.69+2.395</f>
        <v>10.073</v>
      </c>
      <c r="X431" s="149">
        <f t="shared" si="16"/>
        <v>29.060604999999999</v>
      </c>
      <c r="Y431" s="149">
        <v>2</v>
      </c>
    </row>
    <row r="432" spans="1:25" ht="16">
      <c r="A432" s="117" t="s">
        <v>3570</v>
      </c>
      <c r="B432" s="150" t="s">
        <v>2304</v>
      </c>
      <c r="C432" s="149" t="s">
        <v>1744</v>
      </c>
      <c r="D432" s="163" t="s">
        <v>3563</v>
      </c>
      <c r="E432" s="149" t="s">
        <v>2471</v>
      </c>
      <c r="F432" s="149">
        <v>-14.62</v>
      </c>
      <c r="G432" s="149">
        <v>132.45400000000001</v>
      </c>
      <c r="H432" s="149">
        <v>0</v>
      </c>
      <c r="I432" s="151">
        <v>42938</v>
      </c>
      <c r="J432" s="149" t="s">
        <v>2556</v>
      </c>
      <c r="K432" s="149" t="s">
        <v>177</v>
      </c>
      <c r="L432" s="149" t="s">
        <v>1687</v>
      </c>
      <c r="M432" s="149" t="s">
        <v>2564</v>
      </c>
      <c r="N432" s="149" t="s">
        <v>2565</v>
      </c>
      <c r="O432" s="149" t="s">
        <v>2095</v>
      </c>
      <c r="P432" s="149" t="s">
        <v>2095</v>
      </c>
      <c r="Q432" s="149" t="s">
        <v>2684</v>
      </c>
      <c r="R432" s="149" t="s">
        <v>2713</v>
      </c>
      <c r="S432" s="149">
        <v>4.02E-2</v>
      </c>
      <c r="T432" s="149">
        <v>3.8671999999999984E-2</v>
      </c>
      <c r="U432" s="70">
        <f t="shared" ref="U432:U469" si="18">S432-T432</f>
        <v>1.5280000000000155E-3</v>
      </c>
      <c r="V432" s="149">
        <v>1.637</v>
      </c>
      <c r="W432" s="70">
        <v>7.3470000000000004</v>
      </c>
      <c r="X432" s="149">
        <f t="shared" ref="X432:X495" si="19">V432*W432</f>
        <v>12.027039</v>
      </c>
      <c r="Y432" s="149">
        <v>3</v>
      </c>
    </row>
    <row r="433" spans="1:25" ht="16">
      <c r="A433" s="117" t="s">
        <v>3570</v>
      </c>
      <c r="B433" s="150" t="s">
        <v>2305</v>
      </c>
      <c r="C433" s="149" t="s">
        <v>1744</v>
      </c>
      <c r="D433" s="163" t="s">
        <v>3563</v>
      </c>
      <c r="E433" s="149" t="s">
        <v>2472</v>
      </c>
      <c r="F433" s="149">
        <v>-14.62</v>
      </c>
      <c r="G433" s="149">
        <v>132.45400000000001</v>
      </c>
      <c r="H433" s="149">
        <v>0</v>
      </c>
      <c r="I433" s="151">
        <v>42943</v>
      </c>
      <c r="J433" s="149" t="s">
        <v>2556</v>
      </c>
      <c r="K433" s="149" t="s">
        <v>177</v>
      </c>
      <c r="L433" s="149" t="s">
        <v>2569</v>
      </c>
      <c r="M433" s="149" t="s">
        <v>2570</v>
      </c>
      <c r="N433" s="149" t="s">
        <v>2571</v>
      </c>
      <c r="O433" s="149" t="s">
        <v>2369</v>
      </c>
      <c r="P433" s="149" t="s">
        <v>2737</v>
      </c>
      <c r="Q433" s="149" t="s">
        <v>2396</v>
      </c>
      <c r="R433" s="149" t="s">
        <v>2713</v>
      </c>
      <c r="S433" s="149">
        <v>7.8200000000000006E-2</v>
      </c>
      <c r="T433" s="149">
        <v>6.7166000000000003E-2</v>
      </c>
      <c r="U433" s="70">
        <f t="shared" si="18"/>
        <v>1.1034000000000002E-2</v>
      </c>
      <c r="V433" s="149">
        <v>3.6589999999999998</v>
      </c>
      <c r="W433" s="70">
        <v>13.462999999999999</v>
      </c>
      <c r="X433" s="149">
        <f t="shared" si="19"/>
        <v>49.261116999999992</v>
      </c>
      <c r="Y433" s="149">
        <v>2</v>
      </c>
    </row>
    <row r="434" spans="1:25" ht="16">
      <c r="A434" s="117" t="s">
        <v>3570</v>
      </c>
      <c r="B434" s="150" t="s">
        <v>2306</v>
      </c>
      <c r="C434" s="149" t="s">
        <v>1744</v>
      </c>
      <c r="D434" s="163" t="s">
        <v>3563</v>
      </c>
      <c r="E434" s="149" t="s">
        <v>2473</v>
      </c>
      <c r="F434" s="149">
        <v>-14.62</v>
      </c>
      <c r="G434" s="149">
        <v>132.45400000000001</v>
      </c>
      <c r="H434" s="149">
        <v>0</v>
      </c>
      <c r="I434" s="151">
        <v>42931</v>
      </c>
      <c r="J434" s="149" t="s">
        <v>2556</v>
      </c>
      <c r="K434" s="149" t="s">
        <v>177</v>
      </c>
      <c r="L434" s="149" t="s">
        <v>1687</v>
      </c>
      <c r="M434" s="149" t="s">
        <v>2563</v>
      </c>
      <c r="N434" s="149" t="s">
        <v>2562</v>
      </c>
      <c r="O434" s="149" t="s">
        <v>2103</v>
      </c>
      <c r="P434" s="149" t="s">
        <v>2103</v>
      </c>
      <c r="Q434" s="149" t="s">
        <v>2405</v>
      </c>
      <c r="R434" s="149" t="s">
        <v>2713</v>
      </c>
      <c r="S434" s="149">
        <v>4.0300000000000002E-2</v>
      </c>
      <c r="T434" s="149">
        <v>3.8671999999999984E-2</v>
      </c>
      <c r="U434" s="70">
        <f t="shared" si="18"/>
        <v>1.6280000000000183E-3</v>
      </c>
      <c r="V434" s="149">
        <v>1.734</v>
      </c>
      <c r="W434" s="70">
        <f>2.624+3.568</f>
        <v>6.1920000000000002</v>
      </c>
      <c r="X434" s="149">
        <f t="shared" si="19"/>
        <v>10.736928000000001</v>
      </c>
      <c r="Y434" s="149">
        <v>3</v>
      </c>
    </row>
    <row r="435" spans="1:25" ht="16">
      <c r="A435" s="117" t="s">
        <v>3570</v>
      </c>
      <c r="B435" s="150" t="s">
        <v>2308</v>
      </c>
      <c r="C435" s="149" t="s">
        <v>1744</v>
      </c>
      <c r="D435" s="163" t="s">
        <v>3565</v>
      </c>
      <c r="E435" s="149" t="s">
        <v>2475</v>
      </c>
      <c r="F435" s="149">
        <v>-28.536000000000001</v>
      </c>
      <c r="G435" s="149">
        <v>151.95500000000001</v>
      </c>
      <c r="H435" s="149">
        <v>0</v>
      </c>
      <c r="I435" s="151">
        <v>43018</v>
      </c>
      <c r="J435" s="149" t="s">
        <v>2558</v>
      </c>
      <c r="K435" s="149" t="s">
        <v>177</v>
      </c>
      <c r="L435" s="149" t="s">
        <v>2566</v>
      </c>
      <c r="M435" s="149" t="s">
        <v>2567</v>
      </c>
      <c r="N435" s="149" t="s">
        <v>2668</v>
      </c>
      <c r="O435" s="140" t="s">
        <v>2600</v>
      </c>
      <c r="P435" s="149" t="s">
        <v>2735</v>
      </c>
      <c r="Q435" s="149" t="s">
        <v>2384</v>
      </c>
      <c r="R435" s="149" t="s">
        <v>2713</v>
      </c>
      <c r="S435" s="149">
        <v>4.6600000000000003E-2</v>
      </c>
      <c r="T435" s="149">
        <v>3.8671999999999984E-2</v>
      </c>
      <c r="U435" s="70">
        <f t="shared" si="18"/>
        <v>7.9280000000000184E-3</v>
      </c>
      <c r="V435" s="149">
        <v>2.698</v>
      </c>
      <c r="W435" s="70">
        <f>6.327+5.539</f>
        <v>11.866</v>
      </c>
      <c r="X435" s="149">
        <f t="shared" si="19"/>
        <v>32.014468000000001</v>
      </c>
      <c r="Y435" s="149">
        <v>3</v>
      </c>
    </row>
    <row r="436" spans="1:25" ht="16">
      <c r="A436" s="117" t="s">
        <v>3570</v>
      </c>
      <c r="B436" s="150" t="s">
        <v>2309</v>
      </c>
      <c r="C436" s="149" t="s">
        <v>1744</v>
      </c>
      <c r="D436" s="163" t="s">
        <v>3565</v>
      </c>
      <c r="E436" s="149" t="s">
        <v>2476</v>
      </c>
      <c r="F436" s="149">
        <v>-28.521999999999998</v>
      </c>
      <c r="G436" s="149">
        <v>151.9</v>
      </c>
      <c r="H436" s="149">
        <v>0</v>
      </c>
      <c r="I436" s="151">
        <v>43018</v>
      </c>
      <c r="J436" s="149" t="s">
        <v>2558</v>
      </c>
      <c r="K436" s="149" t="s">
        <v>177</v>
      </c>
      <c r="L436" s="149" t="s">
        <v>2566</v>
      </c>
      <c r="M436" s="149" t="s">
        <v>2567</v>
      </c>
      <c r="N436" s="149" t="s">
        <v>2668</v>
      </c>
      <c r="O436" s="140" t="s">
        <v>2600</v>
      </c>
      <c r="P436" s="149" t="s">
        <v>2735</v>
      </c>
      <c r="Q436" s="149" t="s">
        <v>2384</v>
      </c>
      <c r="R436" s="149" t="s">
        <v>2713</v>
      </c>
      <c r="S436" s="149">
        <v>4.7199999999999999E-2</v>
      </c>
      <c r="T436" s="149">
        <v>3.8671999999999984E-2</v>
      </c>
      <c r="U436" s="70">
        <f t="shared" si="18"/>
        <v>8.5280000000000147E-3</v>
      </c>
      <c r="V436" s="149">
        <v>2.9809999999999999</v>
      </c>
      <c r="W436" s="70">
        <f>6.035+5.791</f>
        <v>11.826000000000001</v>
      </c>
      <c r="X436" s="149">
        <f t="shared" si="19"/>
        <v>35.253306000000002</v>
      </c>
      <c r="Y436" s="149">
        <v>3</v>
      </c>
    </row>
    <row r="437" spans="1:25" ht="16">
      <c r="A437" s="117" t="s">
        <v>3570</v>
      </c>
      <c r="B437" s="150" t="s">
        <v>2310</v>
      </c>
      <c r="C437" s="149" t="s">
        <v>1744</v>
      </c>
      <c r="D437" s="163" t="s">
        <v>3565</v>
      </c>
      <c r="E437" s="149" t="s">
        <v>2477</v>
      </c>
      <c r="F437" s="149">
        <v>-28.51</v>
      </c>
      <c r="G437" s="149">
        <v>151.86000000000001</v>
      </c>
      <c r="H437" s="149">
        <v>0</v>
      </c>
      <c r="I437" s="151">
        <v>43012</v>
      </c>
      <c r="J437" s="149" t="s">
        <v>2558</v>
      </c>
      <c r="K437" s="149" t="s">
        <v>177</v>
      </c>
      <c r="L437" s="149" t="s">
        <v>2566</v>
      </c>
      <c r="M437" s="149" t="s">
        <v>2567</v>
      </c>
      <c r="N437" s="149" t="s">
        <v>2668</v>
      </c>
      <c r="O437" s="140" t="s">
        <v>2600</v>
      </c>
      <c r="P437" s="149" t="s">
        <v>2735</v>
      </c>
      <c r="Q437" s="149" t="s">
        <v>2384</v>
      </c>
      <c r="R437" s="149" t="s">
        <v>2713</v>
      </c>
      <c r="S437" s="149">
        <v>4.7500000000000001E-2</v>
      </c>
      <c r="T437" s="149">
        <v>3.8671999999999984E-2</v>
      </c>
      <c r="U437" s="70">
        <f t="shared" si="18"/>
        <v>8.8280000000000164E-3</v>
      </c>
      <c r="V437" s="149">
        <v>2.9220000000000002</v>
      </c>
      <c r="W437" s="70">
        <v>12.401</v>
      </c>
      <c r="X437" s="149">
        <f t="shared" si="19"/>
        <v>36.235722000000003</v>
      </c>
      <c r="Y437" s="149">
        <v>3</v>
      </c>
    </row>
    <row r="438" spans="1:25" ht="16">
      <c r="A438" s="117" t="s">
        <v>3570</v>
      </c>
      <c r="B438" s="150" t="s">
        <v>2311</v>
      </c>
      <c r="C438" s="149" t="s">
        <v>1744</v>
      </c>
      <c r="D438" s="163" t="s">
        <v>3565</v>
      </c>
      <c r="E438" s="149" t="s">
        <v>2478</v>
      </c>
      <c r="F438" s="149">
        <v>-28.536000000000001</v>
      </c>
      <c r="G438" s="149">
        <v>151.95500000000001</v>
      </c>
      <c r="H438" s="149">
        <v>0</v>
      </c>
      <c r="I438" s="151">
        <v>43014</v>
      </c>
      <c r="J438" s="149" t="s">
        <v>2558</v>
      </c>
      <c r="K438" s="149" t="s">
        <v>177</v>
      </c>
      <c r="L438" s="149" t="s">
        <v>2566</v>
      </c>
      <c r="M438" s="149" t="s">
        <v>2567</v>
      </c>
      <c r="N438" s="149" t="s">
        <v>2668</v>
      </c>
      <c r="O438" s="140" t="s">
        <v>2600</v>
      </c>
      <c r="P438" s="149" t="s">
        <v>2735</v>
      </c>
      <c r="Q438" s="149" t="s">
        <v>2384</v>
      </c>
      <c r="R438" s="149" t="s">
        <v>2712</v>
      </c>
      <c r="S438" s="149">
        <v>7.3099999999999998E-2</v>
      </c>
      <c r="T438" s="149">
        <v>6.7166000000000003E-2</v>
      </c>
      <c r="U438" s="70">
        <f t="shared" si="18"/>
        <v>5.9339999999999948E-3</v>
      </c>
      <c r="V438" s="149">
        <v>2.5950000000000002</v>
      </c>
      <c r="W438" s="70">
        <f>5.53+7.981</f>
        <v>13.510999999999999</v>
      </c>
      <c r="X438" s="149">
        <f t="shared" si="19"/>
        <v>35.061045</v>
      </c>
      <c r="Y438" s="149">
        <v>2</v>
      </c>
    </row>
    <row r="439" spans="1:25" ht="16">
      <c r="A439" s="117" t="s">
        <v>3570</v>
      </c>
      <c r="B439" s="150" t="s">
        <v>2312</v>
      </c>
      <c r="C439" s="149" t="s">
        <v>1744</v>
      </c>
      <c r="D439" s="163" t="s">
        <v>3565</v>
      </c>
      <c r="E439" s="149" t="s">
        <v>2479</v>
      </c>
      <c r="F439" s="149">
        <v>-28.529</v>
      </c>
      <c r="G439" s="149">
        <v>151.90700000000001</v>
      </c>
      <c r="H439" s="149">
        <v>0</v>
      </c>
      <c r="I439" s="151">
        <v>43013</v>
      </c>
      <c r="J439" s="149" t="s">
        <v>2558</v>
      </c>
      <c r="K439" s="149" t="s">
        <v>177</v>
      </c>
      <c r="L439" s="149" t="s">
        <v>1687</v>
      </c>
      <c r="M439" s="149" t="s">
        <v>2563</v>
      </c>
      <c r="N439" s="149" t="s">
        <v>2710</v>
      </c>
      <c r="O439" s="149" t="s">
        <v>2403</v>
      </c>
      <c r="P439" s="149" t="s">
        <v>2403</v>
      </c>
      <c r="Q439" s="149" t="s">
        <v>2404</v>
      </c>
      <c r="R439" s="149" t="s">
        <v>2713</v>
      </c>
      <c r="S439" s="149">
        <v>5.6500000000000002E-2</v>
      </c>
      <c r="T439" s="149">
        <v>3.8671999999999984E-2</v>
      </c>
      <c r="U439" s="70">
        <f t="shared" si="18"/>
        <v>1.7828000000000017E-2</v>
      </c>
      <c r="V439" s="149">
        <v>4.2409999999999997</v>
      </c>
      <c r="W439" s="70">
        <f>7.246+8.291</f>
        <v>15.537000000000001</v>
      </c>
      <c r="X439" s="149">
        <f t="shared" si="19"/>
        <v>65.892416999999995</v>
      </c>
      <c r="Y439" s="149">
        <v>3</v>
      </c>
    </row>
    <row r="440" spans="1:25" ht="16">
      <c r="A440" s="117" t="s">
        <v>3570</v>
      </c>
      <c r="B440" s="150" t="s">
        <v>2313</v>
      </c>
      <c r="C440" s="149" t="s">
        <v>1744</v>
      </c>
      <c r="D440" s="163" t="s">
        <v>3565</v>
      </c>
      <c r="E440" s="149" t="s">
        <v>2480</v>
      </c>
      <c r="F440" s="149">
        <v>-28.512</v>
      </c>
      <c r="G440" s="149">
        <v>151.88</v>
      </c>
      <c r="H440" s="149">
        <v>0</v>
      </c>
      <c r="I440" s="151">
        <v>43004</v>
      </c>
      <c r="J440" s="149" t="s">
        <v>2558</v>
      </c>
      <c r="K440" s="149" t="s">
        <v>177</v>
      </c>
      <c r="L440" s="149" t="s">
        <v>1687</v>
      </c>
      <c r="M440" s="149" t="s">
        <v>2563</v>
      </c>
      <c r="N440" s="149" t="s">
        <v>2710</v>
      </c>
      <c r="O440" s="149" t="s">
        <v>2403</v>
      </c>
      <c r="P440" s="149" t="s">
        <v>2403</v>
      </c>
      <c r="Q440" s="149" t="s">
        <v>2404</v>
      </c>
      <c r="R440" s="149" t="s">
        <v>2713</v>
      </c>
      <c r="S440" s="149">
        <v>6.3E-2</v>
      </c>
      <c r="T440" s="149">
        <v>3.8671999999999984E-2</v>
      </c>
      <c r="U440" s="70">
        <f t="shared" si="18"/>
        <v>2.4328000000000016E-2</v>
      </c>
      <c r="V440" s="149">
        <v>4.8369999999999997</v>
      </c>
      <c r="W440" s="70">
        <f>9.209+7.755</f>
        <v>16.963999999999999</v>
      </c>
      <c r="X440" s="149">
        <f t="shared" si="19"/>
        <v>82.054867999999985</v>
      </c>
      <c r="Y440" s="149">
        <v>3</v>
      </c>
    </row>
    <row r="441" spans="1:25" ht="16">
      <c r="A441" s="117" t="s">
        <v>3570</v>
      </c>
      <c r="B441" s="150" t="s">
        <v>2314</v>
      </c>
      <c r="C441" s="149" t="s">
        <v>1744</v>
      </c>
      <c r="D441" s="163" t="s">
        <v>3565</v>
      </c>
      <c r="E441" s="149" t="s">
        <v>2481</v>
      </c>
      <c r="F441" s="149">
        <v>-28.536000000000001</v>
      </c>
      <c r="G441" s="149">
        <v>151.95500000000001</v>
      </c>
      <c r="H441" s="149">
        <v>0</v>
      </c>
      <c r="I441" s="151">
        <v>43018</v>
      </c>
      <c r="J441" s="149" t="s">
        <v>2558</v>
      </c>
      <c r="K441" s="149" t="s">
        <v>177</v>
      </c>
      <c r="L441" s="149" t="s">
        <v>1687</v>
      </c>
      <c r="M441" s="149" t="s">
        <v>2564</v>
      </c>
      <c r="N441" s="149" t="s">
        <v>2577</v>
      </c>
      <c r="O441" s="149" t="s">
        <v>2742</v>
      </c>
      <c r="P441" s="149" t="s">
        <v>2740</v>
      </c>
      <c r="Q441" s="149" t="s">
        <v>2389</v>
      </c>
      <c r="R441" s="149" t="s">
        <v>2713</v>
      </c>
      <c r="S441" s="149">
        <v>0.1857</v>
      </c>
      <c r="T441" s="149">
        <v>6.7166000000000003E-2</v>
      </c>
      <c r="U441" s="70">
        <f t="shared" si="18"/>
        <v>0.118534</v>
      </c>
      <c r="V441" s="149">
        <v>7.8380000000000001</v>
      </c>
      <c r="W441" s="70">
        <f>12.523+13.307</f>
        <v>25.83</v>
      </c>
      <c r="X441" s="149">
        <f t="shared" si="19"/>
        <v>202.45553999999998</v>
      </c>
      <c r="Y441" s="149">
        <v>2</v>
      </c>
    </row>
    <row r="442" spans="1:25" ht="16">
      <c r="A442" s="117" t="s">
        <v>3570</v>
      </c>
      <c r="B442" s="150" t="s">
        <v>2315</v>
      </c>
      <c r="C442" s="149" t="s">
        <v>1744</v>
      </c>
      <c r="D442" s="163" t="s">
        <v>3565</v>
      </c>
      <c r="E442" s="149" t="s">
        <v>2482</v>
      </c>
      <c r="F442" s="149">
        <v>-28.512</v>
      </c>
      <c r="G442" s="149">
        <v>151.88</v>
      </c>
      <c r="H442" s="149">
        <v>0</v>
      </c>
      <c r="I442" s="151">
        <v>43004</v>
      </c>
      <c r="J442" s="149" t="s">
        <v>2558</v>
      </c>
      <c r="K442" s="149" t="s">
        <v>177</v>
      </c>
      <c r="L442" s="149" t="s">
        <v>2569</v>
      </c>
      <c r="M442" s="149" t="s">
        <v>2570</v>
      </c>
      <c r="N442" s="149" t="s">
        <v>2571</v>
      </c>
      <c r="O442" s="149" t="s">
        <v>2369</v>
      </c>
      <c r="P442" s="149" t="s">
        <v>3556</v>
      </c>
      <c r="Q442" s="149" t="s">
        <v>2701</v>
      </c>
      <c r="R442" s="149" t="s">
        <v>2713</v>
      </c>
      <c r="S442" s="149">
        <v>6.2700000000000006E-2</v>
      </c>
      <c r="T442" s="149">
        <v>3.8671999999999984E-2</v>
      </c>
      <c r="U442" s="70">
        <f t="shared" si="18"/>
        <v>2.4028000000000022E-2</v>
      </c>
      <c r="V442" s="149">
        <v>4.319</v>
      </c>
      <c r="W442" s="70">
        <f>7.307+8.713</f>
        <v>16.02</v>
      </c>
      <c r="X442" s="149">
        <f t="shared" si="19"/>
        <v>69.19037999999999</v>
      </c>
      <c r="Y442" s="149">
        <v>3</v>
      </c>
    </row>
    <row r="443" spans="1:25" ht="16">
      <c r="A443" s="117" t="s">
        <v>3570</v>
      </c>
      <c r="B443" s="150" t="s">
        <v>2316</v>
      </c>
      <c r="C443" s="149" t="s">
        <v>1744</v>
      </c>
      <c r="D443" s="163" t="s">
        <v>3564</v>
      </c>
      <c r="E443" s="149" t="s">
        <v>2645</v>
      </c>
      <c r="F443" s="149">
        <v>-16.9011</v>
      </c>
      <c r="G443" s="149">
        <v>145.43090000000001</v>
      </c>
      <c r="H443" s="149">
        <v>0</v>
      </c>
      <c r="I443" s="151">
        <v>42957</v>
      </c>
      <c r="J443" s="149" t="s">
        <v>2556</v>
      </c>
      <c r="K443" s="149" t="s">
        <v>177</v>
      </c>
      <c r="L443" s="149" t="s">
        <v>1687</v>
      </c>
      <c r="M443" s="149" t="s">
        <v>2563</v>
      </c>
      <c r="N443" s="149" t="s">
        <v>2710</v>
      </c>
      <c r="O443" s="149" t="s">
        <v>2403</v>
      </c>
      <c r="P443" s="149" t="s">
        <v>2403</v>
      </c>
      <c r="Q443" s="149" t="s">
        <v>2404</v>
      </c>
      <c r="R443" s="149" t="s">
        <v>2713</v>
      </c>
      <c r="S443" s="149">
        <v>5.6500000000000002E-2</v>
      </c>
      <c r="T443" s="149">
        <v>3.8671999999999984E-2</v>
      </c>
      <c r="U443" s="70">
        <f t="shared" si="18"/>
        <v>1.7828000000000017E-2</v>
      </c>
      <c r="V443" s="149">
        <v>4.2880000000000003</v>
      </c>
      <c r="W443" s="70">
        <f>6.5+8.406</f>
        <v>14.906000000000001</v>
      </c>
      <c r="X443" s="149">
        <f t="shared" si="19"/>
        <v>63.916928000000006</v>
      </c>
      <c r="Y443" s="149">
        <v>3</v>
      </c>
    </row>
    <row r="444" spans="1:25" ht="16">
      <c r="A444" s="117" t="s">
        <v>3570</v>
      </c>
      <c r="B444" s="150" t="s">
        <v>2317</v>
      </c>
      <c r="C444" s="149" t="s">
        <v>1744</v>
      </c>
      <c r="D444" s="163" t="s">
        <v>3564</v>
      </c>
      <c r="E444" s="149" t="s">
        <v>2645</v>
      </c>
      <c r="F444" s="149">
        <v>-16.9011</v>
      </c>
      <c r="G444" s="149">
        <v>145.43090000000001</v>
      </c>
      <c r="H444" s="149">
        <v>0</v>
      </c>
      <c r="I444" s="151">
        <v>42957</v>
      </c>
      <c r="J444" s="149" t="s">
        <v>2556</v>
      </c>
      <c r="K444" s="149" t="s">
        <v>177</v>
      </c>
      <c r="L444" s="149" t="s">
        <v>1687</v>
      </c>
      <c r="M444" s="149" t="s">
        <v>2563</v>
      </c>
      <c r="N444" s="149" t="s">
        <v>2710</v>
      </c>
      <c r="O444" s="149" t="s">
        <v>2403</v>
      </c>
      <c r="P444" s="149" t="s">
        <v>2403</v>
      </c>
      <c r="Q444" s="149" t="s">
        <v>2406</v>
      </c>
      <c r="R444" s="149" t="s">
        <v>2713</v>
      </c>
      <c r="S444" s="149">
        <v>5.04E-2</v>
      </c>
      <c r="T444" s="149">
        <v>3.8671999999999984E-2</v>
      </c>
      <c r="U444" s="70">
        <f t="shared" si="18"/>
        <v>1.1728000000000016E-2</v>
      </c>
      <c r="V444" s="149">
        <v>3.6760000000000002</v>
      </c>
      <c r="W444" s="70">
        <f>7.517+6.737</f>
        <v>14.254000000000001</v>
      </c>
      <c r="X444" s="149">
        <f t="shared" si="19"/>
        <v>52.397704000000004</v>
      </c>
      <c r="Y444" s="149">
        <v>3</v>
      </c>
    </row>
    <row r="445" spans="1:25" ht="16">
      <c r="A445" s="117" t="s">
        <v>3570</v>
      </c>
      <c r="B445" s="150" t="s">
        <v>2318</v>
      </c>
      <c r="C445" s="149" t="s">
        <v>1744</v>
      </c>
      <c r="D445" s="163" t="s">
        <v>3564</v>
      </c>
      <c r="E445" s="149" t="s">
        <v>2645</v>
      </c>
      <c r="F445" s="149">
        <v>-16.9011</v>
      </c>
      <c r="G445" s="149">
        <v>145.43090000000001</v>
      </c>
      <c r="H445" s="149">
        <v>0</v>
      </c>
      <c r="I445" s="151">
        <v>42957</v>
      </c>
      <c r="J445" s="149" t="s">
        <v>2556</v>
      </c>
      <c r="K445" s="149" t="s">
        <v>177</v>
      </c>
      <c r="L445" s="149" t="s">
        <v>1687</v>
      </c>
      <c r="M445" s="149" t="s">
        <v>2563</v>
      </c>
      <c r="N445" s="149" t="s">
        <v>2710</v>
      </c>
      <c r="O445" s="149" t="s">
        <v>2403</v>
      </c>
      <c r="P445" s="149" t="s">
        <v>2403</v>
      </c>
      <c r="Q445" s="149" t="s">
        <v>2406</v>
      </c>
      <c r="R445" s="149" t="s">
        <v>2713</v>
      </c>
      <c r="S445" s="149">
        <v>4.9500000000000002E-2</v>
      </c>
      <c r="T445" s="149">
        <v>3.8671999999999984E-2</v>
      </c>
      <c r="U445" s="70">
        <f t="shared" si="18"/>
        <v>1.0828000000000018E-2</v>
      </c>
      <c r="V445" s="149">
        <v>3.5529999999999999</v>
      </c>
      <c r="W445" s="70">
        <f>6.521+7.279</f>
        <v>13.8</v>
      </c>
      <c r="X445" s="149">
        <f t="shared" si="19"/>
        <v>49.031400000000005</v>
      </c>
      <c r="Y445" s="149">
        <v>3</v>
      </c>
    </row>
    <row r="446" spans="1:25" ht="16">
      <c r="A446" s="117" t="s">
        <v>3570</v>
      </c>
      <c r="B446" s="150" t="s">
        <v>2319</v>
      </c>
      <c r="C446" s="149" t="s">
        <v>1744</v>
      </c>
      <c r="D446" s="163" t="s">
        <v>3564</v>
      </c>
      <c r="E446" s="149" t="s">
        <v>2645</v>
      </c>
      <c r="F446" s="149">
        <v>-16.9011</v>
      </c>
      <c r="G446" s="149">
        <v>145.43090000000001</v>
      </c>
      <c r="H446" s="149">
        <v>0</v>
      </c>
      <c r="I446" s="151">
        <v>42957</v>
      </c>
      <c r="J446" s="149" t="s">
        <v>2556</v>
      </c>
      <c r="K446" s="149" t="s">
        <v>177</v>
      </c>
      <c r="L446" s="149" t="s">
        <v>1687</v>
      </c>
      <c r="M446" s="149" t="s">
        <v>2563</v>
      </c>
      <c r="N446" s="149" t="s">
        <v>2710</v>
      </c>
      <c r="O446" s="149" t="s">
        <v>2403</v>
      </c>
      <c r="P446" s="149" t="s">
        <v>2403</v>
      </c>
      <c r="Q446" s="149" t="s">
        <v>2406</v>
      </c>
      <c r="R446" s="149" t="s">
        <v>2713</v>
      </c>
      <c r="S446" s="149">
        <v>8.0799999999999997E-2</v>
      </c>
      <c r="T446" s="149">
        <v>6.7166000000000003E-2</v>
      </c>
      <c r="U446" s="70">
        <f t="shared" si="18"/>
        <v>1.3633999999999993E-2</v>
      </c>
      <c r="V446" s="149">
        <v>3.4729999999999999</v>
      </c>
      <c r="W446" s="70">
        <f>6.737+7.567</f>
        <v>14.304</v>
      </c>
      <c r="X446" s="149">
        <f t="shared" si="19"/>
        <v>49.677791999999997</v>
      </c>
      <c r="Y446" s="149">
        <v>2</v>
      </c>
    </row>
    <row r="447" spans="1:25" ht="16">
      <c r="A447" s="117" t="s">
        <v>3570</v>
      </c>
      <c r="B447" s="150" t="s">
        <v>2320</v>
      </c>
      <c r="C447" s="149" t="s">
        <v>1744</v>
      </c>
      <c r="D447" s="163" t="s">
        <v>3564</v>
      </c>
      <c r="E447" s="149" t="s">
        <v>2645</v>
      </c>
      <c r="F447" s="149">
        <v>-16.9011</v>
      </c>
      <c r="G447" s="149">
        <v>145.43090000000001</v>
      </c>
      <c r="H447" s="149">
        <v>0</v>
      </c>
      <c r="I447" s="151">
        <v>42954</v>
      </c>
      <c r="J447" s="149" t="s">
        <v>2556</v>
      </c>
      <c r="K447" s="149" t="s">
        <v>177</v>
      </c>
      <c r="L447" s="149" t="s">
        <v>1687</v>
      </c>
      <c r="M447" s="149" t="s">
        <v>2563</v>
      </c>
      <c r="N447" s="149" t="s">
        <v>2710</v>
      </c>
      <c r="O447" s="149" t="s">
        <v>2403</v>
      </c>
      <c r="P447" s="149" t="s">
        <v>2403</v>
      </c>
      <c r="Q447" s="149" t="s">
        <v>2406</v>
      </c>
      <c r="R447" s="149" t="s">
        <v>2713</v>
      </c>
      <c r="S447" s="149">
        <v>4.9299999999999997E-2</v>
      </c>
      <c r="T447" s="149">
        <v>3.8671999999999984E-2</v>
      </c>
      <c r="U447" s="70">
        <f t="shared" si="18"/>
        <v>1.0628000000000012E-2</v>
      </c>
      <c r="V447" s="149">
        <v>3.6949999999999998</v>
      </c>
      <c r="W447" s="70">
        <f>6.521+7.118</f>
        <v>13.638999999999999</v>
      </c>
      <c r="X447" s="149">
        <f t="shared" si="19"/>
        <v>50.396104999999999</v>
      </c>
      <c r="Y447" s="149">
        <v>3</v>
      </c>
    </row>
    <row r="448" spans="1:25" ht="16">
      <c r="A448" s="117" t="s">
        <v>3570</v>
      </c>
      <c r="B448" s="150" t="s">
        <v>2321</v>
      </c>
      <c r="C448" s="149" t="s">
        <v>1744</v>
      </c>
      <c r="D448" s="163" t="s">
        <v>3564</v>
      </c>
      <c r="E448" s="149" t="s">
        <v>2645</v>
      </c>
      <c r="F448" s="149">
        <v>-16.9011</v>
      </c>
      <c r="G448" s="149">
        <v>145.43090000000001</v>
      </c>
      <c r="H448" s="149">
        <v>0</v>
      </c>
      <c r="I448" s="151">
        <v>42957</v>
      </c>
      <c r="J448" s="149" t="s">
        <v>2556</v>
      </c>
      <c r="K448" s="149" t="s">
        <v>177</v>
      </c>
      <c r="L448" s="149" t="s">
        <v>1687</v>
      </c>
      <c r="M448" s="149" t="s">
        <v>2563</v>
      </c>
      <c r="N448" s="149" t="s">
        <v>2710</v>
      </c>
      <c r="O448" s="149" t="s">
        <v>2403</v>
      </c>
      <c r="P448" s="149" t="s">
        <v>2403</v>
      </c>
      <c r="Q448" s="149" t="s">
        <v>2406</v>
      </c>
      <c r="R448" s="149" t="s">
        <v>2713</v>
      </c>
      <c r="S448" s="149">
        <v>4.9799999999999997E-2</v>
      </c>
      <c r="T448" s="149">
        <v>3.8671999999999984E-2</v>
      </c>
      <c r="U448" s="70">
        <f t="shared" si="18"/>
        <v>1.1128000000000013E-2</v>
      </c>
      <c r="V448" s="149">
        <v>3.5270000000000001</v>
      </c>
      <c r="W448" s="70">
        <f>6.66+6.923</f>
        <v>13.583</v>
      </c>
      <c r="X448" s="149">
        <f t="shared" si="19"/>
        <v>47.907240999999999</v>
      </c>
      <c r="Y448" s="149">
        <v>3</v>
      </c>
    </row>
    <row r="449" spans="1:25" ht="16">
      <c r="A449" s="117" t="s">
        <v>3570</v>
      </c>
      <c r="B449" s="150" t="s">
        <v>2322</v>
      </c>
      <c r="C449" s="149" t="s">
        <v>1744</v>
      </c>
      <c r="D449" s="163" t="s">
        <v>3564</v>
      </c>
      <c r="E449" s="149" t="s">
        <v>2645</v>
      </c>
      <c r="F449" s="149">
        <v>-16.9011</v>
      </c>
      <c r="G449" s="149">
        <v>145.43090000000001</v>
      </c>
      <c r="H449" s="149">
        <v>0</v>
      </c>
      <c r="I449" s="151">
        <v>42957</v>
      </c>
      <c r="J449" s="149" t="s">
        <v>2556</v>
      </c>
      <c r="K449" s="149" t="s">
        <v>177</v>
      </c>
      <c r="L449" s="149" t="s">
        <v>1687</v>
      </c>
      <c r="M449" s="149" t="s">
        <v>2563</v>
      </c>
      <c r="N449" s="149" t="s">
        <v>2710</v>
      </c>
      <c r="O449" s="149" t="s">
        <v>2403</v>
      </c>
      <c r="P449" s="149" t="s">
        <v>2403</v>
      </c>
      <c r="Q449" s="149" t="s">
        <v>2406</v>
      </c>
      <c r="R449" s="149" t="s">
        <v>2713</v>
      </c>
      <c r="S449" s="149">
        <v>4.87E-2</v>
      </c>
      <c r="T449" s="149">
        <v>3.8671999999999984E-2</v>
      </c>
      <c r="U449" s="70">
        <f t="shared" si="18"/>
        <v>1.0028000000000016E-2</v>
      </c>
      <c r="V449" s="149">
        <v>3.577</v>
      </c>
      <c r="W449" s="70">
        <f>6.774+6.781</f>
        <v>13.555</v>
      </c>
      <c r="X449" s="149">
        <f t="shared" si="19"/>
        <v>48.486235000000001</v>
      </c>
      <c r="Y449" s="149">
        <v>3</v>
      </c>
    </row>
    <row r="450" spans="1:25" ht="16">
      <c r="A450" s="117" t="s">
        <v>3570</v>
      </c>
      <c r="B450" s="150" t="s">
        <v>2323</v>
      </c>
      <c r="C450" s="149" t="s">
        <v>1744</v>
      </c>
      <c r="D450" s="163" t="s">
        <v>3563</v>
      </c>
      <c r="E450" s="149" t="s">
        <v>2483</v>
      </c>
      <c r="F450" s="149">
        <v>-14.555999999999999</v>
      </c>
      <c r="G450" s="149">
        <v>132.47499999999999</v>
      </c>
      <c r="H450" s="149">
        <v>0</v>
      </c>
      <c r="I450" s="151">
        <v>42947</v>
      </c>
      <c r="J450" s="149" t="s">
        <v>2557</v>
      </c>
      <c r="K450" s="149" t="s">
        <v>177</v>
      </c>
      <c r="L450" s="149" t="s">
        <v>1687</v>
      </c>
      <c r="M450" s="149" t="s">
        <v>2563</v>
      </c>
      <c r="N450" s="149" t="s">
        <v>2562</v>
      </c>
      <c r="O450" s="149" t="s">
        <v>2103</v>
      </c>
      <c r="P450" s="149" t="s">
        <v>2103</v>
      </c>
      <c r="Q450" s="149" t="s">
        <v>2405</v>
      </c>
      <c r="R450" s="149" t="s">
        <v>2713</v>
      </c>
      <c r="S450" s="149">
        <v>4.1399999999999999E-2</v>
      </c>
      <c r="T450" s="149">
        <v>3.8671999999999984E-2</v>
      </c>
      <c r="U450" s="70">
        <f t="shared" si="18"/>
        <v>2.7280000000000151E-3</v>
      </c>
      <c r="V450" s="149">
        <v>1.7929999999999999</v>
      </c>
      <c r="W450" s="70">
        <f>3.429+2.45</f>
        <v>5.8789999999999996</v>
      </c>
      <c r="X450" s="149">
        <f t="shared" si="19"/>
        <v>10.541046999999999</v>
      </c>
      <c r="Y450" s="149">
        <v>3</v>
      </c>
    </row>
    <row r="451" spans="1:25" ht="16">
      <c r="A451" s="117" t="s">
        <v>3570</v>
      </c>
      <c r="B451" s="150" t="s">
        <v>2324</v>
      </c>
      <c r="C451" s="149" t="s">
        <v>1744</v>
      </c>
      <c r="D451" s="163" t="s">
        <v>3563</v>
      </c>
      <c r="E451" s="149" t="s">
        <v>2484</v>
      </c>
      <c r="F451" s="149">
        <v>-14.555999999999999</v>
      </c>
      <c r="G451" s="149">
        <v>132.47499999999999</v>
      </c>
      <c r="H451" s="149">
        <v>0</v>
      </c>
      <c r="I451" s="151">
        <v>42947</v>
      </c>
      <c r="J451" s="149" t="s">
        <v>2557</v>
      </c>
      <c r="K451" s="149" t="s">
        <v>177</v>
      </c>
      <c r="L451" s="149" t="s">
        <v>1687</v>
      </c>
      <c r="M451" s="149" t="s">
        <v>2563</v>
      </c>
      <c r="N451" s="149" t="s">
        <v>2562</v>
      </c>
      <c r="O451" s="149" t="s">
        <v>2103</v>
      </c>
      <c r="P451" s="149" t="s">
        <v>2103</v>
      </c>
      <c r="Q451" s="149" t="s">
        <v>2405</v>
      </c>
      <c r="R451" s="149" t="s">
        <v>2713</v>
      </c>
      <c r="S451" s="149">
        <v>4.1500000000000002E-2</v>
      </c>
      <c r="T451" s="149">
        <v>3.8671999999999984E-2</v>
      </c>
      <c r="U451" s="70">
        <f t="shared" si="18"/>
        <v>2.828000000000018E-3</v>
      </c>
      <c r="V451" s="149">
        <v>1.8540000000000001</v>
      </c>
      <c r="W451" s="70">
        <v>6.4550000000000001</v>
      </c>
      <c r="X451" s="149">
        <f t="shared" si="19"/>
        <v>11.96757</v>
      </c>
      <c r="Y451" s="149">
        <v>3</v>
      </c>
    </row>
    <row r="452" spans="1:25" ht="16">
      <c r="A452" s="117" t="s">
        <v>3570</v>
      </c>
      <c r="B452" s="150" t="s">
        <v>2325</v>
      </c>
      <c r="C452" s="149" t="s">
        <v>1744</v>
      </c>
      <c r="D452" s="163" t="s">
        <v>3563</v>
      </c>
      <c r="E452" s="149" t="s">
        <v>2485</v>
      </c>
      <c r="F452" s="149">
        <v>-14.555999999999999</v>
      </c>
      <c r="G452" s="149">
        <v>132.47499999999999</v>
      </c>
      <c r="H452" s="149">
        <v>0</v>
      </c>
      <c r="I452" s="151">
        <v>42947</v>
      </c>
      <c r="J452" s="149" t="s">
        <v>2557</v>
      </c>
      <c r="K452" s="149" t="s">
        <v>177</v>
      </c>
      <c r="L452" s="149" t="s">
        <v>1687</v>
      </c>
      <c r="M452" s="149" t="s">
        <v>2563</v>
      </c>
      <c r="N452" s="149" t="s">
        <v>2562</v>
      </c>
      <c r="O452" s="149" t="s">
        <v>2103</v>
      </c>
      <c r="P452" s="149" t="s">
        <v>2103</v>
      </c>
      <c r="Q452" s="149" t="s">
        <v>2405</v>
      </c>
      <c r="R452" s="149" t="s">
        <v>2713</v>
      </c>
      <c r="S452" s="149">
        <v>4.1200000000000001E-2</v>
      </c>
      <c r="T452" s="149">
        <v>3.8671999999999984E-2</v>
      </c>
      <c r="U452" s="70">
        <f t="shared" si="18"/>
        <v>2.5280000000000163E-3</v>
      </c>
      <c r="V452" s="149">
        <v>1.7829999999999999</v>
      </c>
      <c r="W452" s="70">
        <f>2.671+3.848</f>
        <v>6.5190000000000001</v>
      </c>
      <c r="X452" s="149">
        <f t="shared" si="19"/>
        <v>11.623377</v>
      </c>
      <c r="Y452" s="149">
        <v>3</v>
      </c>
    </row>
    <row r="453" spans="1:25" ht="16">
      <c r="A453" s="117" t="s">
        <v>3570</v>
      </c>
      <c r="B453" s="150" t="s">
        <v>2342</v>
      </c>
      <c r="C453" s="149" t="s">
        <v>1744</v>
      </c>
      <c r="D453" s="163" t="s">
        <v>3563</v>
      </c>
      <c r="E453" s="149" t="s">
        <v>2501</v>
      </c>
      <c r="F453" s="149">
        <v>-14.555999999999999</v>
      </c>
      <c r="G453" s="149">
        <v>132.47499999999999</v>
      </c>
      <c r="H453" s="149">
        <v>0</v>
      </c>
      <c r="I453" s="151">
        <v>42947</v>
      </c>
      <c r="J453" s="149" t="s">
        <v>2557</v>
      </c>
      <c r="K453" s="149" t="s">
        <v>177</v>
      </c>
      <c r="L453" s="149" t="s">
        <v>1687</v>
      </c>
      <c r="M453" s="149" t="s">
        <v>2563</v>
      </c>
      <c r="N453" s="149" t="s">
        <v>2562</v>
      </c>
      <c r="O453" s="149" t="s">
        <v>2103</v>
      </c>
      <c r="P453" s="149" t="s">
        <v>2103</v>
      </c>
      <c r="Q453" s="149" t="s">
        <v>2405</v>
      </c>
      <c r="R453" s="149" t="s">
        <v>2713</v>
      </c>
      <c r="S453" s="149">
        <v>3.9600000000000003E-2</v>
      </c>
      <c r="T453" s="149">
        <v>3.8671999999999984E-2</v>
      </c>
      <c r="U453" s="70">
        <f t="shared" si="18"/>
        <v>9.2800000000001909E-4</v>
      </c>
      <c r="V453" s="149">
        <v>1.873</v>
      </c>
      <c r="W453" s="70">
        <f>3.389+2.323</f>
        <v>5.7119999999999997</v>
      </c>
      <c r="X453" s="149">
        <f t="shared" si="19"/>
        <v>10.698575999999999</v>
      </c>
      <c r="Y453" s="149">
        <v>3</v>
      </c>
    </row>
    <row r="454" spans="1:25" ht="16">
      <c r="A454" s="117" t="s">
        <v>3570</v>
      </c>
      <c r="B454" s="150" t="s">
        <v>2343</v>
      </c>
      <c r="C454" s="149" t="s">
        <v>1744</v>
      </c>
      <c r="D454" s="163" t="s">
        <v>3563</v>
      </c>
      <c r="E454" s="149" t="s">
        <v>2502</v>
      </c>
      <c r="F454" s="149">
        <v>-14.555999999999999</v>
      </c>
      <c r="G454" s="149">
        <v>132.47499999999999</v>
      </c>
      <c r="H454" s="149">
        <v>0</v>
      </c>
      <c r="I454" s="151">
        <v>42947</v>
      </c>
      <c r="J454" s="149" t="s">
        <v>2557</v>
      </c>
      <c r="K454" s="149" t="s">
        <v>177</v>
      </c>
      <c r="L454" s="149" t="s">
        <v>1687</v>
      </c>
      <c r="M454" s="149" t="s">
        <v>2563</v>
      </c>
      <c r="N454" s="149" t="s">
        <v>2562</v>
      </c>
      <c r="O454" s="149" t="s">
        <v>2103</v>
      </c>
      <c r="P454" s="149" t="s">
        <v>2103</v>
      </c>
      <c r="Q454" s="149" t="s">
        <v>2405</v>
      </c>
      <c r="R454" s="149" t="s">
        <v>2713</v>
      </c>
      <c r="S454" s="149">
        <v>3.9800000000000002E-2</v>
      </c>
      <c r="T454" s="149">
        <v>3.8671999999999984E-2</v>
      </c>
      <c r="U454" s="70">
        <f t="shared" si="18"/>
        <v>1.1280000000000179E-3</v>
      </c>
      <c r="V454" s="149">
        <v>1.7929999999999999</v>
      </c>
      <c r="W454" s="70">
        <f>3.588+2.557</f>
        <v>6.1449999999999996</v>
      </c>
      <c r="X454" s="149">
        <f t="shared" si="19"/>
        <v>11.017984999999999</v>
      </c>
      <c r="Y454" s="149">
        <v>3</v>
      </c>
    </row>
    <row r="455" spans="1:25" ht="16">
      <c r="A455" s="117" t="s">
        <v>3570</v>
      </c>
      <c r="B455" s="150" t="s">
        <v>2351</v>
      </c>
      <c r="C455" s="149" t="s">
        <v>1744</v>
      </c>
      <c r="D455" s="163" t="s">
        <v>3563</v>
      </c>
      <c r="E455" s="149" t="s">
        <v>2505</v>
      </c>
      <c r="F455" s="149">
        <v>-14.555999999999999</v>
      </c>
      <c r="G455" s="149">
        <v>132.47499999999999</v>
      </c>
      <c r="H455" s="149">
        <v>0</v>
      </c>
      <c r="I455" s="151">
        <v>42950</v>
      </c>
      <c r="J455" s="149" t="s">
        <v>2557</v>
      </c>
      <c r="K455" s="149" t="s">
        <v>177</v>
      </c>
      <c r="L455" s="149" t="s">
        <v>2572</v>
      </c>
      <c r="M455" s="149" t="s">
        <v>2407</v>
      </c>
      <c r="N455" s="149" t="s">
        <v>36</v>
      </c>
      <c r="O455" s="149" t="s">
        <v>36</v>
      </c>
      <c r="P455" s="149" t="s">
        <v>36</v>
      </c>
      <c r="Q455" s="149" t="s">
        <v>2688</v>
      </c>
      <c r="R455" s="149" t="s">
        <v>2712</v>
      </c>
      <c r="S455" s="149">
        <v>3.0000000000000001E-3</v>
      </c>
      <c r="T455" s="149">
        <v>2.6680000000000011E-3</v>
      </c>
      <c r="U455" s="70">
        <f t="shared" si="18"/>
        <v>3.3199999999999896E-4</v>
      </c>
      <c r="V455" s="149">
        <v>1.083</v>
      </c>
      <c r="W455" s="70">
        <f>3.103+2.775</f>
        <v>5.8780000000000001</v>
      </c>
      <c r="X455" s="149">
        <f t="shared" si="19"/>
        <v>6.3658739999999998</v>
      </c>
      <c r="Y455" s="149">
        <v>4</v>
      </c>
    </row>
    <row r="456" spans="1:25" ht="16">
      <c r="A456" s="117" t="s">
        <v>3570</v>
      </c>
      <c r="B456" s="150" t="s">
        <v>2352</v>
      </c>
      <c r="C456" s="149" t="s">
        <v>1744</v>
      </c>
      <c r="D456" s="163" t="s">
        <v>3563</v>
      </c>
      <c r="E456" s="149" t="s">
        <v>2506</v>
      </c>
      <c r="F456" s="149">
        <v>-14.54</v>
      </c>
      <c r="G456" s="149">
        <v>132.131</v>
      </c>
      <c r="H456" s="149">
        <v>0</v>
      </c>
      <c r="I456" s="151">
        <v>42948</v>
      </c>
      <c r="J456" s="149" t="s">
        <v>2557</v>
      </c>
      <c r="K456" s="149" t="s">
        <v>177</v>
      </c>
      <c r="L456" s="149" t="s">
        <v>2566</v>
      </c>
      <c r="M456" s="149" t="s">
        <v>2567</v>
      </c>
      <c r="N456" s="149" t="s">
        <v>2668</v>
      </c>
      <c r="O456" s="149" t="s">
        <v>2105</v>
      </c>
      <c r="P456" s="149" t="s">
        <v>2105</v>
      </c>
      <c r="Q456" s="149" t="s">
        <v>2387</v>
      </c>
      <c r="R456" s="149" t="s">
        <v>2713</v>
      </c>
      <c r="S456" s="149">
        <v>3.5999999999999999E-3</v>
      </c>
      <c r="T456" s="149">
        <v>2.6680000000000011E-3</v>
      </c>
      <c r="U456" s="70">
        <f t="shared" si="18"/>
        <v>9.319999999999988E-4</v>
      </c>
      <c r="V456" s="149">
        <v>1.583</v>
      </c>
      <c r="W456" s="70">
        <f>3.312+0.876+3.091</f>
        <v>7.2789999999999999</v>
      </c>
      <c r="X456" s="149">
        <f t="shared" si="19"/>
        <v>11.522656999999999</v>
      </c>
      <c r="Y456" s="149">
        <v>4</v>
      </c>
    </row>
    <row r="457" spans="1:25" ht="16">
      <c r="A457" s="117" t="s">
        <v>3570</v>
      </c>
      <c r="B457" s="150" t="s">
        <v>2353</v>
      </c>
      <c r="C457" s="149" t="s">
        <v>1744</v>
      </c>
      <c r="D457" s="163" t="s">
        <v>3563</v>
      </c>
      <c r="E457" s="149" t="s">
        <v>2507</v>
      </c>
      <c r="F457" s="149">
        <v>-14.555999999999999</v>
      </c>
      <c r="G457" s="149">
        <v>132.47499999999999</v>
      </c>
      <c r="H457" s="149">
        <v>0</v>
      </c>
      <c r="I457" s="151">
        <v>42950</v>
      </c>
      <c r="J457" s="149" t="s">
        <v>2557</v>
      </c>
      <c r="K457" s="149" t="s">
        <v>177</v>
      </c>
      <c r="L457" s="149" t="s">
        <v>2566</v>
      </c>
      <c r="M457" s="149" t="s">
        <v>2567</v>
      </c>
      <c r="N457" s="149" t="s">
        <v>2668</v>
      </c>
      <c r="O457" s="149" t="s">
        <v>2105</v>
      </c>
      <c r="P457" s="149" t="s">
        <v>2105</v>
      </c>
      <c r="Q457" s="149" t="s">
        <v>2387</v>
      </c>
      <c r="R457" s="149" t="s">
        <v>2713</v>
      </c>
      <c r="S457" s="149">
        <v>3.5000000000000001E-3</v>
      </c>
      <c r="T457" s="149">
        <v>2.6680000000000011E-3</v>
      </c>
      <c r="U457" s="70">
        <f t="shared" si="18"/>
        <v>8.3199999999999897E-4</v>
      </c>
      <c r="V457" s="149">
        <v>1.4350000000000001</v>
      </c>
      <c r="W457" s="70">
        <f>2.23+3.988</f>
        <v>6.218</v>
      </c>
      <c r="X457" s="149">
        <f t="shared" si="19"/>
        <v>8.9228300000000011</v>
      </c>
      <c r="Y457" s="149">
        <v>4</v>
      </c>
    </row>
    <row r="458" spans="1:25" ht="16">
      <c r="A458" s="117" t="s">
        <v>3570</v>
      </c>
      <c r="B458" s="150" t="s">
        <v>2354</v>
      </c>
      <c r="C458" s="149" t="s">
        <v>1744</v>
      </c>
      <c r="D458" s="163" t="s">
        <v>3563</v>
      </c>
      <c r="E458" s="149" t="s">
        <v>2508</v>
      </c>
      <c r="F458" s="149">
        <v>-14.525</v>
      </c>
      <c r="G458" s="149">
        <v>132.45500000000001</v>
      </c>
      <c r="H458" s="149">
        <v>0</v>
      </c>
      <c r="I458" s="151">
        <v>42944</v>
      </c>
      <c r="J458" s="149" t="s">
        <v>2557</v>
      </c>
      <c r="K458" s="149" t="s">
        <v>177</v>
      </c>
      <c r="L458" s="149" t="s">
        <v>2566</v>
      </c>
      <c r="M458" s="149" t="s">
        <v>2567</v>
      </c>
      <c r="N458" s="149" t="s">
        <v>2668</v>
      </c>
      <c r="O458" s="149" t="s">
        <v>2105</v>
      </c>
      <c r="P458" s="149" t="s">
        <v>2105</v>
      </c>
      <c r="Q458" s="149" t="s">
        <v>2387</v>
      </c>
      <c r="R458" s="149" t="s">
        <v>2712</v>
      </c>
      <c r="S458" s="149">
        <v>3.2000000000000002E-3</v>
      </c>
      <c r="T458" s="149">
        <v>2.6680000000000011E-3</v>
      </c>
      <c r="U458" s="70">
        <f t="shared" si="18"/>
        <v>5.3199999999999905E-4</v>
      </c>
      <c r="V458" s="149">
        <v>1.252</v>
      </c>
      <c r="W458" s="70">
        <f>2.983+0.702+2.11</f>
        <v>5.7949999999999999</v>
      </c>
      <c r="X458" s="149">
        <f t="shared" si="19"/>
        <v>7.2553400000000003</v>
      </c>
      <c r="Y458" s="149">
        <v>4</v>
      </c>
    </row>
    <row r="459" spans="1:25" ht="16">
      <c r="A459" s="117" t="s">
        <v>3570</v>
      </c>
      <c r="B459" s="150" t="s">
        <v>2355</v>
      </c>
      <c r="C459" s="149" t="s">
        <v>1744</v>
      </c>
      <c r="D459" s="163" t="s">
        <v>3563</v>
      </c>
      <c r="E459" s="149" t="s">
        <v>2509</v>
      </c>
      <c r="F459" s="149">
        <v>-14.54</v>
      </c>
      <c r="G459" s="149">
        <v>132.131</v>
      </c>
      <c r="H459" s="149">
        <v>0</v>
      </c>
      <c r="I459" s="151">
        <v>42945</v>
      </c>
      <c r="J459" s="149" t="s">
        <v>2557</v>
      </c>
      <c r="K459" s="149" t="s">
        <v>177</v>
      </c>
      <c r="L459" s="149" t="s">
        <v>2566</v>
      </c>
      <c r="M459" s="149" t="s">
        <v>2567</v>
      </c>
      <c r="N459" s="149" t="s">
        <v>2668</v>
      </c>
      <c r="O459" s="149" t="s">
        <v>2105</v>
      </c>
      <c r="P459" s="149" t="s">
        <v>2105</v>
      </c>
      <c r="Q459" s="149" t="s">
        <v>2387</v>
      </c>
      <c r="R459" s="149" t="s">
        <v>2712</v>
      </c>
      <c r="S459" s="149">
        <v>3.0999999999999999E-3</v>
      </c>
      <c r="T459" s="149">
        <v>2.6680000000000011E-3</v>
      </c>
      <c r="U459" s="70">
        <f t="shared" si="18"/>
        <v>4.3199999999999879E-4</v>
      </c>
      <c r="V459" s="149">
        <v>1.2949999999999999</v>
      </c>
      <c r="W459" s="70">
        <f>2.711+0.659+1.974</f>
        <v>5.3440000000000003</v>
      </c>
      <c r="X459" s="149">
        <f t="shared" si="19"/>
        <v>6.9204800000000004</v>
      </c>
      <c r="Y459" s="149">
        <v>4</v>
      </c>
    </row>
    <row r="460" spans="1:25" ht="16">
      <c r="A460" s="117" t="s">
        <v>3570</v>
      </c>
      <c r="B460" s="150" t="s">
        <v>2356</v>
      </c>
      <c r="C460" s="149" t="s">
        <v>1744</v>
      </c>
      <c r="D460" s="163" t="s">
        <v>3563</v>
      </c>
      <c r="E460" s="149" t="s">
        <v>2510</v>
      </c>
      <c r="F460" s="149">
        <v>-14.54</v>
      </c>
      <c r="G460" s="149">
        <v>132.131</v>
      </c>
      <c r="H460" s="149">
        <v>0</v>
      </c>
      <c r="I460" s="151">
        <v>42948</v>
      </c>
      <c r="J460" s="149" t="s">
        <v>2557</v>
      </c>
      <c r="K460" s="149" t="s">
        <v>177</v>
      </c>
      <c r="L460" s="149" t="s">
        <v>1687</v>
      </c>
      <c r="M460" s="149" t="s">
        <v>2564</v>
      </c>
      <c r="N460" s="149" t="s">
        <v>2565</v>
      </c>
      <c r="O460" s="149" t="s">
        <v>2095</v>
      </c>
      <c r="P460" s="149" t="s">
        <v>2095</v>
      </c>
      <c r="Q460" s="149" t="s">
        <v>2685</v>
      </c>
      <c r="R460" s="149" t="s">
        <v>2713</v>
      </c>
      <c r="S460" s="149">
        <v>4.1000000000000002E-2</v>
      </c>
      <c r="T460" s="149">
        <v>3.8671999999999984E-2</v>
      </c>
      <c r="U460" s="70">
        <f t="shared" si="18"/>
        <v>2.3280000000000176E-3</v>
      </c>
      <c r="V460" s="149">
        <v>1.823</v>
      </c>
      <c r="W460" s="70">
        <v>7.3929999999999998</v>
      </c>
      <c r="X460" s="149">
        <f t="shared" si="19"/>
        <v>13.477438999999999</v>
      </c>
      <c r="Y460" s="149">
        <v>3</v>
      </c>
    </row>
    <row r="461" spans="1:25" ht="16">
      <c r="A461" s="117" t="s">
        <v>3570</v>
      </c>
      <c r="B461" s="150" t="s">
        <v>2357</v>
      </c>
      <c r="C461" s="149" t="s">
        <v>1744</v>
      </c>
      <c r="D461" s="163" t="s">
        <v>3563</v>
      </c>
      <c r="E461" s="149" t="s">
        <v>2511</v>
      </c>
      <c r="F461" s="149">
        <v>-14.54</v>
      </c>
      <c r="G461" s="149">
        <v>132.131</v>
      </c>
      <c r="H461" s="149">
        <v>0</v>
      </c>
      <c r="I461" s="151">
        <v>42948</v>
      </c>
      <c r="J461" s="149" t="s">
        <v>2557</v>
      </c>
      <c r="K461" s="149" t="s">
        <v>177</v>
      </c>
      <c r="L461" s="149" t="s">
        <v>1687</v>
      </c>
      <c r="M461" s="149" t="s">
        <v>2564</v>
      </c>
      <c r="N461" s="149" t="s">
        <v>2565</v>
      </c>
      <c r="O461" s="149" t="s">
        <v>2095</v>
      </c>
      <c r="P461" s="149" t="s">
        <v>2095</v>
      </c>
      <c r="Q461" s="149" t="s">
        <v>2685</v>
      </c>
      <c r="R461" s="149" t="s">
        <v>2713</v>
      </c>
      <c r="S461" s="149">
        <v>4.1599999999999998E-2</v>
      </c>
      <c r="T461" s="149">
        <v>3.8671999999999984E-2</v>
      </c>
      <c r="U461" s="70">
        <f t="shared" si="18"/>
        <v>2.9280000000000139E-3</v>
      </c>
      <c r="V461" s="149">
        <v>2.0049999999999999</v>
      </c>
      <c r="W461" s="70">
        <v>8.1430000000000007</v>
      </c>
      <c r="X461" s="149">
        <f t="shared" si="19"/>
        <v>16.326715</v>
      </c>
      <c r="Y461" s="149">
        <v>3</v>
      </c>
    </row>
    <row r="462" spans="1:25" ht="16">
      <c r="A462" s="117" t="s">
        <v>3570</v>
      </c>
      <c r="B462" s="150" t="s">
        <v>2358</v>
      </c>
      <c r="C462" s="149" t="s">
        <v>1744</v>
      </c>
      <c r="D462" s="163" t="s">
        <v>3563</v>
      </c>
      <c r="E462" s="149" t="s">
        <v>2512</v>
      </c>
      <c r="F462" s="149">
        <v>-14.54</v>
      </c>
      <c r="G462" s="149">
        <v>132.131</v>
      </c>
      <c r="H462" s="149">
        <v>0</v>
      </c>
      <c r="I462" s="151">
        <v>42948</v>
      </c>
      <c r="J462" s="149" t="s">
        <v>2557</v>
      </c>
      <c r="K462" s="149" t="s">
        <v>177</v>
      </c>
      <c r="L462" s="149" t="s">
        <v>1687</v>
      </c>
      <c r="M462" s="149" t="s">
        <v>2564</v>
      </c>
      <c r="N462" s="149" t="s">
        <v>2565</v>
      </c>
      <c r="O462" s="149" t="s">
        <v>2095</v>
      </c>
      <c r="P462" s="149" t="s">
        <v>2095</v>
      </c>
      <c r="Q462" s="149" t="s">
        <v>2685</v>
      </c>
      <c r="R462" s="149" t="s">
        <v>2713</v>
      </c>
      <c r="S462" s="149">
        <v>4.1300000000000003E-2</v>
      </c>
      <c r="T462" s="149">
        <v>3.8671999999999984E-2</v>
      </c>
      <c r="U462" s="70">
        <f t="shared" si="18"/>
        <v>2.6280000000000192E-3</v>
      </c>
      <c r="V462" s="149">
        <v>1.899</v>
      </c>
      <c r="W462" s="70">
        <f>4.172+3.773</f>
        <v>7.9450000000000003</v>
      </c>
      <c r="X462" s="149">
        <f t="shared" si="19"/>
        <v>15.087555</v>
      </c>
      <c r="Y462" s="149">
        <v>3</v>
      </c>
    </row>
    <row r="463" spans="1:25" ht="16">
      <c r="A463" s="117" t="s">
        <v>3570</v>
      </c>
      <c r="B463" s="150" t="s">
        <v>2359</v>
      </c>
      <c r="C463" s="149" t="s">
        <v>1744</v>
      </c>
      <c r="D463" s="163" t="s">
        <v>3563</v>
      </c>
      <c r="E463" s="149" t="s">
        <v>2513</v>
      </c>
      <c r="F463" s="149">
        <v>-14.54</v>
      </c>
      <c r="G463" s="149">
        <v>132.131</v>
      </c>
      <c r="H463" s="149">
        <v>0</v>
      </c>
      <c r="I463" s="151">
        <v>42948</v>
      </c>
      <c r="J463" s="149" t="s">
        <v>2557</v>
      </c>
      <c r="K463" s="149" t="s">
        <v>177</v>
      </c>
      <c r="L463" s="149" t="s">
        <v>1687</v>
      </c>
      <c r="M463" s="149" t="s">
        <v>2563</v>
      </c>
      <c r="N463" s="149" t="s">
        <v>2562</v>
      </c>
      <c r="O463" s="149" t="s">
        <v>2103</v>
      </c>
      <c r="P463" s="149" t="s">
        <v>2103</v>
      </c>
      <c r="Q463" s="149" t="s">
        <v>2405</v>
      </c>
      <c r="R463" s="149" t="s">
        <v>2713</v>
      </c>
      <c r="S463" s="149">
        <v>4.1000000000000003E-3</v>
      </c>
      <c r="T463" s="149">
        <v>2.6680000000000011E-3</v>
      </c>
      <c r="U463" s="70">
        <f t="shared" si="18"/>
        <v>1.4319999999999992E-3</v>
      </c>
      <c r="V463" s="149">
        <v>1.8260000000000001</v>
      </c>
      <c r="W463" s="70">
        <f>3.242+2.869</f>
        <v>6.1110000000000007</v>
      </c>
      <c r="X463" s="149">
        <f t="shared" si="19"/>
        <v>11.158686000000001</v>
      </c>
      <c r="Y463" s="149">
        <v>4</v>
      </c>
    </row>
    <row r="464" spans="1:25" ht="16">
      <c r="A464" s="117" t="s">
        <v>3570</v>
      </c>
      <c r="B464" s="150" t="s">
        <v>2360</v>
      </c>
      <c r="C464" s="149" t="s">
        <v>1744</v>
      </c>
      <c r="D464" s="163" t="s">
        <v>3563</v>
      </c>
      <c r="E464" s="149" t="s">
        <v>2514</v>
      </c>
      <c r="F464" s="149">
        <v>-14.555999999999999</v>
      </c>
      <c r="G464" s="149">
        <v>132.47499999999999</v>
      </c>
      <c r="H464" s="149">
        <v>0</v>
      </c>
      <c r="I464" s="151">
        <v>42947</v>
      </c>
      <c r="J464" s="149" t="s">
        <v>2557</v>
      </c>
      <c r="K464" s="149" t="s">
        <v>177</v>
      </c>
      <c r="L464" s="149" t="s">
        <v>1687</v>
      </c>
      <c r="M464" s="149" t="s">
        <v>2563</v>
      </c>
      <c r="N464" s="149" t="s">
        <v>2562</v>
      </c>
      <c r="O464" s="149" t="s">
        <v>2103</v>
      </c>
      <c r="P464" s="149" t="s">
        <v>2103</v>
      </c>
      <c r="Q464" s="149" t="s">
        <v>2405</v>
      </c>
      <c r="R464" s="149" t="s">
        <v>2713</v>
      </c>
      <c r="S464" s="149">
        <v>4.4000000000000003E-3</v>
      </c>
      <c r="T464" s="149">
        <v>2.6680000000000011E-3</v>
      </c>
      <c r="U464" s="70">
        <f t="shared" si="18"/>
        <v>1.7319999999999992E-3</v>
      </c>
      <c r="V464" s="149">
        <v>1.8169999999999999</v>
      </c>
      <c r="W464" s="70">
        <f>3.356+2.635</f>
        <v>5.9909999999999997</v>
      </c>
      <c r="X464" s="149">
        <f t="shared" si="19"/>
        <v>10.885646999999999</v>
      </c>
      <c r="Y464" s="149">
        <v>4</v>
      </c>
    </row>
    <row r="465" spans="1:25" ht="16">
      <c r="A465" s="117" t="s">
        <v>3570</v>
      </c>
      <c r="B465" s="150" t="s">
        <v>2361</v>
      </c>
      <c r="C465" s="149" t="s">
        <v>1744</v>
      </c>
      <c r="D465" s="163" t="s">
        <v>3563</v>
      </c>
      <c r="E465" s="149" t="s">
        <v>2515</v>
      </c>
      <c r="F465" s="149">
        <v>-14.555999999999999</v>
      </c>
      <c r="G465" s="149">
        <v>132.47499999999999</v>
      </c>
      <c r="H465" s="149">
        <v>0</v>
      </c>
      <c r="I465" s="151">
        <v>42947</v>
      </c>
      <c r="J465" s="149" t="s">
        <v>2557</v>
      </c>
      <c r="K465" s="149" t="s">
        <v>177</v>
      </c>
      <c r="L465" s="149" t="s">
        <v>1687</v>
      </c>
      <c r="M465" s="149" t="s">
        <v>2563</v>
      </c>
      <c r="N465" s="149" t="s">
        <v>2562</v>
      </c>
      <c r="O465" s="149" t="s">
        <v>2103</v>
      </c>
      <c r="P465" s="149" t="s">
        <v>2103</v>
      </c>
      <c r="Q465" s="149" t="s">
        <v>2405</v>
      </c>
      <c r="R465" s="149" t="s">
        <v>2713</v>
      </c>
      <c r="S465" s="149">
        <v>4.1000000000000002E-2</v>
      </c>
      <c r="T465" s="149">
        <v>3.8671999999999984E-2</v>
      </c>
      <c r="U465" s="70">
        <f t="shared" si="18"/>
        <v>2.3280000000000176E-3</v>
      </c>
      <c r="V465" s="149">
        <v>1.7569999999999999</v>
      </c>
      <c r="W465" s="70">
        <v>6.5209999999999999</v>
      </c>
      <c r="X465" s="149">
        <f t="shared" si="19"/>
        <v>11.457396999999998</v>
      </c>
      <c r="Y465" s="149">
        <v>3</v>
      </c>
    </row>
    <row r="466" spans="1:25" ht="16">
      <c r="A466" s="117" t="s">
        <v>3570</v>
      </c>
      <c r="B466" s="150" t="s">
        <v>2362</v>
      </c>
      <c r="C466" s="149" t="s">
        <v>1744</v>
      </c>
      <c r="D466" s="163" t="s">
        <v>3563</v>
      </c>
      <c r="E466" s="149" t="s">
        <v>2516</v>
      </c>
      <c r="F466" s="149">
        <v>-14.555999999999999</v>
      </c>
      <c r="G466" s="149">
        <v>132.47499999999999</v>
      </c>
      <c r="H466" s="149">
        <v>0</v>
      </c>
      <c r="I466" s="151">
        <v>42950</v>
      </c>
      <c r="J466" s="149" t="s">
        <v>2557</v>
      </c>
      <c r="K466" s="149" t="s">
        <v>177</v>
      </c>
      <c r="L466" s="149" t="s">
        <v>1687</v>
      </c>
      <c r="M466" s="149" t="s">
        <v>2563</v>
      </c>
      <c r="N466" s="149" t="s">
        <v>2562</v>
      </c>
      <c r="O466" s="149" t="s">
        <v>2103</v>
      </c>
      <c r="P466" s="149" t="s">
        <v>2103</v>
      </c>
      <c r="Q466" s="149" t="s">
        <v>2405</v>
      </c>
      <c r="R466" s="149" t="s">
        <v>2713</v>
      </c>
      <c r="S466" s="149">
        <v>4.1200000000000001E-2</v>
      </c>
      <c r="T466" s="149">
        <v>3.8671999999999984E-2</v>
      </c>
      <c r="U466" s="70">
        <f t="shared" si="18"/>
        <v>2.5280000000000163E-3</v>
      </c>
      <c r="V466" s="149">
        <v>1.786</v>
      </c>
      <c r="W466" s="70">
        <f>3.468+2.791</f>
        <v>6.2590000000000003</v>
      </c>
      <c r="X466" s="149">
        <f t="shared" si="19"/>
        <v>11.178574000000001</v>
      </c>
      <c r="Y466" s="149">
        <v>3</v>
      </c>
    </row>
    <row r="467" spans="1:25" ht="16">
      <c r="A467" s="117" t="s">
        <v>3570</v>
      </c>
      <c r="B467" s="150" t="s">
        <v>2363</v>
      </c>
      <c r="C467" s="149" t="s">
        <v>1744</v>
      </c>
      <c r="D467" s="163" t="s">
        <v>3563</v>
      </c>
      <c r="E467" s="149" t="s">
        <v>2517</v>
      </c>
      <c r="F467" s="149">
        <v>-14.555999999999999</v>
      </c>
      <c r="G467" s="149">
        <v>132.47499999999999</v>
      </c>
      <c r="H467" s="149">
        <v>0</v>
      </c>
      <c r="I467" s="151">
        <v>42947</v>
      </c>
      <c r="J467" s="149" t="s">
        <v>2557</v>
      </c>
      <c r="K467" s="149" t="s">
        <v>177</v>
      </c>
      <c r="L467" s="149" t="s">
        <v>1687</v>
      </c>
      <c r="M467" s="149" t="s">
        <v>2563</v>
      </c>
      <c r="N467" s="149" t="s">
        <v>2562</v>
      </c>
      <c r="O467" s="149" t="s">
        <v>2103</v>
      </c>
      <c r="P467" s="149" t="s">
        <v>2103</v>
      </c>
      <c r="Q467" s="149" t="s">
        <v>2405</v>
      </c>
      <c r="R467" s="149" t="s">
        <v>2713</v>
      </c>
      <c r="S467" s="149">
        <v>4.3E-3</v>
      </c>
      <c r="T467" s="149">
        <v>2.6680000000000011E-3</v>
      </c>
      <c r="U467" s="70">
        <f t="shared" si="18"/>
        <v>1.6319999999999989E-3</v>
      </c>
      <c r="V467" s="149">
        <v>1.706</v>
      </c>
      <c r="W467" s="70">
        <f>3.188+2.609</f>
        <v>5.7970000000000006</v>
      </c>
      <c r="X467" s="149">
        <f t="shared" si="19"/>
        <v>9.8896820000000005</v>
      </c>
      <c r="Y467" s="149">
        <v>4</v>
      </c>
    </row>
    <row r="468" spans="1:25" ht="16">
      <c r="A468" s="117" t="s">
        <v>3570</v>
      </c>
      <c r="B468" s="150" t="s">
        <v>2364</v>
      </c>
      <c r="C468" s="149" t="s">
        <v>1744</v>
      </c>
      <c r="D468" s="163" t="s">
        <v>3563</v>
      </c>
      <c r="E468" s="149" t="s">
        <v>2518</v>
      </c>
      <c r="F468" s="149">
        <v>-14.555999999999999</v>
      </c>
      <c r="G468" s="149">
        <v>132.47499999999999</v>
      </c>
      <c r="H468" s="149">
        <v>0</v>
      </c>
      <c r="I468" s="151">
        <v>42947</v>
      </c>
      <c r="J468" s="149" t="s">
        <v>2557</v>
      </c>
      <c r="K468" s="149" t="s">
        <v>177</v>
      </c>
      <c r="L468" s="149" t="s">
        <v>1687</v>
      </c>
      <c r="M468" s="149" t="s">
        <v>2563</v>
      </c>
      <c r="N468" s="149" t="s">
        <v>2562</v>
      </c>
      <c r="O468" s="149" t="s">
        <v>2103</v>
      </c>
      <c r="P468" s="149" t="s">
        <v>2103</v>
      </c>
      <c r="Q468" s="149" t="s">
        <v>2405</v>
      </c>
      <c r="R468" s="149" t="s">
        <v>2713</v>
      </c>
      <c r="S468" s="149">
        <v>4.1500000000000002E-2</v>
      </c>
      <c r="T468" s="149">
        <v>3.8671999999999984E-2</v>
      </c>
      <c r="U468" s="70">
        <f t="shared" si="18"/>
        <v>2.828000000000018E-3</v>
      </c>
      <c r="V468" s="149">
        <v>1.8149999999999999</v>
      </c>
      <c r="W468" s="70">
        <f>2.829+3.718</f>
        <v>6.5470000000000006</v>
      </c>
      <c r="X468" s="149">
        <f t="shared" si="19"/>
        <v>11.882805000000001</v>
      </c>
      <c r="Y468" s="149">
        <v>3</v>
      </c>
    </row>
    <row r="469" spans="1:25" ht="16">
      <c r="A469" s="117" t="s">
        <v>3570</v>
      </c>
      <c r="B469" s="150" t="s">
        <v>2365</v>
      </c>
      <c r="C469" s="149" t="s">
        <v>1744</v>
      </c>
      <c r="D469" s="163" t="s">
        <v>3563</v>
      </c>
      <c r="E469" s="149" t="s">
        <v>2519</v>
      </c>
      <c r="F469" s="149">
        <v>-14.54</v>
      </c>
      <c r="G469" s="149">
        <v>132.131</v>
      </c>
      <c r="H469" s="149">
        <v>0</v>
      </c>
      <c r="I469" s="151">
        <v>42948</v>
      </c>
      <c r="J469" s="149" t="s">
        <v>2557</v>
      </c>
      <c r="K469" s="149" t="s">
        <v>177</v>
      </c>
      <c r="L469" s="149" t="s">
        <v>1687</v>
      </c>
      <c r="M469" s="149" t="s">
        <v>2563</v>
      </c>
      <c r="N469" s="149" t="s">
        <v>2562</v>
      </c>
      <c r="O469" s="149" t="s">
        <v>2103</v>
      </c>
      <c r="P469" s="149" t="s">
        <v>2103</v>
      </c>
      <c r="Q469" s="149" t="s">
        <v>2405</v>
      </c>
      <c r="R469" s="149" t="s">
        <v>2713</v>
      </c>
      <c r="S469" s="149">
        <v>4.2000000000000003E-2</v>
      </c>
      <c r="T469" s="149">
        <v>3.8671999999999984E-2</v>
      </c>
      <c r="U469" s="70">
        <f t="shared" si="18"/>
        <v>3.3280000000000184E-3</v>
      </c>
      <c r="V469" s="149">
        <v>1.8169999999999999</v>
      </c>
      <c r="W469" s="70">
        <f>2.339+3.406</f>
        <v>5.7450000000000001</v>
      </c>
      <c r="X469" s="149">
        <f t="shared" si="19"/>
        <v>10.438665</v>
      </c>
      <c r="Y469" s="149">
        <v>3</v>
      </c>
    </row>
    <row r="470" spans="1:25" ht="16">
      <c r="A470" s="117" t="s">
        <v>3570</v>
      </c>
      <c r="B470" s="150" t="s">
        <v>415</v>
      </c>
      <c r="C470" s="149" t="s">
        <v>1744</v>
      </c>
      <c r="D470" s="149" t="s">
        <v>3555</v>
      </c>
      <c r="E470" s="149" t="s">
        <v>418</v>
      </c>
      <c r="F470" s="149">
        <v>-26.284722200000001</v>
      </c>
      <c r="G470" s="149">
        <v>136.09805556000001</v>
      </c>
      <c r="H470" s="149">
        <v>201</v>
      </c>
      <c r="I470" s="151">
        <v>42816</v>
      </c>
      <c r="J470" s="149" t="s">
        <v>36</v>
      </c>
      <c r="K470" s="149" t="s">
        <v>419</v>
      </c>
      <c r="L470" s="140" t="s">
        <v>2566</v>
      </c>
      <c r="M470" s="140" t="s">
        <v>2574</v>
      </c>
      <c r="N470" s="140" t="s">
        <v>3191</v>
      </c>
      <c r="O470" s="149" t="s">
        <v>2111</v>
      </c>
      <c r="P470" s="149" t="s">
        <v>2739</v>
      </c>
      <c r="Q470" s="140" t="s">
        <v>2692</v>
      </c>
      <c r="R470" s="140" t="s">
        <v>2713</v>
      </c>
      <c r="S470" s="149">
        <f t="shared" ref="S470:S533" si="20">T470+U470</f>
        <v>3.7000000000000002E-3</v>
      </c>
      <c r="T470" s="149">
        <v>0</v>
      </c>
      <c r="U470" s="157">
        <v>3.7000000000000002E-3</v>
      </c>
      <c r="V470" s="157">
        <v>2.5830000000000002</v>
      </c>
      <c r="W470" s="157">
        <v>10.208</v>
      </c>
      <c r="X470" s="149">
        <f t="shared" si="19"/>
        <v>26.367264000000002</v>
      </c>
      <c r="Y470" s="149"/>
    </row>
    <row r="471" spans="1:25" ht="16">
      <c r="A471" s="117" t="s">
        <v>3570</v>
      </c>
      <c r="B471" s="150" t="s">
        <v>531</v>
      </c>
      <c r="C471" s="149" t="s">
        <v>1744</v>
      </c>
      <c r="D471" s="149" t="s">
        <v>3555</v>
      </c>
      <c r="E471" s="149" t="s">
        <v>466</v>
      </c>
      <c r="F471" s="149">
        <v>-26.423333299999999</v>
      </c>
      <c r="G471" s="149">
        <v>135.51333299999999</v>
      </c>
      <c r="H471" s="149">
        <v>201</v>
      </c>
      <c r="I471" s="151">
        <v>42816</v>
      </c>
      <c r="J471" s="149" t="s">
        <v>36</v>
      </c>
      <c r="K471" s="149" t="s">
        <v>419</v>
      </c>
      <c r="L471" s="155" t="s">
        <v>2566</v>
      </c>
      <c r="M471" s="155" t="s">
        <v>2567</v>
      </c>
      <c r="N471" s="155" t="s">
        <v>2668</v>
      </c>
      <c r="O471" s="158" t="s">
        <v>2105</v>
      </c>
      <c r="P471" s="140" t="s">
        <v>2105</v>
      </c>
      <c r="Q471" s="140" t="s">
        <v>2387</v>
      </c>
      <c r="R471" s="158" t="s">
        <v>2713</v>
      </c>
      <c r="S471" s="149">
        <f t="shared" si="20"/>
        <v>1E-3</v>
      </c>
      <c r="T471" s="149">
        <v>0</v>
      </c>
      <c r="U471" s="157">
        <v>1E-3</v>
      </c>
      <c r="V471" s="157">
        <v>1.631</v>
      </c>
      <c r="W471" s="157">
        <v>7.008</v>
      </c>
      <c r="X471" s="149">
        <f t="shared" si="19"/>
        <v>11.430047999999999</v>
      </c>
      <c r="Y471" s="149"/>
    </row>
    <row r="472" spans="1:25" ht="16">
      <c r="A472" s="117" t="s">
        <v>3570</v>
      </c>
      <c r="B472" s="150" t="s">
        <v>532</v>
      </c>
      <c r="C472" s="149" t="s">
        <v>1744</v>
      </c>
      <c r="D472" s="149" t="s">
        <v>3555</v>
      </c>
      <c r="E472" s="149" t="s">
        <v>466</v>
      </c>
      <c r="F472" s="149">
        <v>-26.423333299999999</v>
      </c>
      <c r="G472" s="149">
        <v>135.51333299999999</v>
      </c>
      <c r="H472" s="149">
        <v>201</v>
      </c>
      <c r="I472" s="151">
        <v>42816</v>
      </c>
      <c r="J472" s="149" t="s">
        <v>36</v>
      </c>
      <c r="K472" s="149" t="s">
        <v>419</v>
      </c>
      <c r="L472" s="140" t="s">
        <v>2566</v>
      </c>
      <c r="M472" s="140" t="s">
        <v>2567</v>
      </c>
      <c r="N472" s="140" t="s">
        <v>2668</v>
      </c>
      <c r="O472" s="140" t="s">
        <v>2600</v>
      </c>
      <c r="P472" s="149" t="s">
        <v>2735</v>
      </c>
      <c r="Q472" s="140" t="s">
        <v>2709</v>
      </c>
      <c r="R472" s="140" t="s">
        <v>2713</v>
      </c>
      <c r="S472" s="149">
        <f t="shared" si="20"/>
        <v>1.1000000000000001E-3</v>
      </c>
      <c r="T472" s="140">
        <v>0</v>
      </c>
      <c r="U472" s="157">
        <v>1.1000000000000001E-3</v>
      </c>
      <c r="V472" s="157">
        <v>1.595</v>
      </c>
      <c r="W472" s="157">
        <v>7.1849999999999996</v>
      </c>
      <c r="X472" s="149">
        <f t="shared" si="19"/>
        <v>11.460075</v>
      </c>
      <c r="Y472" s="149"/>
    </row>
    <row r="473" spans="1:25" ht="16">
      <c r="A473" s="117" t="s">
        <v>3570</v>
      </c>
      <c r="B473" s="150" t="s">
        <v>533</v>
      </c>
      <c r="C473" s="149" t="s">
        <v>1744</v>
      </c>
      <c r="D473" s="149" t="s">
        <v>3555</v>
      </c>
      <c r="E473" s="149" t="s">
        <v>466</v>
      </c>
      <c r="F473" s="149">
        <v>-26.423333299999999</v>
      </c>
      <c r="G473" s="149">
        <v>135.51333299999999</v>
      </c>
      <c r="H473" s="149">
        <v>201</v>
      </c>
      <c r="I473" s="151">
        <v>42816</v>
      </c>
      <c r="J473" s="149" t="s">
        <v>36</v>
      </c>
      <c r="K473" s="149" t="s">
        <v>419</v>
      </c>
      <c r="L473" s="155" t="s">
        <v>2566</v>
      </c>
      <c r="M473" s="155" t="s">
        <v>2567</v>
      </c>
      <c r="N473" s="155" t="s">
        <v>2668</v>
      </c>
      <c r="O473" s="140" t="s">
        <v>2600</v>
      </c>
      <c r="P473" s="149" t="s">
        <v>2735</v>
      </c>
      <c r="Q473" s="140" t="s">
        <v>2709</v>
      </c>
      <c r="R473" s="158" t="s">
        <v>2713</v>
      </c>
      <c r="S473" s="149">
        <f t="shared" si="20"/>
        <v>1.1000000000000001E-3</v>
      </c>
      <c r="T473" s="140">
        <v>0</v>
      </c>
      <c r="U473" s="157">
        <v>1.1000000000000001E-3</v>
      </c>
      <c r="V473" s="157">
        <v>1.6160000000000001</v>
      </c>
      <c r="W473" s="157">
        <v>7.1130000000000004</v>
      </c>
      <c r="X473" s="149">
        <f t="shared" si="19"/>
        <v>11.494608000000001</v>
      </c>
      <c r="Y473" s="149"/>
    </row>
    <row r="474" spans="1:25" ht="16">
      <c r="A474" s="117" t="s">
        <v>3570</v>
      </c>
      <c r="B474" s="150" t="s">
        <v>534</v>
      </c>
      <c r="C474" s="149" t="s">
        <v>1744</v>
      </c>
      <c r="D474" s="149" t="s">
        <v>3555</v>
      </c>
      <c r="E474" s="149" t="s">
        <v>466</v>
      </c>
      <c r="F474" s="149">
        <v>-26.423333299999999</v>
      </c>
      <c r="G474" s="149">
        <v>135.51333299999999</v>
      </c>
      <c r="H474" s="149">
        <v>201</v>
      </c>
      <c r="I474" s="151">
        <v>42816</v>
      </c>
      <c r="J474" s="149" t="s">
        <v>36</v>
      </c>
      <c r="K474" s="149" t="s">
        <v>419</v>
      </c>
      <c r="L474" s="140" t="s">
        <v>2566</v>
      </c>
      <c r="M474" s="140" t="s">
        <v>2567</v>
      </c>
      <c r="N474" s="140" t="s">
        <v>2668</v>
      </c>
      <c r="O474" s="140" t="s">
        <v>2105</v>
      </c>
      <c r="P474" s="140" t="s">
        <v>2105</v>
      </c>
      <c r="Q474" s="140" t="s">
        <v>2387</v>
      </c>
      <c r="R474" s="140" t="s">
        <v>2713</v>
      </c>
      <c r="S474" s="149">
        <f t="shared" si="20"/>
        <v>1E-3</v>
      </c>
      <c r="T474" s="140">
        <v>0</v>
      </c>
      <c r="U474" s="157">
        <v>1E-3</v>
      </c>
      <c r="V474" s="157">
        <v>1.4670000000000001</v>
      </c>
      <c r="W474" s="157">
        <v>7.3</v>
      </c>
      <c r="X474" s="149">
        <f t="shared" si="19"/>
        <v>10.709100000000001</v>
      </c>
      <c r="Y474" s="149"/>
    </row>
    <row r="475" spans="1:25" ht="16">
      <c r="A475" s="117" t="s">
        <v>3570</v>
      </c>
      <c r="B475" s="150" t="s">
        <v>535</v>
      </c>
      <c r="C475" s="149" t="s">
        <v>1744</v>
      </c>
      <c r="D475" s="149" t="s">
        <v>3555</v>
      </c>
      <c r="E475" s="149" t="s">
        <v>466</v>
      </c>
      <c r="F475" s="149">
        <v>-26.423333299999999</v>
      </c>
      <c r="G475" s="149">
        <v>135.51333299999999</v>
      </c>
      <c r="H475" s="149">
        <v>201</v>
      </c>
      <c r="I475" s="151">
        <v>42816</v>
      </c>
      <c r="J475" s="149" t="s">
        <v>36</v>
      </c>
      <c r="K475" s="149" t="s">
        <v>419</v>
      </c>
      <c r="L475" s="140" t="s">
        <v>2566</v>
      </c>
      <c r="M475" s="140" t="s">
        <v>2567</v>
      </c>
      <c r="N475" s="140" t="s">
        <v>2668</v>
      </c>
      <c r="O475" s="140" t="s">
        <v>2105</v>
      </c>
      <c r="P475" s="140" t="s">
        <v>2105</v>
      </c>
      <c r="Q475" s="140" t="s">
        <v>2387</v>
      </c>
      <c r="R475" s="140" t="s">
        <v>2712</v>
      </c>
      <c r="S475" s="149">
        <f t="shared" si="20"/>
        <v>5.9999999999999995E-4</v>
      </c>
      <c r="T475" s="140">
        <v>0</v>
      </c>
      <c r="U475" s="157">
        <v>5.9999999999999995E-4</v>
      </c>
      <c r="V475" s="157">
        <v>1.19</v>
      </c>
      <c r="W475" s="157">
        <v>5.2539999999999996</v>
      </c>
      <c r="X475" s="149">
        <f t="shared" si="19"/>
        <v>6.2522599999999988</v>
      </c>
      <c r="Y475" s="149"/>
    </row>
    <row r="476" spans="1:25" ht="16">
      <c r="A476" s="117" t="s">
        <v>3570</v>
      </c>
      <c r="B476" s="150" t="s">
        <v>537</v>
      </c>
      <c r="C476" s="149" t="s">
        <v>1744</v>
      </c>
      <c r="D476" s="149" t="s">
        <v>3555</v>
      </c>
      <c r="E476" s="149" t="s">
        <v>466</v>
      </c>
      <c r="F476" s="149">
        <v>-26.423333299999999</v>
      </c>
      <c r="G476" s="149">
        <v>135.51333299999999</v>
      </c>
      <c r="H476" s="149">
        <v>201</v>
      </c>
      <c r="I476" s="151">
        <v>42816</v>
      </c>
      <c r="J476" s="149" t="s">
        <v>36</v>
      </c>
      <c r="K476" s="149" t="s">
        <v>419</v>
      </c>
      <c r="L476" s="140" t="s">
        <v>2566</v>
      </c>
      <c r="M476" s="140" t="s">
        <v>2567</v>
      </c>
      <c r="N476" s="140" t="s">
        <v>2668</v>
      </c>
      <c r="O476" s="140" t="s">
        <v>2105</v>
      </c>
      <c r="P476" s="140" t="s">
        <v>2105</v>
      </c>
      <c r="Q476" s="140" t="s">
        <v>2387</v>
      </c>
      <c r="R476" s="140" t="s">
        <v>2712</v>
      </c>
      <c r="S476" s="149">
        <f t="shared" si="20"/>
        <v>5.9999999999999995E-4</v>
      </c>
      <c r="T476" s="140">
        <v>0</v>
      </c>
      <c r="U476" s="157">
        <v>5.9999999999999995E-4</v>
      </c>
      <c r="V476" s="157">
        <v>1.1659999999999999</v>
      </c>
      <c r="W476" s="157">
        <v>4.8319999999999999</v>
      </c>
      <c r="X476" s="149">
        <f t="shared" si="19"/>
        <v>5.6341119999999991</v>
      </c>
      <c r="Y476" s="149"/>
    </row>
    <row r="477" spans="1:25" ht="16">
      <c r="A477" s="117" t="s">
        <v>3570</v>
      </c>
      <c r="B477" s="150" t="s">
        <v>538</v>
      </c>
      <c r="C477" s="149" t="s">
        <v>1744</v>
      </c>
      <c r="D477" s="149" t="s">
        <v>3555</v>
      </c>
      <c r="E477" s="149" t="s">
        <v>466</v>
      </c>
      <c r="F477" s="149">
        <v>-26.423333299999999</v>
      </c>
      <c r="G477" s="149">
        <v>135.51333299999999</v>
      </c>
      <c r="H477" s="149">
        <v>201</v>
      </c>
      <c r="I477" s="151">
        <v>42816</v>
      </c>
      <c r="J477" s="149" t="s">
        <v>36</v>
      </c>
      <c r="K477" s="149" t="s">
        <v>419</v>
      </c>
      <c r="L477" s="140" t="s">
        <v>2566</v>
      </c>
      <c r="M477" s="140" t="s">
        <v>2567</v>
      </c>
      <c r="N477" s="140" t="s">
        <v>2668</v>
      </c>
      <c r="O477" s="140" t="s">
        <v>2105</v>
      </c>
      <c r="P477" s="140" t="s">
        <v>2105</v>
      </c>
      <c r="Q477" s="140" t="s">
        <v>2387</v>
      </c>
      <c r="R477" s="140" t="s">
        <v>2713</v>
      </c>
      <c r="S477" s="149">
        <f t="shared" si="20"/>
        <v>2.2000000000000001E-3</v>
      </c>
      <c r="T477" s="140">
        <v>0</v>
      </c>
      <c r="U477" s="157">
        <v>2.2000000000000001E-3</v>
      </c>
      <c r="V477" s="157">
        <v>1.5669999999999999</v>
      </c>
      <c r="W477" s="157">
        <v>6.2889999999999997</v>
      </c>
      <c r="X477" s="149">
        <f t="shared" si="19"/>
        <v>9.8548629999999999</v>
      </c>
      <c r="Y477" s="149"/>
    </row>
    <row r="478" spans="1:25" ht="16">
      <c r="A478" s="117" t="s">
        <v>3570</v>
      </c>
      <c r="B478" s="150" t="s">
        <v>539</v>
      </c>
      <c r="C478" s="149" t="s">
        <v>1744</v>
      </c>
      <c r="D478" s="149" t="s">
        <v>3555</v>
      </c>
      <c r="E478" s="149" t="s">
        <v>466</v>
      </c>
      <c r="F478" s="149">
        <v>-26.423333299999999</v>
      </c>
      <c r="G478" s="149">
        <v>135.51333299999999</v>
      </c>
      <c r="H478" s="149">
        <v>201</v>
      </c>
      <c r="I478" s="151">
        <v>42816</v>
      </c>
      <c r="J478" s="149" t="s">
        <v>36</v>
      </c>
      <c r="K478" s="149" t="s">
        <v>419</v>
      </c>
      <c r="L478" s="140" t="s">
        <v>2566</v>
      </c>
      <c r="M478" s="140" t="s">
        <v>2567</v>
      </c>
      <c r="N478" s="140" t="s">
        <v>2668</v>
      </c>
      <c r="O478" s="140" t="s">
        <v>2105</v>
      </c>
      <c r="P478" s="140" t="s">
        <v>2105</v>
      </c>
      <c r="Q478" s="140" t="s">
        <v>2387</v>
      </c>
      <c r="R478" s="140" t="s">
        <v>2713</v>
      </c>
      <c r="S478" s="149">
        <f t="shared" si="20"/>
        <v>1.2999999999999999E-3</v>
      </c>
      <c r="T478" s="140">
        <v>0</v>
      </c>
      <c r="U478" s="157">
        <v>1.2999999999999999E-3</v>
      </c>
      <c r="V478" s="157">
        <v>1.677</v>
      </c>
      <c r="W478" s="157">
        <v>7.5810000000000004</v>
      </c>
      <c r="X478" s="149">
        <f t="shared" si="19"/>
        <v>12.713337000000001</v>
      </c>
      <c r="Y478" s="149"/>
    </row>
    <row r="479" spans="1:25" ht="16">
      <c r="A479" s="117" t="s">
        <v>3570</v>
      </c>
      <c r="B479" s="150" t="s">
        <v>540</v>
      </c>
      <c r="C479" s="149" t="s">
        <v>1744</v>
      </c>
      <c r="D479" s="149" t="s">
        <v>3555</v>
      </c>
      <c r="E479" s="149" t="s">
        <v>466</v>
      </c>
      <c r="F479" s="149">
        <v>-26.423333299999999</v>
      </c>
      <c r="G479" s="149">
        <v>135.51333299999999</v>
      </c>
      <c r="H479" s="149">
        <v>201</v>
      </c>
      <c r="I479" s="151">
        <v>42816</v>
      </c>
      <c r="J479" s="149" t="s">
        <v>36</v>
      </c>
      <c r="K479" s="149" t="s">
        <v>419</v>
      </c>
      <c r="L479" s="140" t="s">
        <v>2566</v>
      </c>
      <c r="M479" s="140" t="s">
        <v>2567</v>
      </c>
      <c r="N479" s="140" t="s">
        <v>2668</v>
      </c>
      <c r="O479" s="140" t="s">
        <v>2105</v>
      </c>
      <c r="P479" s="140" t="s">
        <v>2105</v>
      </c>
      <c r="Q479" s="140" t="s">
        <v>2387</v>
      </c>
      <c r="R479" s="140" t="s">
        <v>2713</v>
      </c>
      <c r="S479" s="149">
        <f t="shared" si="20"/>
        <v>1E-3</v>
      </c>
      <c r="T479" s="140">
        <v>0</v>
      </c>
      <c r="U479" s="157">
        <v>1E-3</v>
      </c>
      <c r="V479" s="157">
        <v>1.4430000000000001</v>
      </c>
      <c r="W479" s="157">
        <v>6.7050000000000001</v>
      </c>
      <c r="X479" s="149">
        <f t="shared" si="19"/>
        <v>9.6753150000000012</v>
      </c>
      <c r="Y479" s="149"/>
    </row>
    <row r="480" spans="1:25" ht="16">
      <c r="A480" s="117" t="s">
        <v>3570</v>
      </c>
      <c r="B480" s="150" t="s">
        <v>541</v>
      </c>
      <c r="C480" s="149" t="s">
        <v>1744</v>
      </c>
      <c r="D480" s="149" t="s">
        <v>3555</v>
      </c>
      <c r="E480" s="149" t="s">
        <v>466</v>
      </c>
      <c r="F480" s="149">
        <v>-26.423333299999999</v>
      </c>
      <c r="G480" s="149">
        <v>135.51333299999999</v>
      </c>
      <c r="H480" s="149">
        <v>201</v>
      </c>
      <c r="I480" s="151">
        <v>42816</v>
      </c>
      <c r="J480" s="149" t="s">
        <v>36</v>
      </c>
      <c r="K480" s="149" t="s">
        <v>419</v>
      </c>
      <c r="L480" s="155" t="s">
        <v>2566</v>
      </c>
      <c r="M480" s="155" t="s">
        <v>2567</v>
      </c>
      <c r="N480" s="155" t="s">
        <v>2668</v>
      </c>
      <c r="O480" s="140" t="s">
        <v>2600</v>
      </c>
      <c r="P480" s="149" t="s">
        <v>2735</v>
      </c>
      <c r="Q480" s="140" t="s">
        <v>2709</v>
      </c>
      <c r="R480" s="158" t="s">
        <v>2713</v>
      </c>
      <c r="S480" s="149">
        <f t="shared" si="20"/>
        <v>6.9999999999999999E-4</v>
      </c>
      <c r="T480" s="140">
        <v>0</v>
      </c>
      <c r="U480" s="157">
        <v>6.9999999999999999E-4</v>
      </c>
      <c r="V480" s="157">
        <v>1.371</v>
      </c>
      <c r="W480" s="157">
        <v>6.4720000000000004</v>
      </c>
      <c r="X480" s="149">
        <f t="shared" si="19"/>
        <v>8.8731120000000008</v>
      </c>
      <c r="Y480" s="149"/>
    </row>
    <row r="481" spans="1:25" ht="16">
      <c r="A481" s="117" t="s">
        <v>3570</v>
      </c>
      <c r="B481" s="150" t="s">
        <v>542</v>
      </c>
      <c r="C481" s="149" t="s">
        <v>1744</v>
      </c>
      <c r="D481" s="149" t="s">
        <v>3555</v>
      </c>
      <c r="E481" s="149" t="s">
        <v>466</v>
      </c>
      <c r="F481" s="149">
        <v>-26.423333299999999</v>
      </c>
      <c r="G481" s="149">
        <v>135.51333299999999</v>
      </c>
      <c r="H481" s="149">
        <v>201</v>
      </c>
      <c r="I481" s="151">
        <v>42816</v>
      </c>
      <c r="J481" s="149" t="s">
        <v>36</v>
      </c>
      <c r="K481" s="149" t="s">
        <v>419</v>
      </c>
      <c r="L481" s="140" t="s">
        <v>2566</v>
      </c>
      <c r="M481" s="140" t="s">
        <v>2567</v>
      </c>
      <c r="N481" s="140" t="s">
        <v>2668</v>
      </c>
      <c r="O481" s="140" t="s">
        <v>2105</v>
      </c>
      <c r="P481" s="140" t="s">
        <v>2105</v>
      </c>
      <c r="Q481" s="140" t="s">
        <v>2387</v>
      </c>
      <c r="R481" s="140" t="s">
        <v>2713</v>
      </c>
      <c r="S481" s="149">
        <f t="shared" si="20"/>
        <v>1E-3</v>
      </c>
      <c r="T481" s="140">
        <v>0</v>
      </c>
      <c r="U481" s="157">
        <v>1E-3</v>
      </c>
      <c r="V481" s="157">
        <v>1.4790000000000001</v>
      </c>
      <c r="W481" s="157">
        <v>6.5039999999999996</v>
      </c>
      <c r="X481" s="149">
        <f t="shared" si="19"/>
        <v>9.6194159999999993</v>
      </c>
      <c r="Y481" s="149"/>
    </row>
    <row r="482" spans="1:25" ht="16">
      <c r="A482" s="117" t="s">
        <v>3570</v>
      </c>
      <c r="B482" s="150" t="s">
        <v>543</v>
      </c>
      <c r="C482" s="149" t="s">
        <v>1744</v>
      </c>
      <c r="D482" s="149" t="s">
        <v>3555</v>
      </c>
      <c r="E482" s="149" t="s">
        <v>466</v>
      </c>
      <c r="F482" s="149">
        <v>-26.423333299999999</v>
      </c>
      <c r="G482" s="149">
        <v>135.51333299999999</v>
      </c>
      <c r="H482" s="149">
        <v>201</v>
      </c>
      <c r="I482" s="151">
        <v>42816</v>
      </c>
      <c r="J482" s="149" t="s">
        <v>36</v>
      </c>
      <c r="K482" s="149" t="s">
        <v>419</v>
      </c>
      <c r="L482" s="140" t="s">
        <v>2566</v>
      </c>
      <c r="M482" s="140" t="s">
        <v>2567</v>
      </c>
      <c r="N482" s="140" t="s">
        <v>2668</v>
      </c>
      <c r="O482" s="140" t="s">
        <v>2600</v>
      </c>
      <c r="P482" s="149" t="s">
        <v>2735</v>
      </c>
      <c r="Q482" s="140" t="s">
        <v>2709</v>
      </c>
      <c r="R482" s="140" t="s">
        <v>2713</v>
      </c>
      <c r="S482" s="149">
        <f t="shared" si="20"/>
        <v>5.9999999999999995E-4</v>
      </c>
      <c r="T482" s="140">
        <v>0</v>
      </c>
      <c r="U482" s="157">
        <v>5.9999999999999995E-4</v>
      </c>
      <c r="V482" s="157">
        <v>1.375</v>
      </c>
      <c r="W482" s="157">
        <v>6.4850000000000003</v>
      </c>
      <c r="X482" s="149">
        <f t="shared" si="19"/>
        <v>8.916875000000001</v>
      </c>
      <c r="Y482" s="149"/>
    </row>
    <row r="483" spans="1:25" ht="16">
      <c r="A483" s="117" t="s">
        <v>3570</v>
      </c>
      <c r="B483" s="150" t="s">
        <v>544</v>
      </c>
      <c r="C483" s="149" t="s">
        <v>1744</v>
      </c>
      <c r="D483" s="149" t="s">
        <v>3555</v>
      </c>
      <c r="E483" s="149" t="s">
        <v>466</v>
      </c>
      <c r="F483" s="149">
        <v>-26.423333299999999</v>
      </c>
      <c r="G483" s="149">
        <v>135.51333299999999</v>
      </c>
      <c r="H483" s="149">
        <v>201</v>
      </c>
      <c r="I483" s="151">
        <v>42816</v>
      </c>
      <c r="J483" s="149" t="s">
        <v>36</v>
      </c>
      <c r="K483" s="149" t="s">
        <v>419</v>
      </c>
      <c r="L483" s="155" t="s">
        <v>2566</v>
      </c>
      <c r="M483" s="155" t="s">
        <v>2567</v>
      </c>
      <c r="N483" s="155" t="s">
        <v>2668</v>
      </c>
      <c r="O483" s="155" t="s">
        <v>2105</v>
      </c>
      <c r="P483" s="140" t="s">
        <v>2105</v>
      </c>
      <c r="Q483" s="140" t="s">
        <v>2387</v>
      </c>
      <c r="R483" s="155" t="s">
        <v>2712</v>
      </c>
      <c r="S483" s="149">
        <f t="shared" si="20"/>
        <v>2.0000000000000001E-4</v>
      </c>
      <c r="T483" s="149">
        <v>0</v>
      </c>
      <c r="U483" s="157">
        <v>2.0000000000000001E-4</v>
      </c>
      <c r="V483" s="157">
        <v>0.80400000000000005</v>
      </c>
      <c r="W483" s="157">
        <v>4.6970000000000001</v>
      </c>
      <c r="X483" s="149">
        <f t="shared" si="19"/>
        <v>3.7763880000000003</v>
      </c>
      <c r="Y483" s="149"/>
    </row>
    <row r="484" spans="1:25" ht="16">
      <c r="A484" s="117" t="s">
        <v>3570</v>
      </c>
      <c r="B484" s="150" t="s">
        <v>546</v>
      </c>
      <c r="C484" s="149" t="s">
        <v>1744</v>
      </c>
      <c r="D484" s="149" t="s">
        <v>3555</v>
      </c>
      <c r="E484" s="149" t="s">
        <v>466</v>
      </c>
      <c r="F484" s="149">
        <v>-26.423333299999999</v>
      </c>
      <c r="G484" s="149">
        <v>135.51333299999999</v>
      </c>
      <c r="H484" s="149">
        <v>201</v>
      </c>
      <c r="I484" s="151">
        <v>42816</v>
      </c>
      <c r="J484" s="149" t="s">
        <v>36</v>
      </c>
      <c r="K484" s="149" t="s">
        <v>419</v>
      </c>
      <c r="L484" s="155" t="s">
        <v>2566</v>
      </c>
      <c r="M484" s="155" t="s">
        <v>2567</v>
      </c>
      <c r="N484" s="155" t="s">
        <v>2668</v>
      </c>
      <c r="O484" s="140" t="s">
        <v>2600</v>
      </c>
      <c r="P484" s="149" t="s">
        <v>2735</v>
      </c>
      <c r="Q484" s="140" t="s">
        <v>2709</v>
      </c>
      <c r="R484" s="158" t="s">
        <v>2713</v>
      </c>
      <c r="S484" s="149">
        <f t="shared" si="20"/>
        <v>8.0000000000000004E-4</v>
      </c>
      <c r="T484" s="149">
        <v>0</v>
      </c>
      <c r="U484" s="157">
        <v>8.0000000000000004E-4</v>
      </c>
      <c r="V484" s="157">
        <v>1.474</v>
      </c>
      <c r="W484" s="157">
        <v>4.4640000000000004</v>
      </c>
      <c r="X484" s="149">
        <f t="shared" si="19"/>
        <v>6.5799360000000009</v>
      </c>
      <c r="Y484" s="149"/>
    </row>
    <row r="485" spans="1:25" ht="16">
      <c r="A485" s="117" t="s">
        <v>3570</v>
      </c>
      <c r="B485" s="150" t="s">
        <v>547</v>
      </c>
      <c r="C485" s="149" t="s">
        <v>1744</v>
      </c>
      <c r="D485" s="149" t="s">
        <v>3555</v>
      </c>
      <c r="E485" s="149" t="s">
        <v>463</v>
      </c>
      <c r="F485" s="149">
        <v>-25.754722220000001</v>
      </c>
      <c r="G485" s="149">
        <v>135.26305556</v>
      </c>
      <c r="H485" s="149">
        <v>202</v>
      </c>
      <c r="I485" s="151">
        <v>42815</v>
      </c>
      <c r="J485" s="149" t="s">
        <v>36</v>
      </c>
      <c r="K485" s="149" t="s">
        <v>419</v>
      </c>
      <c r="L485" s="149" t="s">
        <v>1687</v>
      </c>
      <c r="M485" s="149" t="s">
        <v>2563</v>
      </c>
      <c r="N485" s="149" t="s">
        <v>2568</v>
      </c>
      <c r="O485" s="149" t="s">
        <v>2734</v>
      </c>
      <c r="P485" s="149" t="s">
        <v>2782</v>
      </c>
      <c r="Q485" s="149" t="s">
        <v>2392</v>
      </c>
      <c r="R485" s="149" t="s">
        <v>2712</v>
      </c>
      <c r="S485" s="149">
        <f t="shared" si="20"/>
        <v>5.8999999999999997E-2</v>
      </c>
      <c r="T485" s="140">
        <v>3.8671999999999998E-2</v>
      </c>
      <c r="U485" s="157">
        <v>2.0327999999999999E-2</v>
      </c>
      <c r="V485" s="157">
        <v>4.532</v>
      </c>
      <c r="W485" s="157">
        <v>16.423999999999999</v>
      </c>
      <c r="X485" s="149">
        <f t="shared" si="19"/>
        <v>74.433567999999994</v>
      </c>
      <c r="Y485" s="149"/>
    </row>
    <row r="486" spans="1:25" ht="16">
      <c r="A486" s="117" t="s">
        <v>3570</v>
      </c>
      <c r="B486" s="150" t="s">
        <v>548</v>
      </c>
      <c r="C486" s="149" t="s">
        <v>1744</v>
      </c>
      <c r="D486" s="149" t="s">
        <v>3555</v>
      </c>
      <c r="E486" s="149" t="s">
        <v>463</v>
      </c>
      <c r="F486" s="149">
        <v>-25.754722220000001</v>
      </c>
      <c r="G486" s="149">
        <v>135.26305556</v>
      </c>
      <c r="H486" s="149">
        <v>202</v>
      </c>
      <c r="I486" s="151">
        <v>42815</v>
      </c>
      <c r="J486" s="149" t="s">
        <v>36</v>
      </c>
      <c r="K486" s="149" t="s">
        <v>419</v>
      </c>
      <c r="L486" s="149" t="s">
        <v>2569</v>
      </c>
      <c r="M486" s="149" t="s">
        <v>2570</v>
      </c>
      <c r="N486" s="149" t="s">
        <v>2571</v>
      </c>
      <c r="O486" s="140" t="s">
        <v>2369</v>
      </c>
      <c r="P486" s="140" t="s">
        <v>2737</v>
      </c>
      <c r="Q486" s="140" t="s">
        <v>2396</v>
      </c>
      <c r="R486" s="140" t="s">
        <v>2713</v>
      </c>
      <c r="S486" s="149">
        <f t="shared" si="20"/>
        <v>5.7200000000000001E-2</v>
      </c>
      <c r="T486" s="140">
        <v>3.8671999999999998E-2</v>
      </c>
      <c r="U486" s="157">
        <v>1.8528000000000003E-2</v>
      </c>
      <c r="V486" s="157">
        <v>3.968</v>
      </c>
      <c r="W486" s="157">
        <v>16.533999999999999</v>
      </c>
      <c r="X486" s="149">
        <f t="shared" si="19"/>
        <v>65.606911999999994</v>
      </c>
      <c r="Y486" s="149"/>
    </row>
    <row r="487" spans="1:25" ht="16">
      <c r="A487" s="117" t="s">
        <v>3570</v>
      </c>
      <c r="B487" s="150" t="s">
        <v>549</v>
      </c>
      <c r="C487" s="149" t="s">
        <v>1744</v>
      </c>
      <c r="D487" s="149" t="s">
        <v>3555</v>
      </c>
      <c r="E487" s="149" t="s">
        <v>463</v>
      </c>
      <c r="F487" s="149">
        <v>-25.754722220000001</v>
      </c>
      <c r="G487" s="149">
        <v>135.26305556</v>
      </c>
      <c r="H487" s="149">
        <v>202</v>
      </c>
      <c r="I487" s="151">
        <v>42815</v>
      </c>
      <c r="J487" s="149" t="s">
        <v>36</v>
      </c>
      <c r="K487" s="149" t="s">
        <v>419</v>
      </c>
      <c r="L487" s="140" t="s">
        <v>2566</v>
      </c>
      <c r="M487" s="140" t="s">
        <v>2574</v>
      </c>
      <c r="N487" s="140" t="s">
        <v>3191</v>
      </c>
      <c r="O487" s="149" t="s">
        <v>2111</v>
      </c>
      <c r="P487" s="149" t="s">
        <v>2739</v>
      </c>
      <c r="Q487" s="140" t="s">
        <v>2693</v>
      </c>
      <c r="R487" s="140" t="s">
        <v>2712</v>
      </c>
      <c r="S487" s="149">
        <f t="shared" si="20"/>
        <v>5.16E-2</v>
      </c>
      <c r="T487" s="140">
        <v>3.8671999999999998E-2</v>
      </c>
      <c r="U487" s="157">
        <v>1.2928000000000002E-2</v>
      </c>
      <c r="V487" s="157">
        <v>3.4630000000000001</v>
      </c>
      <c r="W487" s="157">
        <v>14.169</v>
      </c>
      <c r="X487" s="149">
        <f t="shared" si="19"/>
        <v>49.067247000000002</v>
      </c>
      <c r="Y487" s="149"/>
    </row>
    <row r="488" spans="1:25" ht="16">
      <c r="A488" s="117" t="s">
        <v>3570</v>
      </c>
      <c r="B488" s="150" t="s">
        <v>550</v>
      </c>
      <c r="C488" s="149" t="s">
        <v>1744</v>
      </c>
      <c r="D488" s="149" t="s">
        <v>3555</v>
      </c>
      <c r="E488" s="149" t="s">
        <v>463</v>
      </c>
      <c r="F488" s="149">
        <v>-25.754722220000001</v>
      </c>
      <c r="G488" s="149">
        <v>135.26305556</v>
      </c>
      <c r="H488" s="149">
        <v>202</v>
      </c>
      <c r="I488" s="151">
        <v>42815</v>
      </c>
      <c r="J488" s="149" t="s">
        <v>36</v>
      </c>
      <c r="K488" s="149" t="s">
        <v>419</v>
      </c>
      <c r="L488" s="140" t="s">
        <v>2572</v>
      </c>
      <c r="M488" s="140" t="s">
        <v>2407</v>
      </c>
      <c r="N488" s="140" t="s">
        <v>36</v>
      </c>
      <c r="O488" s="140" t="s">
        <v>2215</v>
      </c>
      <c r="P488" s="140" t="s">
        <v>2215</v>
      </c>
      <c r="Q488" s="140" t="s">
        <v>2702</v>
      </c>
      <c r="R488" s="140" t="s">
        <v>2713</v>
      </c>
      <c r="S488" s="149">
        <f t="shared" si="20"/>
        <v>8.9999999999999998E-4</v>
      </c>
      <c r="T488" s="149">
        <v>0</v>
      </c>
      <c r="U488" s="157">
        <v>8.9999999999999998E-4</v>
      </c>
      <c r="V488" s="157">
        <v>1.3919999999999999</v>
      </c>
      <c r="W488" s="157">
        <v>8.0289999999999999</v>
      </c>
      <c r="X488" s="149">
        <f t="shared" si="19"/>
        <v>11.176367999999998</v>
      </c>
      <c r="Y488" s="149"/>
    </row>
    <row r="489" spans="1:25" ht="16">
      <c r="A489" s="117" t="s">
        <v>3570</v>
      </c>
      <c r="B489" s="150" t="s">
        <v>435</v>
      </c>
      <c r="C489" s="149" t="s">
        <v>1744</v>
      </c>
      <c r="D489" s="149" t="s">
        <v>3555</v>
      </c>
      <c r="E489" s="149" t="s">
        <v>426</v>
      </c>
      <c r="F489" s="149">
        <v>-26.458888890000001</v>
      </c>
      <c r="G489" s="149">
        <v>135.41277778</v>
      </c>
      <c r="H489" s="149">
        <v>202</v>
      </c>
      <c r="I489" s="151">
        <v>42815</v>
      </c>
      <c r="J489" s="149" t="s">
        <v>36</v>
      </c>
      <c r="K489" s="149" t="s">
        <v>419</v>
      </c>
      <c r="L489" s="149" t="s">
        <v>1687</v>
      </c>
      <c r="M489" s="149" t="s">
        <v>2563</v>
      </c>
      <c r="N489" s="149" t="s">
        <v>2568</v>
      </c>
      <c r="O489" s="149" t="s">
        <v>2734</v>
      </c>
      <c r="P489" s="149" t="s">
        <v>2782</v>
      </c>
      <c r="Q489" s="149" t="s">
        <v>2392</v>
      </c>
      <c r="R489" s="149" t="s">
        <v>2712</v>
      </c>
      <c r="S489" s="149">
        <f t="shared" si="20"/>
        <v>5.8400000000000001E-2</v>
      </c>
      <c r="T489" s="140">
        <v>3.8671999999999998E-2</v>
      </c>
      <c r="U489" s="157">
        <v>1.9728000000000002E-2</v>
      </c>
      <c r="V489" s="157">
        <v>4.399</v>
      </c>
      <c r="W489" s="157">
        <v>16.988</v>
      </c>
      <c r="X489" s="149">
        <f t="shared" si="19"/>
        <v>74.730211999999995</v>
      </c>
      <c r="Y489" s="149"/>
    </row>
    <row r="490" spans="1:25" ht="16">
      <c r="A490" s="117" t="s">
        <v>3570</v>
      </c>
      <c r="B490" s="150" t="s">
        <v>551</v>
      </c>
      <c r="C490" s="149" t="s">
        <v>1744</v>
      </c>
      <c r="D490" s="149" t="s">
        <v>3555</v>
      </c>
      <c r="E490" s="149" t="s">
        <v>463</v>
      </c>
      <c r="F490" s="149">
        <v>-25.754722220000001</v>
      </c>
      <c r="G490" s="149">
        <v>135.26305556</v>
      </c>
      <c r="H490" s="149">
        <v>202</v>
      </c>
      <c r="I490" s="151">
        <v>42815</v>
      </c>
      <c r="J490" s="149" t="s">
        <v>36</v>
      </c>
      <c r="K490" s="149" t="s">
        <v>419</v>
      </c>
      <c r="L490" s="149" t="s">
        <v>1687</v>
      </c>
      <c r="M490" s="149" t="s">
        <v>2563</v>
      </c>
      <c r="N490" s="149" t="s">
        <v>2568</v>
      </c>
      <c r="O490" s="149" t="s">
        <v>2734</v>
      </c>
      <c r="P490" s="149" t="s">
        <v>2782</v>
      </c>
      <c r="Q490" s="149" t="s">
        <v>2392</v>
      </c>
      <c r="R490" s="149" t="s">
        <v>2712</v>
      </c>
      <c r="S490" s="149">
        <f t="shared" si="20"/>
        <v>5.4699999999999999E-2</v>
      </c>
      <c r="T490" s="140">
        <v>3.8671999999999998E-2</v>
      </c>
      <c r="U490" s="157">
        <v>1.6028000000000001E-2</v>
      </c>
      <c r="V490" s="157">
        <v>3.76</v>
      </c>
      <c r="W490" s="157">
        <v>17.416</v>
      </c>
      <c r="X490" s="149">
        <f t="shared" si="19"/>
        <v>65.484160000000003</v>
      </c>
      <c r="Y490" s="149"/>
    </row>
    <row r="491" spans="1:25" ht="16">
      <c r="A491" s="117" t="s">
        <v>3570</v>
      </c>
      <c r="B491" s="150" t="s">
        <v>552</v>
      </c>
      <c r="C491" s="149" t="s">
        <v>1744</v>
      </c>
      <c r="D491" s="149" t="s">
        <v>3555</v>
      </c>
      <c r="E491" s="149" t="s">
        <v>463</v>
      </c>
      <c r="F491" s="149">
        <v>-25.754722220000001</v>
      </c>
      <c r="G491" s="149">
        <v>135.26305556</v>
      </c>
      <c r="H491" s="149">
        <v>202</v>
      </c>
      <c r="I491" s="151">
        <v>42815</v>
      </c>
      <c r="J491" s="149" t="s">
        <v>36</v>
      </c>
      <c r="K491" s="149" t="s">
        <v>419</v>
      </c>
      <c r="L491" s="149" t="s">
        <v>1687</v>
      </c>
      <c r="M491" s="149" t="s">
        <v>2563</v>
      </c>
      <c r="N491" s="149" t="s">
        <v>2568</v>
      </c>
      <c r="O491" s="149" t="s">
        <v>2734</v>
      </c>
      <c r="P491" s="149" t="s">
        <v>2782</v>
      </c>
      <c r="Q491" s="149" t="s">
        <v>2392</v>
      </c>
      <c r="R491" s="149" t="s">
        <v>2712</v>
      </c>
      <c r="S491" s="149">
        <f t="shared" si="20"/>
        <v>6.13E-2</v>
      </c>
      <c r="T491" s="140">
        <v>3.8671999999999998E-2</v>
      </c>
      <c r="U491" s="157">
        <v>2.2628000000000002E-2</v>
      </c>
      <c r="V491" s="157">
        <v>4.8330000000000002</v>
      </c>
      <c r="W491" s="157">
        <v>19.248999999999999</v>
      </c>
      <c r="X491" s="149">
        <f t="shared" si="19"/>
        <v>93.030417</v>
      </c>
      <c r="Y491" s="149"/>
    </row>
    <row r="492" spans="1:25" ht="16">
      <c r="A492" s="117" t="s">
        <v>3570</v>
      </c>
      <c r="B492" s="150" t="s">
        <v>553</v>
      </c>
      <c r="C492" s="149" t="s">
        <v>1744</v>
      </c>
      <c r="D492" s="149" t="s">
        <v>3555</v>
      </c>
      <c r="E492" s="149" t="s">
        <v>463</v>
      </c>
      <c r="F492" s="149">
        <v>-25.754722220000001</v>
      </c>
      <c r="G492" s="149">
        <v>135.26305556</v>
      </c>
      <c r="H492" s="149">
        <v>202</v>
      </c>
      <c r="I492" s="151">
        <v>42815</v>
      </c>
      <c r="J492" s="149" t="s">
        <v>36</v>
      </c>
      <c r="K492" s="149" t="s">
        <v>419</v>
      </c>
      <c r="L492" s="140" t="s">
        <v>2569</v>
      </c>
      <c r="M492" s="140" t="s">
        <v>2570</v>
      </c>
      <c r="N492" s="140" t="s">
        <v>2571</v>
      </c>
      <c r="O492" s="140" t="s">
        <v>2369</v>
      </c>
      <c r="P492" s="140" t="s">
        <v>3556</v>
      </c>
      <c r="Q492" s="140" t="s">
        <v>2676</v>
      </c>
      <c r="R492" s="140" t="s">
        <v>2713</v>
      </c>
      <c r="S492" s="149">
        <f t="shared" si="20"/>
        <v>4.1000000000000003E-3</v>
      </c>
      <c r="T492" s="149">
        <v>0</v>
      </c>
      <c r="U492" s="157">
        <v>4.1000000000000003E-3</v>
      </c>
      <c r="V492" s="157">
        <v>2.294</v>
      </c>
      <c r="W492" s="157">
        <v>10.66</v>
      </c>
      <c r="X492" s="149">
        <f t="shared" si="19"/>
        <v>24.454039999999999</v>
      </c>
      <c r="Y492" s="149"/>
    </row>
    <row r="493" spans="1:25" ht="16">
      <c r="A493" s="117" t="s">
        <v>3570</v>
      </c>
      <c r="B493" s="150" t="s">
        <v>554</v>
      </c>
      <c r="C493" s="149" t="s">
        <v>1744</v>
      </c>
      <c r="D493" s="149" t="s">
        <v>3555</v>
      </c>
      <c r="E493" s="149" t="s">
        <v>463</v>
      </c>
      <c r="F493" s="149">
        <v>-25.754722220000001</v>
      </c>
      <c r="G493" s="149">
        <v>135.26305556</v>
      </c>
      <c r="H493" s="149">
        <v>202</v>
      </c>
      <c r="I493" s="151">
        <v>42815</v>
      </c>
      <c r="J493" s="149" t="s">
        <v>36</v>
      </c>
      <c r="K493" s="149" t="s">
        <v>419</v>
      </c>
      <c r="L493" s="140" t="s">
        <v>2569</v>
      </c>
      <c r="M493" s="140" t="s">
        <v>2570</v>
      </c>
      <c r="N493" s="140" t="s">
        <v>2571</v>
      </c>
      <c r="O493" s="140" t="s">
        <v>2369</v>
      </c>
      <c r="P493" s="140" t="s">
        <v>3556</v>
      </c>
      <c r="Q493" s="140" t="s">
        <v>2669</v>
      </c>
      <c r="R493" s="140" t="s">
        <v>2713</v>
      </c>
      <c r="S493" s="149">
        <f t="shared" si="20"/>
        <v>5.1999999999999998E-3</v>
      </c>
      <c r="T493" s="149">
        <v>0</v>
      </c>
      <c r="U493" s="157">
        <v>5.1999999999999998E-3</v>
      </c>
      <c r="V493" s="157">
        <v>2.548</v>
      </c>
      <c r="W493" s="157">
        <v>10.676</v>
      </c>
      <c r="X493" s="149">
        <f t="shared" si="19"/>
        <v>27.202448</v>
      </c>
      <c r="Y493" s="149"/>
    </row>
    <row r="494" spans="1:25" ht="16">
      <c r="A494" s="117" t="s">
        <v>3570</v>
      </c>
      <c r="B494" s="150" t="s">
        <v>555</v>
      </c>
      <c r="C494" s="149" t="s">
        <v>1744</v>
      </c>
      <c r="D494" s="149" t="s">
        <v>3555</v>
      </c>
      <c r="E494" s="149" t="s">
        <v>463</v>
      </c>
      <c r="F494" s="149">
        <v>-25.754722220000001</v>
      </c>
      <c r="G494" s="149">
        <v>135.26305556</v>
      </c>
      <c r="H494" s="149">
        <v>202</v>
      </c>
      <c r="I494" s="151">
        <v>42815</v>
      </c>
      <c r="J494" s="149" t="s">
        <v>36</v>
      </c>
      <c r="K494" s="149" t="s">
        <v>419</v>
      </c>
      <c r="L494" s="140" t="s">
        <v>2566</v>
      </c>
      <c r="M494" s="140" t="s">
        <v>2574</v>
      </c>
      <c r="N494" s="140" t="s">
        <v>3191</v>
      </c>
      <c r="O494" s="149" t="s">
        <v>2111</v>
      </c>
      <c r="P494" s="149" t="s">
        <v>2739</v>
      </c>
      <c r="Q494" s="140" t="s">
        <v>2692</v>
      </c>
      <c r="R494" s="140" t="s">
        <v>2712</v>
      </c>
      <c r="S494" s="149">
        <f t="shared" si="20"/>
        <v>4.7999999999999996E-3</v>
      </c>
      <c r="T494" s="149">
        <v>0</v>
      </c>
      <c r="U494" s="157">
        <v>4.7999999999999996E-3</v>
      </c>
      <c r="V494" s="157">
        <v>2.8820000000000001</v>
      </c>
      <c r="W494" s="157">
        <v>11.388999999999999</v>
      </c>
      <c r="X494" s="149">
        <f t="shared" si="19"/>
        <v>32.823098000000002</v>
      </c>
      <c r="Y494" s="149"/>
    </row>
    <row r="495" spans="1:25" ht="16">
      <c r="A495" s="117" t="s">
        <v>3570</v>
      </c>
      <c r="B495" s="150" t="s">
        <v>556</v>
      </c>
      <c r="C495" s="149" t="s">
        <v>1744</v>
      </c>
      <c r="D495" s="149" t="s">
        <v>3555</v>
      </c>
      <c r="E495" s="149" t="s">
        <v>463</v>
      </c>
      <c r="F495" s="149">
        <v>-25.754722220000001</v>
      </c>
      <c r="G495" s="149">
        <v>135.26305556</v>
      </c>
      <c r="H495" s="149">
        <v>202</v>
      </c>
      <c r="I495" s="151">
        <v>42815</v>
      </c>
      <c r="J495" s="149" t="s">
        <v>36</v>
      </c>
      <c r="K495" s="149" t="s">
        <v>419</v>
      </c>
      <c r="L495" s="140" t="s">
        <v>1687</v>
      </c>
      <c r="M495" s="140" t="s">
        <v>2563</v>
      </c>
      <c r="N495" s="140" t="s">
        <v>2575</v>
      </c>
      <c r="O495" s="140" t="s">
        <v>2664</v>
      </c>
      <c r="P495" s="140" t="s">
        <v>2379</v>
      </c>
      <c r="Q495" s="140" t="s">
        <v>2665</v>
      </c>
      <c r="R495" s="140" t="s">
        <v>2712</v>
      </c>
      <c r="S495" s="149">
        <f t="shared" si="20"/>
        <v>6.1100000000000002E-2</v>
      </c>
      <c r="T495" s="140">
        <v>3.8671999999999998E-2</v>
      </c>
      <c r="U495" s="157">
        <v>2.2428000000000003E-2</v>
      </c>
      <c r="V495" s="157">
        <v>4.657</v>
      </c>
      <c r="W495" s="157">
        <v>17.029</v>
      </c>
      <c r="X495" s="149">
        <f t="shared" si="19"/>
        <v>79.304052999999996</v>
      </c>
      <c r="Y495" s="149"/>
    </row>
    <row r="496" spans="1:25" ht="16">
      <c r="A496" s="117" t="s">
        <v>3570</v>
      </c>
      <c r="B496" s="150" t="s">
        <v>557</v>
      </c>
      <c r="C496" s="149" t="s">
        <v>1744</v>
      </c>
      <c r="D496" s="149" t="s">
        <v>3555</v>
      </c>
      <c r="E496" s="149" t="s">
        <v>463</v>
      </c>
      <c r="F496" s="149">
        <v>-25.754722220000001</v>
      </c>
      <c r="G496" s="149">
        <v>135.26305556</v>
      </c>
      <c r="H496" s="149">
        <v>202</v>
      </c>
      <c r="I496" s="151">
        <v>42815</v>
      </c>
      <c r="J496" s="149" t="s">
        <v>36</v>
      </c>
      <c r="K496" s="149" t="s">
        <v>419</v>
      </c>
      <c r="L496" s="149" t="s">
        <v>1687</v>
      </c>
      <c r="M496" s="149" t="s">
        <v>2563</v>
      </c>
      <c r="N496" s="149" t="s">
        <v>2568</v>
      </c>
      <c r="O496" s="149" t="s">
        <v>2734</v>
      </c>
      <c r="P496" s="149" t="s">
        <v>2782</v>
      </c>
      <c r="Q496" s="149" t="s">
        <v>2392</v>
      </c>
      <c r="R496" s="149" t="s">
        <v>2713</v>
      </c>
      <c r="S496" s="149">
        <f t="shared" si="20"/>
        <v>7.5399999999999995E-2</v>
      </c>
      <c r="T496" s="140">
        <v>3.8671999999999998E-2</v>
      </c>
      <c r="U496" s="157">
        <v>3.6727999999999997E-2</v>
      </c>
      <c r="V496" s="157">
        <v>5.5</v>
      </c>
      <c r="W496" s="157">
        <v>20.170999999999999</v>
      </c>
      <c r="X496" s="149">
        <f t="shared" ref="X496:X559" si="21">V496*W496</f>
        <v>110.9405</v>
      </c>
      <c r="Y496" s="149"/>
    </row>
    <row r="497" spans="1:25" ht="16">
      <c r="A497" s="117" t="s">
        <v>3570</v>
      </c>
      <c r="B497" s="150" t="s">
        <v>558</v>
      </c>
      <c r="C497" s="149" t="s">
        <v>1744</v>
      </c>
      <c r="D497" s="149" t="s">
        <v>3555</v>
      </c>
      <c r="E497" s="149" t="s">
        <v>463</v>
      </c>
      <c r="F497" s="149">
        <v>-25.754722220000001</v>
      </c>
      <c r="G497" s="149">
        <v>135.26305556</v>
      </c>
      <c r="H497" s="149">
        <v>202</v>
      </c>
      <c r="I497" s="151">
        <v>42815</v>
      </c>
      <c r="J497" s="149" t="s">
        <v>36</v>
      </c>
      <c r="K497" s="149" t="s">
        <v>419</v>
      </c>
      <c r="L497" s="140" t="s">
        <v>2572</v>
      </c>
      <c r="M497" s="140" t="s">
        <v>2407</v>
      </c>
      <c r="N497" s="140" t="s">
        <v>36</v>
      </c>
      <c r="O497" s="140" t="s">
        <v>2215</v>
      </c>
      <c r="P497" s="140" t="s">
        <v>2215</v>
      </c>
      <c r="Q497" s="140" t="s">
        <v>2702</v>
      </c>
      <c r="R497" s="140" t="s">
        <v>2713</v>
      </c>
      <c r="S497" s="149">
        <f t="shared" si="20"/>
        <v>1.1000000000000001E-3</v>
      </c>
      <c r="T497" s="149">
        <v>0</v>
      </c>
      <c r="U497" s="157">
        <v>1.1000000000000001E-3</v>
      </c>
      <c r="V497" s="157">
        <v>1.599</v>
      </c>
      <c r="W497" s="157">
        <v>8.1449999999999996</v>
      </c>
      <c r="X497" s="149">
        <f t="shared" si="21"/>
        <v>13.023854999999999</v>
      </c>
      <c r="Y497" s="149"/>
    </row>
    <row r="498" spans="1:25" ht="16">
      <c r="A498" s="117" t="s">
        <v>3570</v>
      </c>
      <c r="B498" s="150" t="s">
        <v>559</v>
      </c>
      <c r="C498" s="149" t="s">
        <v>1744</v>
      </c>
      <c r="D498" s="149" t="s">
        <v>3555</v>
      </c>
      <c r="E498" s="149" t="s">
        <v>463</v>
      </c>
      <c r="F498" s="149">
        <v>-25.754722220000001</v>
      </c>
      <c r="G498" s="149">
        <v>135.26305556</v>
      </c>
      <c r="H498" s="149">
        <v>202</v>
      </c>
      <c r="I498" s="151">
        <v>42815</v>
      </c>
      <c r="J498" s="149" t="s">
        <v>36</v>
      </c>
      <c r="K498" s="149" t="s">
        <v>419</v>
      </c>
      <c r="L498" s="140" t="s">
        <v>2572</v>
      </c>
      <c r="M498" s="140" t="s">
        <v>2407</v>
      </c>
      <c r="N498" s="140" t="s">
        <v>36</v>
      </c>
      <c r="O498" s="140" t="s">
        <v>2215</v>
      </c>
      <c r="P498" s="140" t="s">
        <v>2215</v>
      </c>
      <c r="Q498" s="140" t="s">
        <v>2702</v>
      </c>
      <c r="R498" s="140" t="s">
        <v>2713</v>
      </c>
      <c r="S498" s="149">
        <f t="shared" si="20"/>
        <v>8.0000000000000004E-4</v>
      </c>
      <c r="T498" s="149">
        <v>0</v>
      </c>
      <c r="U498" s="157">
        <v>8.0000000000000004E-4</v>
      </c>
      <c r="V498" s="157">
        <v>1.3540000000000001</v>
      </c>
      <c r="W498" s="157">
        <v>7.5650000000000004</v>
      </c>
      <c r="X498" s="149">
        <f t="shared" si="21"/>
        <v>10.243010000000002</v>
      </c>
      <c r="Y498" s="149"/>
    </row>
    <row r="499" spans="1:25" ht="16">
      <c r="A499" s="117" t="s">
        <v>3570</v>
      </c>
      <c r="B499" s="150" t="s">
        <v>562</v>
      </c>
      <c r="C499" s="149" t="s">
        <v>1744</v>
      </c>
      <c r="D499" s="149" t="s">
        <v>3555</v>
      </c>
      <c r="E499" s="149" t="s">
        <v>564</v>
      </c>
      <c r="F499" s="149">
        <v>-25.999166670000001</v>
      </c>
      <c r="G499" s="149">
        <v>135.33250000000001</v>
      </c>
      <c r="H499" s="149">
        <v>206</v>
      </c>
      <c r="I499" s="151">
        <v>42811</v>
      </c>
      <c r="J499" s="149" t="s">
        <v>36</v>
      </c>
      <c r="K499" s="149" t="s">
        <v>419</v>
      </c>
      <c r="L499" s="140" t="s">
        <v>2566</v>
      </c>
      <c r="M499" s="140" t="s">
        <v>2574</v>
      </c>
      <c r="N499" s="140" t="s">
        <v>3191</v>
      </c>
      <c r="O499" s="149" t="s">
        <v>2111</v>
      </c>
      <c r="P499" s="149" t="s">
        <v>2739</v>
      </c>
      <c r="Q499" s="140" t="s">
        <v>2692</v>
      </c>
      <c r="R499" s="140" t="s">
        <v>2713</v>
      </c>
      <c r="S499" s="149">
        <f t="shared" si="20"/>
        <v>5.0000000000000001E-3</v>
      </c>
      <c r="T499" s="149">
        <v>0</v>
      </c>
      <c r="U499" s="157">
        <v>5.0000000000000001E-3</v>
      </c>
      <c r="V499" s="157">
        <v>2.492</v>
      </c>
      <c r="W499" s="157">
        <v>13.173</v>
      </c>
      <c r="X499" s="149">
        <f t="shared" si="21"/>
        <v>32.827115999999997</v>
      </c>
      <c r="Y499" s="149"/>
    </row>
    <row r="500" spans="1:25" ht="16">
      <c r="A500" s="117" t="s">
        <v>3570</v>
      </c>
      <c r="B500" s="150" t="s">
        <v>565</v>
      </c>
      <c r="C500" s="149" t="s">
        <v>1744</v>
      </c>
      <c r="D500" s="149" t="s">
        <v>3555</v>
      </c>
      <c r="E500" s="149" t="s">
        <v>567</v>
      </c>
      <c r="F500" s="149">
        <v>-26.42166667</v>
      </c>
      <c r="G500" s="149">
        <v>135.50166666999999</v>
      </c>
      <c r="H500" s="149">
        <v>201</v>
      </c>
      <c r="I500" s="151">
        <v>42816</v>
      </c>
      <c r="J500" s="149" t="s">
        <v>36</v>
      </c>
      <c r="K500" s="149" t="s">
        <v>419</v>
      </c>
      <c r="L500" s="155" t="s">
        <v>2566</v>
      </c>
      <c r="M500" s="155" t="s">
        <v>2567</v>
      </c>
      <c r="N500" s="155" t="s">
        <v>2668</v>
      </c>
      <c r="O500" s="155" t="s">
        <v>2105</v>
      </c>
      <c r="P500" s="140" t="s">
        <v>2105</v>
      </c>
      <c r="Q500" s="140" t="s">
        <v>2387</v>
      </c>
      <c r="R500" s="158" t="s">
        <v>2713</v>
      </c>
      <c r="S500" s="149">
        <f t="shared" si="20"/>
        <v>5.9999999999999995E-4</v>
      </c>
      <c r="T500" s="149">
        <v>0</v>
      </c>
      <c r="U500" s="157">
        <v>5.9999999999999995E-4</v>
      </c>
      <c r="V500" s="157">
        <v>1.4970000000000001</v>
      </c>
      <c r="W500" s="157">
        <v>6.0529999999999999</v>
      </c>
      <c r="X500" s="149">
        <f t="shared" si="21"/>
        <v>9.0613410000000005</v>
      </c>
      <c r="Y500" s="149"/>
    </row>
    <row r="501" spans="1:25" ht="16">
      <c r="A501" s="117" t="s">
        <v>3570</v>
      </c>
      <c r="B501" s="150" t="s">
        <v>568</v>
      </c>
      <c r="C501" s="149" t="s">
        <v>1744</v>
      </c>
      <c r="D501" s="149" t="s">
        <v>3555</v>
      </c>
      <c r="E501" s="149" t="s">
        <v>564</v>
      </c>
      <c r="F501" s="149">
        <v>-25.999166670000001</v>
      </c>
      <c r="G501" s="149">
        <v>135.33250000000001</v>
      </c>
      <c r="H501" s="149">
        <v>206</v>
      </c>
      <c r="I501" s="151">
        <v>42811</v>
      </c>
      <c r="J501" s="149" t="s">
        <v>36</v>
      </c>
      <c r="K501" s="149" t="s">
        <v>419</v>
      </c>
      <c r="L501" s="155" t="s">
        <v>2566</v>
      </c>
      <c r="M501" s="155" t="s">
        <v>2567</v>
      </c>
      <c r="N501" s="155" t="s">
        <v>2668</v>
      </c>
      <c r="O501" s="155" t="s">
        <v>2105</v>
      </c>
      <c r="P501" s="140" t="s">
        <v>2105</v>
      </c>
      <c r="Q501" s="140" t="s">
        <v>2387</v>
      </c>
      <c r="R501" s="155" t="s">
        <v>2713</v>
      </c>
      <c r="S501" s="149">
        <f t="shared" si="20"/>
        <v>1E-3</v>
      </c>
      <c r="T501" s="149">
        <v>0</v>
      </c>
      <c r="U501" s="157">
        <v>1E-3</v>
      </c>
      <c r="V501" s="157">
        <v>1.754</v>
      </c>
      <c r="W501" s="157">
        <v>7.6639999999999997</v>
      </c>
      <c r="X501" s="149">
        <f t="shared" si="21"/>
        <v>13.442655999999999</v>
      </c>
      <c r="Y501" s="149"/>
    </row>
    <row r="502" spans="1:25" ht="16">
      <c r="A502" s="117" t="s">
        <v>3570</v>
      </c>
      <c r="B502" s="150" t="s">
        <v>570</v>
      </c>
      <c r="C502" s="149" t="s">
        <v>1744</v>
      </c>
      <c r="D502" s="149" t="s">
        <v>3555</v>
      </c>
      <c r="E502" s="149" t="s">
        <v>564</v>
      </c>
      <c r="F502" s="149">
        <v>-25.999166670000001</v>
      </c>
      <c r="G502" s="149">
        <v>135.33250000000001</v>
      </c>
      <c r="H502" s="149">
        <v>206</v>
      </c>
      <c r="I502" s="151">
        <v>42811</v>
      </c>
      <c r="J502" s="149" t="s">
        <v>36</v>
      </c>
      <c r="K502" s="149" t="s">
        <v>419</v>
      </c>
      <c r="L502" s="155" t="s">
        <v>2566</v>
      </c>
      <c r="M502" s="155" t="s">
        <v>2567</v>
      </c>
      <c r="N502" s="155" t="s">
        <v>2668</v>
      </c>
      <c r="O502" s="155" t="s">
        <v>2105</v>
      </c>
      <c r="P502" s="140" t="s">
        <v>2105</v>
      </c>
      <c r="Q502" s="140" t="s">
        <v>2387</v>
      </c>
      <c r="R502" s="155" t="s">
        <v>2713</v>
      </c>
      <c r="S502" s="149">
        <f t="shared" si="20"/>
        <v>1E-3</v>
      </c>
      <c r="T502" s="140">
        <v>0</v>
      </c>
      <c r="U502" s="157">
        <v>1E-3</v>
      </c>
      <c r="V502" s="157">
        <v>1.6539999999999999</v>
      </c>
      <c r="W502" s="157">
        <v>8.7810000000000006</v>
      </c>
      <c r="X502" s="149">
        <f t="shared" si="21"/>
        <v>14.523774</v>
      </c>
      <c r="Y502" s="149"/>
    </row>
    <row r="503" spans="1:25" ht="16">
      <c r="A503" s="117" t="s">
        <v>3570</v>
      </c>
      <c r="B503" s="150" t="s">
        <v>572</v>
      </c>
      <c r="C503" s="149" t="s">
        <v>1744</v>
      </c>
      <c r="D503" s="149" t="s">
        <v>3555</v>
      </c>
      <c r="E503" s="149" t="s">
        <v>567</v>
      </c>
      <c r="F503" s="149">
        <v>-26.42166667</v>
      </c>
      <c r="G503" s="149">
        <v>135.50166666999999</v>
      </c>
      <c r="H503" s="149">
        <v>201</v>
      </c>
      <c r="I503" s="151">
        <v>42816</v>
      </c>
      <c r="J503" s="149" t="s">
        <v>36</v>
      </c>
      <c r="K503" s="149" t="s">
        <v>419</v>
      </c>
      <c r="L503" s="140" t="s">
        <v>2566</v>
      </c>
      <c r="M503" s="140" t="s">
        <v>2574</v>
      </c>
      <c r="N503" s="140" t="s">
        <v>3191</v>
      </c>
      <c r="O503" s="149" t="s">
        <v>2111</v>
      </c>
      <c r="P503" s="149" t="s">
        <v>2739</v>
      </c>
      <c r="Q503" s="140" t="s">
        <v>2692</v>
      </c>
      <c r="R503" s="140" t="s">
        <v>2713</v>
      </c>
      <c r="S503" s="149">
        <f t="shared" si="20"/>
        <v>3.3999999999999998E-3</v>
      </c>
      <c r="T503" s="140">
        <v>0</v>
      </c>
      <c r="U503" s="157">
        <v>3.3999999999999998E-3</v>
      </c>
      <c r="V503" s="157">
        <v>2.4369999999999998</v>
      </c>
      <c r="W503" s="157">
        <v>11.183999999999999</v>
      </c>
      <c r="X503" s="149">
        <f t="shared" si="21"/>
        <v>27.255407999999996</v>
      </c>
      <c r="Y503" s="149"/>
    </row>
    <row r="504" spans="1:25" ht="16">
      <c r="A504" s="117" t="s">
        <v>3570</v>
      </c>
      <c r="B504" s="150" t="s">
        <v>574</v>
      </c>
      <c r="C504" s="149" t="s">
        <v>1744</v>
      </c>
      <c r="D504" s="149" t="s">
        <v>3555</v>
      </c>
      <c r="E504" s="149" t="s">
        <v>567</v>
      </c>
      <c r="F504" s="149">
        <v>-26.42166667</v>
      </c>
      <c r="G504" s="149">
        <v>135.50166666999999</v>
      </c>
      <c r="H504" s="149">
        <v>201</v>
      </c>
      <c r="I504" s="151">
        <v>42816</v>
      </c>
      <c r="J504" s="149" t="s">
        <v>36</v>
      </c>
      <c r="K504" s="149" t="s">
        <v>419</v>
      </c>
      <c r="L504" s="140" t="s">
        <v>2566</v>
      </c>
      <c r="M504" s="140" t="s">
        <v>2574</v>
      </c>
      <c r="N504" s="140" t="s">
        <v>3191</v>
      </c>
      <c r="O504" s="149" t="s">
        <v>2111</v>
      </c>
      <c r="P504" s="149" t="s">
        <v>2739</v>
      </c>
      <c r="Q504" s="140" t="s">
        <v>2692</v>
      </c>
      <c r="R504" s="140" t="s">
        <v>2713</v>
      </c>
      <c r="S504" s="149">
        <f t="shared" si="20"/>
        <v>2.0999999999999999E-3</v>
      </c>
      <c r="T504" s="140">
        <v>0</v>
      </c>
      <c r="U504" s="157">
        <v>2.0999999999999999E-3</v>
      </c>
      <c r="V504" s="157">
        <v>1.7589999999999999</v>
      </c>
      <c r="W504" s="157">
        <v>11.103999999999999</v>
      </c>
      <c r="X504" s="149">
        <f t="shared" si="21"/>
        <v>19.531935999999998</v>
      </c>
      <c r="Y504" s="149"/>
    </row>
    <row r="505" spans="1:25" ht="16">
      <c r="A505" s="117" t="s">
        <v>3570</v>
      </c>
      <c r="B505" s="150" t="s">
        <v>575</v>
      </c>
      <c r="C505" s="149" t="s">
        <v>1744</v>
      </c>
      <c r="D505" s="149" t="s">
        <v>3555</v>
      </c>
      <c r="E505" s="149" t="s">
        <v>567</v>
      </c>
      <c r="F505" s="149">
        <v>-26.42166667</v>
      </c>
      <c r="G505" s="149">
        <v>135.50166666999999</v>
      </c>
      <c r="H505" s="149">
        <v>201</v>
      </c>
      <c r="I505" s="151">
        <v>42816</v>
      </c>
      <c r="J505" s="149" t="s">
        <v>36</v>
      </c>
      <c r="K505" s="149" t="s">
        <v>419</v>
      </c>
      <c r="L505" s="155" t="s">
        <v>2566</v>
      </c>
      <c r="M505" s="155" t="s">
        <v>2567</v>
      </c>
      <c r="N505" s="155" t="s">
        <v>2668</v>
      </c>
      <c r="O505" s="140" t="s">
        <v>2600</v>
      </c>
      <c r="P505" s="149" t="s">
        <v>2735</v>
      </c>
      <c r="Q505" s="140" t="s">
        <v>2709</v>
      </c>
      <c r="R505" s="158" t="s">
        <v>2713</v>
      </c>
      <c r="S505" s="149">
        <f t="shared" si="20"/>
        <v>1.1999999999999999E-3</v>
      </c>
      <c r="T505" s="149">
        <v>0</v>
      </c>
      <c r="U505" s="157">
        <v>1.1999999999999999E-3</v>
      </c>
      <c r="V505" s="157">
        <v>1.504</v>
      </c>
      <c r="W505" s="157">
        <v>7.6929999999999996</v>
      </c>
      <c r="X505" s="149">
        <f t="shared" si="21"/>
        <v>11.570271999999999</v>
      </c>
      <c r="Y505" s="149"/>
    </row>
    <row r="506" spans="1:25" ht="16">
      <c r="A506" s="117" t="s">
        <v>3570</v>
      </c>
      <c r="B506" s="150" t="s">
        <v>576</v>
      </c>
      <c r="C506" s="149" t="s">
        <v>1744</v>
      </c>
      <c r="D506" s="149" t="s">
        <v>3555</v>
      </c>
      <c r="E506" s="149" t="s">
        <v>567</v>
      </c>
      <c r="F506" s="149">
        <v>-26.42166667</v>
      </c>
      <c r="G506" s="149">
        <v>135.50166666999999</v>
      </c>
      <c r="H506" s="149">
        <v>201</v>
      </c>
      <c r="I506" s="151">
        <v>42816</v>
      </c>
      <c r="J506" s="149" t="s">
        <v>36</v>
      </c>
      <c r="K506" s="149" t="s">
        <v>419</v>
      </c>
      <c r="L506" s="155" t="s">
        <v>2566</v>
      </c>
      <c r="M506" s="155" t="s">
        <v>2567</v>
      </c>
      <c r="N506" s="155" t="s">
        <v>2668</v>
      </c>
      <c r="O506" s="140" t="s">
        <v>2600</v>
      </c>
      <c r="P506" s="149" t="s">
        <v>2735</v>
      </c>
      <c r="Q506" s="140" t="s">
        <v>2709</v>
      </c>
      <c r="R506" s="155" t="s">
        <v>2713</v>
      </c>
      <c r="S506" s="149">
        <f t="shared" si="20"/>
        <v>3.3E-3</v>
      </c>
      <c r="T506" s="149">
        <v>0</v>
      </c>
      <c r="U506" s="157">
        <v>3.3E-3</v>
      </c>
      <c r="V506" s="157">
        <v>1.6879999999999999</v>
      </c>
      <c r="W506" s="157">
        <v>7.9260000000000002</v>
      </c>
      <c r="X506" s="149">
        <f t="shared" si="21"/>
        <v>13.379087999999999</v>
      </c>
      <c r="Y506" s="149"/>
    </row>
    <row r="507" spans="1:25" ht="16">
      <c r="A507" s="117" t="s">
        <v>3570</v>
      </c>
      <c r="B507" s="150" t="s">
        <v>437</v>
      </c>
      <c r="C507" s="149" t="s">
        <v>1744</v>
      </c>
      <c r="D507" s="149" t="s">
        <v>3555</v>
      </c>
      <c r="E507" s="149" t="s">
        <v>418</v>
      </c>
      <c r="F507" s="149">
        <v>-26.284722200000001</v>
      </c>
      <c r="G507" s="149">
        <v>136.09805556000001</v>
      </c>
      <c r="H507" s="149">
        <v>201</v>
      </c>
      <c r="I507" s="151">
        <v>42816</v>
      </c>
      <c r="J507" s="149" t="s">
        <v>36</v>
      </c>
      <c r="K507" s="149" t="s">
        <v>419</v>
      </c>
      <c r="L507" s="140" t="s">
        <v>1687</v>
      </c>
      <c r="M507" s="140" t="s">
        <v>2563</v>
      </c>
      <c r="N507" s="140" t="s">
        <v>2575</v>
      </c>
      <c r="O507" s="140" t="s">
        <v>2664</v>
      </c>
      <c r="P507" s="140" t="s">
        <v>2379</v>
      </c>
      <c r="Q507" s="140" t="s">
        <v>2665</v>
      </c>
      <c r="R507" s="140" t="s">
        <v>2713</v>
      </c>
      <c r="S507" s="149">
        <f t="shared" si="20"/>
        <v>6.0499999999999998E-2</v>
      </c>
      <c r="T507" s="140">
        <v>3.8671999999999998E-2</v>
      </c>
      <c r="U507" s="157">
        <v>2.1828E-2</v>
      </c>
      <c r="V507" s="157">
        <v>3.919</v>
      </c>
      <c r="W507" s="157">
        <v>19.812999999999999</v>
      </c>
      <c r="X507" s="149">
        <f t="shared" si="21"/>
        <v>77.64714699999999</v>
      </c>
      <c r="Y507" s="149"/>
    </row>
    <row r="508" spans="1:25" ht="16">
      <c r="A508" s="117" t="s">
        <v>3570</v>
      </c>
      <c r="B508" s="150" t="s">
        <v>577</v>
      </c>
      <c r="C508" s="149" t="s">
        <v>1744</v>
      </c>
      <c r="D508" s="149" t="s">
        <v>3555</v>
      </c>
      <c r="E508" s="149" t="s">
        <v>567</v>
      </c>
      <c r="F508" s="149">
        <v>-26.42166667</v>
      </c>
      <c r="G508" s="149">
        <v>135.50166666999999</v>
      </c>
      <c r="H508" s="149">
        <v>201</v>
      </c>
      <c r="I508" s="151">
        <v>42816</v>
      </c>
      <c r="J508" s="149" t="s">
        <v>36</v>
      </c>
      <c r="K508" s="149" t="s">
        <v>419</v>
      </c>
      <c r="L508" s="155" t="s">
        <v>2566</v>
      </c>
      <c r="M508" s="155" t="s">
        <v>2567</v>
      </c>
      <c r="N508" s="155" t="s">
        <v>2668</v>
      </c>
      <c r="O508" s="140" t="s">
        <v>2600</v>
      </c>
      <c r="P508" s="149" t="s">
        <v>2735</v>
      </c>
      <c r="Q508" s="140" t="s">
        <v>2709</v>
      </c>
      <c r="R508" s="155" t="s">
        <v>2713</v>
      </c>
      <c r="S508" s="149">
        <f t="shared" si="20"/>
        <v>1E-3</v>
      </c>
      <c r="T508" s="140">
        <v>0</v>
      </c>
      <c r="U508" s="157">
        <v>1E-3</v>
      </c>
      <c r="V508" s="157">
        <v>1.5669999999999999</v>
      </c>
      <c r="W508" s="157">
        <v>7.2039999999999997</v>
      </c>
      <c r="X508" s="149">
        <f t="shared" si="21"/>
        <v>11.288667999999999</v>
      </c>
      <c r="Y508" s="149"/>
    </row>
    <row r="509" spans="1:25" ht="16">
      <c r="A509" s="117" t="s">
        <v>3570</v>
      </c>
      <c r="B509" s="150" t="s">
        <v>578</v>
      </c>
      <c r="C509" s="149" t="s">
        <v>1744</v>
      </c>
      <c r="D509" s="149" t="s">
        <v>3555</v>
      </c>
      <c r="E509" s="149" t="s">
        <v>567</v>
      </c>
      <c r="F509" s="149">
        <v>-26.42166667</v>
      </c>
      <c r="G509" s="149">
        <v>135.50166666999999</v>
      </c>
      <c r="H509" s="149">
        <v>201</v>
      </c>
      <c r="I509" s="151">
        <v>42816</v>
      </c>
      <c r="J509" s="149" t="s">
        <v>36</v>
      </c>
      <c r="K509" s="149" t="s">
        <v>419</v>
      </c>
      <c r="L509" s="155" t="s">
        <v>2566</v>
      </c>
      <c r="M509" s="155" t="s">
        <v>2567</v>
      </c>
      <c r="N509" s="155" t="s">
        <v>2668</v>
      </c>
      <c r="O509" s="140" t="s">
        <v>2600</v>
      </c>
      <c r="P509" s="149" t="s">
        <v>2735</v>
      </c>
      <c r="Q509" s="140" t="s">
        <v>2709</v>
      </c>
      <c r="R509" s="158" t="s">
        <v>2713</v>
      </c>
      <c r="S509" s="149">
        <f t="shared" si="20"/>
        <v>1.1000000000000001E-3</v>
      </c>
      <c r="T509" s="140">
        <v>0</v>
      </c>
      <c r="U509" s="157">
        <v>1.1000000000000001E-3</v>
      </c>
      <c r="V509" s="157">
        <v>1.571</v>
      </c>
      <c r="W509" s="157">
        <v>7.6719999999999997</v>
      </c>
      <c r="X509" s="149">
        <f t="shared" si="21"/>
        <v>12.052712</v>
      </c>
      <c r="Y509" s="149"/>
    </row>
    <row r="510" spans="1:25" ht="16">
      <c r="A510" s="117" t="s">
        <v>3570</v>
      </c>
      <c r="B510" s="150" t="s">
        <v>579</v>
      </c>
      <c r="C510" s="149" t="s">
        <v>1744</v>
      </c>
      <c r="D510" s="149" t="s">
        <v>3555</v>
      </c>
      <c r="E510" s="149" t="s">
        <v>567</v>
      </c>
      <c r="F510" s="149">
        <v>-26.42166667</v>
      </c>
      <c r="G510" s="149">
        <v>135.50166666999999</v>
      </c>
      <c r="H510" s="149">
        <v>201</v>
      </c>
      <c r="I510" s="151">
        <v>42816</v>
      </c>
      <c r="J510" s="149" t="s">
        <v>36</v>
      </c>
      <c r="K510" s="149" t="s">
        <v>419</v>
      </c>
      <c r="L510" s="140" t="s">
        <v>2566</v>
      </c>
      <c r="M510" s="140" t="s">
        <v>2567</v>
      </c>
      <c r="N510" s="140" t="s">
        <v>2668</v>
      </c>
      <c r="O510" s="140" t="s">
        <v>2600</v>
      </c>
      <c r="P510" s="149" t="s">
        <v>2735</v>
      </c>
      <c r="Q510" s="140" t="s">
        <v>2709</v>
      </c>
      <c r="R510" s="140" t="s">
        <v>2713</v>
      </c>
      <c r="S510" s="149">
        <f t="shared" si="20"/>
        <v>8.0000000000000004E-4</v>
      </c>
      <c r="T510" s="149">
        <v>0</v>
      </c>
      <c r="U510" s="157">
        <v>8.0000000000000004E-4</v>
      </c>
      <c r="V510" s="157">
        <v>1.631</v>
      </c>
      <c r="W510" s="157">
        <v>7.7149999999999999</v>
      </c>
      <c r="X510" s="149">
        <f t="shared" si="21"/>
        <v>12.583164999999999</v>
      </c>
      <c r="Y510" s="149"/>
    </row>
    <row r="511" spans="1:25" ht="16">
      <c r="A511" s="117" t="s">
        <v>3570</v>
      </c>
      <c r="B511" s="150" t="s">
        <v>581</v>
      </c>
      <c r="C511" s="149" t="s">
        <v>1744</v>
      </c>
      <c r="D511" s="149" t="s">
        <v>3555</v>
      </c>
      <c r="E511" s="149" t="s">
        <v>567</v>
      </c>
      <c r="F511" s="149">
        <v>-26.42166667</v>
      </c>
      <c r="G511" s="149">
        <v>135.50166666999999</v>
      </c>
      <c r="H511" s="149">
        <v>201</v>
      </c>
      <c r="I511" s="151">
        <v>42816</v>
      </c>
      <c r="J511" s="149" t="s">
        <v>36</v>
      </c>
      <c r="K511" s="149" t="s">
        <v>419</v>
      </c>
      <c r="L511" s="155" t="s">
        <v>2566</v>
      </c>
      <c r="M511" s="155" t="s">
        <v>2567</v>
      </c>
      <c r="N511" s="155" t="s">
        <v>2668</v>
      </c>
      <c r="O511" s="140" t="s">
        <v>2600</v>
      </c>
      <c r="P511" s="149" t="s">
        <v>2735</v>
      </c>
      <c r="Q511" s="140" t="s">
        <v>2709</v>
      </c>
      <c r="R511" s="155" t="s">
        <v>2713</v>
      </c>
      <c r="S511" s="149">
        <f t="shared" si="20"/>
        <v>1.6999999999999999E-3</v>
      </c>
      <c r="T511" s="149">
        <v>0</v>
      </c>
      <c r="U511" s="157">
        <v>1.6999999999999999E-3</v>
      </c>
      <c r="V511" s="157">
        <v>1.524</v>
      </c>
      <c r="W511" s="157">
        <v>6.7249999999999996</v>
      </c>
      <c r="X511" s="149">
        <f t="shared" si="21"/>
        <v>10.248899999999999</v>
      </c>
      <c r="Y511" s="149"/>
    </row>
    <row r="512" spans="1:25" ht="16">
      <c r="A512" s="117" t="s">
        <v>3570</v>
      </c>
      <c r="B512" s="150" t="s">
        <v>582</v>
      </c>
      <c r="C512" s="149" t="s">
        <v>1744</v>
      </c>
      <c r="D512" s="149" t="s">
        <v>3555</v>
      </c>
      <c r="E512" s="149" t="s">
        <v>567</v>
      </c>
      <c r="F512" s="149">
        <v>-26.42166667</v>
      </c>
      <c r="G512" s="149">
        <v>135.50166666999999</v>
      </c>
      <c r="H512" s="149">
        <v>201</v>
      </c>
      <c r="I512" s="151">
        <v>42816</v>
      </c>
      <c r="J512" s="149" t="s">
        <v>36</v>
      </c>
      <c r="K512" s="149" t="s">
        <v>419</v>
      </c>
      <c r="L512" s="155" t="s">
        <v>2566</v>
      </c>
      <c r="M512" s="155" t="s">
        <v>2567</v>
      </c>
      <c r="N512" s="155" t="s">
        <v>2668</v>
      </c>
      <c r="O512" s="140" t="s">
        <v>2600</v>
      </c>
      <c r="P512" s="149" t="s">
        <v>2735</v>
      </c>
      <c r="Q512" s="140" t="s">
        <v>2709</v>
      </c>
      <c r="R512" s="158" t="s">
        <v>2713</v>
      </c>
      <c r="S512" s="149">
        <f t="shared" si="20"/>
        <v>4.0000000000000002E-4</v>
      </c>
      <c r="T512" s="140">
        <v>0</v>
      </c>
      <c r="U512" s="157">
        <v>4.0000000000000002E-4</v>
      </c>
      <c r="V512" s="157">
        <v>1.546</v>
      </c>
      <c r="W512" s="157">
        <v>7.1</v>
      </c>
      <c r="X512" s="149">
        <f t="shared" si="21"/>
        <v>10.976599999999999</v>
      </c>
      <c r="Y512" s="149"/>
    </row>
    <row r="513" spans="1:25" ht="16">
      <c r="A513" s="117" t="s">
        <v>3570</v>
      </c>
      <c r="B513" s="150" t="s">
        <v>583</v>
      </c>
      <c r="C513" s="149" t="s">
        <v>1744</v>
      </c>
      <c r="D513" s="149" t="s">
        <v>3555</v>
      </c>
      <c r="E513" s="149" t="s">
        <v>567</v>
      </c>
      <c r="F513" s="149">
        <v>-26.42166667</v>
      </c>
      <c r="G513" s="149">
        <v>135.50166666999999</v>
      </c>
      <c r="H513" s="149">
        <v>201</v>
      </c>
      <c r="I513" s="151">
        <v>42816</v>
      </c>
      <c r="J513" s="149" t="s">
        <v>36</v>
      </c>
      <c r="K513" s="149" t="s">
        <v>419</v>
      </c>
      <c r="L513" s="155" t="s">
        <v>2566</v>
      </c>
      <c r="M513" s="155" t="s">
        <v>2567</v>
      </c>
      <c r="N513" s="155" t="s">
        <v>2668</v>
      </c>
      <c r="O513" s="140" t="s">
        <v>2600</v>
      </c>
      <c r="P513" s="149" t="s">
        <v>2735</v>
      </c>
      <c r="Q513" s="140" t="s">
        <v>2709</v>
      </c>
      <c r="R513" s="155" t="s">
        <v>2713</v>
      </c>
      <c r="S513" s="149">
        <f t="shared" si="20"/>
        <v>1E-3</v>
      </c>
      <c r="T513" s="149">
        <v>0</v>
      </c>
      <c r="U513" s="157">
        <v>1E-3</v>
      </c>
      <c r="V513" s="157">
        <v>1.552</v>
      </c>
      <c r="W513" s="157">
        <v>7.4850000000000003</v>
      </c>
      <c r="X513" s="149">
        <f t="shared" si="21"/>
        <v>11.616720000000001</v>
      </c>
      <c r="Y513" s="149"/>
    </row>
    <row r="514" spans="1:25" ht="16">
      <c r="A514" s="117" t="s">
        <v>3570</v>
      </c>
      <c r="B514" s="150" t="s">
        <v>584</v>
      </c>
      <c r="C514" s="149" t="s">
        <v>1744</v>
      </c>
      <c r="D514" s="149" t="s">
        <v>3555</v>
      </c>
      <c r="E514" s="149" t="s">
        <v>567</v>
      </c>
      <c r="F514" s="149">
        <v>-26.42166667</v>
      </c>
      <c r="G514" s="149">
        <v>135.50166666999999</v>
      </c>
      <c r="H514" s="149">
        <v>201</v>
      </c>
      <c r="I514" s="151">
        <v>42816</v>
      </c>
      <c r="J514" s="149" t="s">
        <v>36</v>
      </c>
      <c r="K514" s="149" t="s">
        <v>419</v>
      </c>
      <c r="L514" s="155" t="s">
        <v>2566</v>
      </c>
      <c r="M514" s="155" t="s">
        <v>2567</v>
      </c>
      <c r="N514" s="155" t="s">
        <v>2668</v>
      </c>
      <c r="O514" s="140" t="s">
        <v>2600</v>
      </c>
      <c r="P514" s="149" t="s">
        <v>2735</v>
      </c>
      <c r="Q514" s="140" t="s">
        <v>2709</v>
      </c>
      <c r="R514" s="155" t="s">
        <v>2713</v>
      </c>
      <c r="S514" s="149">
        <f t="shared" si="20"/>
        <v>8.0000000000000004E-4</v>
      </c>
      <c r="T514" s="149">
        <v>0</v>
      </c>
      <c r="U514" s="157">
        <v>8.0000000000000004E-4</v>
      </c>
      <c r="V514" s="157">
        <v>1.6180000000000001</v>
      </c>
      <c r="W514" s="157">
        <v>7.0650000000000004</v>
      </c>
      <c r="X514" s="149">
        <f t="shared" si="21"/>
        <v>11.431170000000002</v>
      </c>
      <c r="Y514" s="149"/>
    </row>
    <row r="515" spans="1:25" ht="16">
      <c r="A515" s="117" t="s">
        <v>3570</v>
      </c>
      <c r="B515" s="150" t="s">
        <v>585</v>
      </c>
      <c r="C515" s="149" t="s">
        <v>1744</v>
      </c>
      <c r="D515" s="149" t="s">
        <v>3555</v>
      </c>
      <c r="E515" s="149" t="s">
        <v>567</v>
      </c>
      <c r="F515" s="149">
        <v>-26.42166667</v>
      </c>
      <c r="G515" s="149">
        <v>135.50166666999999</v>
      </c>
      <c r="H515" s="149">
        <v>201</v>
      </c>
      <c r="I515" s="151">
        <v>42816</v>
      </c>
      <c r="J515" s="149" t="s">
        <v>36</v>
      </c>
      <c r="K515" s="149" t="s">
        <v>419</v>
      </c>
      <c r="L515" s="155" t="s">
        <v>2566</v>
      </c>
      <c r="M515" s="155" t="s">
        <v>2567</v>
      </c>
      <c r="N515" s="155" t="s">
        <v>2668</v>
      </c>
      <c r="O515" s="155" t="s">
        <v>2105</v>
      </c>
      <c r="P515" s="140" t="s">
        <v>2105</v>
      </c>
      <c r="Q515" s="140" t="s">
        <v>2387</v>
      </c>
      <c r="R515" s="155" t="s">
        <v>2713</v>
      </c>
      <c r="S515" s="149">
        <f t="shared" si="20"/>
        <v>2.9999999999999997E-4</v>
      </c>
      <c r="T515" s="149">
        <v>0</v>
      </c>
      <c r="U515" s="157">
        <v>2.9999999999999997E-4</v>
      </c>
      <c r="V515" s="157">
        <v>1.58</v>
      </c>
      <c r="W515" s="157">
        <v>5.7469999999999999</v>
      </c>
      <c r="X515" s="149">
        <f t="shared" si="21"/>
        <v>9.0802600000000009</v>
      </c>
      <c r="Y515" s="149"/>
    </row>
    <row r="516" spans="1:25" ht="16">
      <c r="A516" s="117" t="s">
        <v>3570</v>
      </c>
      <c r="B516" s="150" t="s">
        <v>586</v>
      </c>
      <c r="C516" s="149" t="s">
        <v>1744</v>
      </c>
      <c r="D516" s="149" t="s">
        <v>3555</v>
      </c>
      <c r="E516" s="149" t="s">
        <v>567</v>
      </c>
      <c r="F516" s="149">
        <v>-26.42166667</v>
      </c>
      <c r="G516" s="149">
        <v>135.50166666999999</v>
      </c>
      <c r="H516" s="149">
        <v>201</v>
      </c>
      <c r="I516" s="151">
        <v>42816</v>
      </c>
      <c r="J516" s="149" t="s">
        <v>36</v>
      </c>
      <c r="K516" s="149" t="s">
        <v>419</v>
      </c>
      <c r="L516" s="155" t="s">
        <v>2566</v>
      </c>
      <c r="M516" s="155" t="s">
        <v>2567</v>
      </c>
      <c r="N516" s="155" t="s">
        <v>2668</v>
      </c>
      <c r="O516" s="155" t="s">
        <v>2105</v>
      </c>
      <c r="P516" s="140" t="s">
        <v>2105</v>
      </c>
      <c r="Q516" s="140" t="s">
        <v>2387</v>
      </c>
      <c r="R516" s="155" t="s">
        <v>2713</v>
      </c>
      <c r="S516" s="149">
        <f t="shared" si="20"/>
        <v>5.9999999999999995E-4</v>
      </c>
      <c r="T516" s="149">
        <v>0</v>
      </c>
      <c r="U516" s="157">
        <v>5.9999999999999995E-4</v>
      </c>
      <c r="V516" s="157">
        <v>1.4570000000000001</v>
      </c>
      <c r="W516" s="157">
        <v>7.1829999999999998</v>
      </c>
      <c r="X516" s="149">
        <f t="shared" si="21"/>
        <v>10.465631</v>
      </c>
      <c r="Y516" s="149"/>
    </row>
    <row r="517" spans="1:25" ht="16">
      <c r="A517" s="117" t="s">
        <v>3570</v>
      </c>
      <c r="B517" s="150" t="s">
        <v>438</v>
      </c>
      <c r="C517" s="149" t="s">
        <v>1744</v>
      </c>
      <c r="D517" s="149" t="s">
        <v>3555</v>
      </c>
      <c r="E517" s="149" t="s">
        <v>418</v>
      </c>
      <c r="F517" s="149">
        <v>-26.284722200000001</v>
      </c>
      <c r="G517" s="149">
        <v>136.09805556000001</v>
      </c>
      <c r="H517" s="149">
        <v>201</v>
      </c>
      <c r="I517" s="151">
        <v>42816</v>
      </c>
      <c r="J517" s="149" t="s">
        <v>36</v>
      </c>
      <c r="K517" s="149" t="s">
        <v>419</v>
      </c>
      <c r="L517" s="140" t="s">
        <v>2566</v>
      </c>
      <c r="M517" s="140" t="s">
        <v>2567</v>
      </c>
      <c r="N517" s="140" t="s">
        <v>2668</v>
      </c>
      <c r="O517" s="140" t="s">
        <v>2105</v>
      </c>
      <c r="P517" s="140" t="s">
        <v>2105</v>
      </c>
      <c r="Q517" s="140" t="s">
        <v>2387</v>
      </c>
      <c r="R517" s="140" t="s">
        <v>2713</v>
      </c>
      <c r="S517" s="149">
        <f t="shared" si="20"/>
        <v>1.1000000000000001E-3</v>
      </c>
      <c r="T517" s="149">
        <v>0</v>
      </c>
      <c r="U517" s="157">
        <v>1.1000000000000001E-3</v>
      </c>
      <c r="V517" s="157">
        <v>1.5469999999999999</v>
      </c>
      <c r="W517" s="157">
        <v>6.6760000000000002</v>
      </c>
      <c r="X517" s="149">
        <f t="shared" si="21"/>
        <v>10.327772</v>
      </c>
      <c r="Y517" s="149"/>
    </row>
    <row r="518" spans="1:25" ht="16">
      <c r="A518" s="117" t="s">
        <v>3570</v>
      </c>
      <c r="B518" s="150" t="s">
        <v>587</v>
      </c>
      <c r="C518" s="149" t="s">
        <v>1744</v>
      </c>
      <c r="D518" s="149" t="s">
        <v>3555</v>
      </c>
      <c r="E518" s="149" t="s">
        <v>567</v>
      </c>
      <c r="F518" s="149">
        <v>-26.42166667</v>
      </c>
      <c r="G518" s="149">
        <v>135.50166666999999</v>
      </c>
      <c r="H518" s="149">
        <v>201</v>
      </c>
      <c r="I518" s="151">
        <v>42816</v>
      </c>
      <c r="J518" s="149" t="s">
        <v>36</v>
      </c>
      <c r="K518" s="149" t="s">
        <v>419</v>
      </c>
      <c r="L518" s="155" t="s">
        <v>2566</v>
      </c>
      <c r="M518" s="155" t="s">
        <v>2567</v>
      </c>
      <c r="N518" s="155" t="s">
        <v>2668</v>
      </c>
      <c r="O518" s="140" t="s">
        <v>2600</v>
      </c>
      <c r="P518" s="149" t="s">
        <v>2735</v>
      </c>
      <c r="Q518" s="140" t="s">
        <v>2709</v>
      </c>
      <c r="R518" s="155" t="s">
        <v>2713</v>
      </c>
      <c r="S518" s="149">
        <f t="shared" si="20"/>
        <v>8.9999999999999998E-4</v>
      </c>
      <c r="T518" s="149">
        <v>0</v>
      </c>
      <c r="U518" s="157">
        <v>8.9999999999999998E-4</v>
      </c>
      <c r="V518" s="157">
        <v>1.5109999999999999</v>
      </c>
      <c r="W518" s="157">
        <v>7.0780000000000003</v>
      </c>
      <c r="X518" s="149">
        <f t="shared" si="21"/>
        <v>10.694858</v>
      </c>
      <c r="Y518" s="149"/>
    </row>
    <row r="519" spans="1:25" ht="16">
      <c r="A519" s="117" t="s">
        <v>3570</v>
      </c>
      <c r="B519" s="150" t="s">
        <v>588</v>
      </c>
      <c r="C519" s="149" t="s">
        <v>1744</v>
      </c>
      <c r="D519" s="149" t="s">
        <v>3555</v>
      </c>
      <c r="E519" s="149" t="s">
        <v>567</v>
      </c>
      <c r="F519" s="149">
        <v>-26.42166667</v>
      </c>
      <c r="G519" s="149">
        <v>135.50166666999999</v>
      </c>
      <c r="H519" s="149">
        <v>201</v>
      </c>
      <c r="I519" s="151">
        <v>42816</v>
      </c>
      <c r="J519" s="149" t="s">
        <v>36</v>
      </c>
      <c r="K519" s="149" t="s">
        <v>419</v>
      </c>
      <c r="L519" s="155" t="s">
        <v>2566</v>
      </c>
      <c r="M519" s="155" t="s">
        <v>2567</v>
      </c>
      <c r="N519" s="155" t="s">
        <v>2668</v>
      </c>
      <c r="O519" s="140" t="s">
        <v>2600</v>
      </c>
      <c r="P519" s="149" t="s">
        <v>2735</v>
      </c>
      <c r="Q519" s="140" t="s">
        <v>2709</v>
      </c>
      <c r="R519" s="155" t="s">
        <v>2713</v>
      </c>
      <c r="S519" s="149">
        <f t="shared" si="20"/>
        <v>6.9999999999999999E-4</v>
      </c>
      <c r="T519" s="149">
        <v>0</v>
      </c>
      <c r="U519" s="157">
        <v>6.9999999999999999E-4</v>
      </c>
      <c r="V519" s="157">
        <v>1.5509999999999999</v>
      </c>
      <c r="W519" s="157">
        <v>6.8769999999999998</v>
      </c>
      <c r="X519" s="149">
        <f t="shared" si="21"/>
        <v>10.666226999999999</v>
      </c>
      <c r="Y519" s="149"/>
    </row>
    <row r="520" spans="1:25" ht="16">
      <c r="A520" s="117" t="s">
        <v>3570</v>
      </c>
      <c r="B520" s="150" t="s">
        <v>589</v>
      </c>
      <c r="C520" s="149" t="s">
        <v>1744</v>
      </c>
      <c r="D520" s="149" t="s">
        <v>3555</v>
      </c>
      <c r="E520" s="149" t="s">
        <v>567</v>
      </c>
      <c r="F520" s="149">
        <v>-26.42166667</v>
      </c>
      <c r="G520" s="149">
        <v>135.50166666999999</v>
      </c>
      <c r="H520" s="149">
        <v>201</v>
      </c>
      <c r="I520" s="151">
        <v>42816</v>
      </c>
      <c r="J520" s="149" t="s">
        <v>36</v>
      </c>
      <c r="K520" s="149" t="s">
        <v>419</v>
      </c>
      <c r="L520" s="155" t="s">
        <v>2566</v>
      </c>
      <c r="M520" s="155" t="s">
        <v>2567</v>
      </c>
      <c r="N520" s="155" t="s">
        <v>2668</v>
      </c>
      <c r="O520" s="155" t="s">
        <v>2105</v>
      </c>
      <c r="P520" s="140" t="s">
        <v>2105</v>
      </c>
      <c r="Q520" s="140" t="s">
        <v>2387</v>
      </c>
      <c r="R520" s="155" t="s">
        <v>2713</v>
      </c>
      <c r="S520" s="149">
        <f t="shared" si="20"/>
        <v>2.9999999999999997E-4</v>
      </c>
      <c r="T520" s="149">
        <v>0</v>
      </c>
      <c r="U520" s="157">
        <v>2.9999999999999997E-4</v>
      </c>
      <c r="V520" s="157">
        <v>1.413</v>
      </c>
      <c r="W520" s="157">
        <v>6.4249999999999998</v>
      </c>
      <c r="X520" s="149">
        <f t="shared" si="21"/>
        <v>9.0785250000000008</v>
      </c>
      <c r="Y520" s="149"/>
    </row>
    <row r="521" spans="1:25" ht="16">
      <c r="A521" s="117" t="s">
        <v>3570</v>
      </c>
      <c r="B521" s="150" t="s">
        <v>590</v>
      </c>
      <c r="C521" s="149" t="s">
        <v>1744</v>
      </c>
      <c r="D521" s="149" t="s">
        <v>3555</v>
      </c>
      <c r="E521" s="149" t="s">
        <v>567</v>
      </c>
      <c r="F521" s="149">
        <v>-26.42166667</v>
      </c>
      <c r="G521" s="149">
        <v>135.50166666999999</v>
      </c>
      <c r="H521" s="149">
        <v>201</v>
      </c>
      <c r="I521" s="151">
        <v>42816</v>
      </c>
      <c r="J521" s="149" t="s">
        <v>36</v>
      </c>
      <c r="K521" s="149" t="s">
        <v>419</v>
      </c>
      <c r="L521" s="158" t="s">
        <v>2572</v>
      </c>
      <c r="M521" s="158" t="s">
        <v>2573</v>
      </c>
      <c r="N521" s="140" t="s">
        <v>36</v>
      </c>
      <c r="O521" s="158" t="s">
        <v>2606</v>
      </c>
      <c r="P521" s="158" t="s">
        <v>2784</v>
      </c>
      <c r="Q521" s="158" t="s">
        <v>2672</v>
      </c>
      <c r="R521" s="155" t="s">
        <v>2712</v>
      </c>
      <c r="S521" s="149">
        <f t="shared" si="20"/>
        <v>6.9999999999999999E-4</v>
      </c>
      <c r="T521" s="149">
        <v>0</v>
      </c>
      <c r="U521" s="157">
        <v>6.9999999999999999E-4</v>
      </c>
      <c r="V521" s="157">
        <v>1.2549999999999999</v>
      </c>
      <c r="W521" s="157">
        <v>5.4379999999999997</v>
      </c>
      <c r="X521" s="149">
        <f t="shared" si="21"/>
        <v>6.8246899999999995</v>
      </c>
      <c r="Y521" s="149"/>
    </row>
    <row r="522" spans="1:25" ht="16">
      <c r="A522" s="117" t="s">
        <v>3570</v>
      </c>
      <c r="B522" s="150" t="s">
        <v>591</v>
      </c>
      <c r="C522" s="149" t="s">
        <v>1744</v>
      </c>
      <c r="D522" s="149" t="s">
        <v>3555</v>
      </c>
      <c r="E522" s="149" t="s">
        <v>593</v>
      </c>
      <c r="F522" s="149">
        <v>-26.365555560000001</v>
      </c>
      <c r="G522" s="149">
        <v>135.79</v>
      </c>
      <c r="H522" s="149">
        <v>201</v>
      </c>
      <c r="I522" s="151">
        <v>42816</v>
      </c>
      <c r="J522" s="149" t="s">
        <v>36</v>
      </c>
      <c r="K522" s="149" t="s">
        <v>419</v>
      </c>
      <c r="L522" s="149" t="s">
        <v>1687</v>
      </c>
      <c r="M522" s="149" t="s">
        <v>2563</v>
      </c>
      <c r="N522" s="149" t="s">
        <v>2568</v>
      </c>
      <c r="O522" s="149" t="s">
        <v>2734</v>
      </c>
      <c r="P522" s="149" t="s">
        <v>2782</v>
      </c>
      <c r="Q522" s="149" t="s">
        <v>2392</v>
      </c>
      <c r="R522" s="149" t="s">
        <v>2713</v>
      </c>
      <c r="S522" s="149">
        <f t="shared" si="20"/>
        <v>7.0599999999999996E-2</v>
      </c>
      <c r="T522" s="140">
        <v>3.8671999999999998E-2</v>
      </c>
      <c r="U522" s="157">
        <v>3.1927999999999998E-2</v>
      </c>
      <c r="V522" s="157">
        <v>4.9800000000000004</v>
      </c>
      <c r="W522" s="157">
        <v>19.847999999999999</v>
      </c>
      <c r="X522" s="149">
        <f t="shared" si="21"/>
        <v>98.843040000000002</v>
      </c>
      <c r="Y522" s="149"/>
    </row>
    <row r="523" spans="1:25" ht="16">
      <c r="A523" s="117" t="s">
        <v>3570</v>
      </c>
      <c r="B523" s="150" t="s">
        <v>594</v>
      </c>
      <c r="C523" s="149" t="s">
        <v>1744</v>
      </c>
      <c r="D523" s="149" t="s">
        <v>3555</v>
      </c>
      <c r="E523" s="149" t="s">
        <v>593</v>
      </c>
      <c r="F523" s="149">
        <v>-26.365555560000001</v>
      </c>
      <c r="G523" s="149">
        <v>135.79</v>
      </c>
      <c r="H523" s="149">
        <v>201</v>
      </c>
      <c r="I523" s="151">
        <v>42816</v>
      </c>
      <c r="J523" s="149" t="s">
        <v>36</v>
      </c>
      <c r="K523" s="149" t="s">
        <v>419</v>
      </c>
      <c r="L523" s="149" t="s">
        <v>2569</v>
      </c>
      <c r="M523" s="149" t="s">
        <v>2570</v>
      </c>
      <c r="N523" s="149" t="s">
        <v>2571</v>
      </c>
      <c r="O523" s="140" t="s">
        <v>2369</v>
      </c>
      <c r="P523" s="140" t="s">
        <v>2737</v>
      </c>
      <c r="Q523" s="140" t="s">
        <v>2396</v>
      </c>
      <c r="R523" s="140" t="s">
        <v>2713</v>
      </c>
      <c r="S523" s="149">
        <f t="shared" si="20"/>
        <v>5.5100000000000003E-2</v>
      </c>
      <c r="T523" s="140">
        <v>3.8671999999999998E-2</v>
      </c>
      <c r="U523" s="157">
        <v>1.6428000000000005E-2</v>
      </c>
      <c r="V523" s="157">
        <v>4.2300000000000004</v>
      </c>
      <c r="W523" s="157">
        <v>15.081</v>
      </c>
      <c r="X523" s="149">
        <f t="shared" si="21"/>
        <v>63.792630000000003</v>
      </c>
      <c r="Y523" s="149"/>
    </row>
    <row r="524" spans="1:25" ht="16">
      <c r="A524" s="117" t="s">
        <v>3570</v>
      </c>
      <c r="B524" s="150" t="s">
        <v>595</v>
      </c>
      <c r="C524" s="149" t="s">
        <v>1744</v>
      </c>
      <c r="D524" s="149" t="s">
        <v>3555</v>
      </c>
      <c r="E524" s="149" t="s">
        <v>593</v>
      </c>
      <c r="F524" s="149">
        <v>-26.365555560000001</v>
      </c>
      <c r="G524" s="149">
        <v>135.79</v>
      </c>
      <c r="H524" s="149">
        <v>201</v>
      </c>
      <c r="I524" s="151">
        <v>42816</v>
      </c>
      <c r="J524" s="149" t="s">
        <v>36</v>
      </c>
      <c r="K524" s="149" t="s">
        <v>419</v>
      </c>
      <c r="L524" s="149" t="s">
        <v>2569</v>
      </c>
      <c r="M524" s="149" t="s">
        <v>2570</v>
      </c>
      <c r="N524" s="149" t="s">
        <v>2571</v>
      </c>
      <c r="O524" s="140" t="s">
        <v>2369</v>
      </c>
      <c r="P524" s="140" t="s">
        <v>2737</v>
      </c>
      <c r="Q524" s="140" t="s">
        <v>2671</v>
      </c>
      <c r="R524" s="140" t="s">
        <v>2712</v>
      </c>
      <c r="S524" s="149">
        <f t="shared" si="20"/>
        <v>4.87E-2</v>
      </c>
      <c r="T524" s="140">
        <v>3.8671999999999998E-2</v>
      </c>
      <c r="U524" s="157">
        <v>1.0028000000000002E-2</v>
      </c>
      <c r="V524" s="157">
        <v>3.6190000000000002</v>
      </c>
      <c r="W524" s="157">
        <v>12.577999999999999</v>
      </c>
      <c r="X524" s="149">
        <f t="shared" si="21"/>
        <v>45.519781999999999</v>
      </c>
      <c r="Y524" s="149"/>
    </row>
    <row r="525" spans="1:25" ht="16">
      <c r="A525" s="117" t="s">
        <v>3570</v>
      </c>
      <c r="B525" s="150" t="s">
        <v>596</v>
      </c>
      <c r="C525" s="149" t="s">
        <v>1744</v>
      </c>
      <c r="D525" s="149" t="s">
        <v>3555</v>
      </c>
      <c r="E525" s="149" t="s">
        <v>593</v>
      </c>
      <c r="F525" s="149">
        <v>-26.365555560000001</v>
      </c>
      <c r="G525" s="149">
        <v>135.79</v>
      </c>
      <c r="H525" s="149">
        <v>201</v>
      </c>
      <c r="I525" s="151">
        <v>42816</v>
      </c>
      <c r="J525" s="149" t="s">
        <v>36</v>
      </c>
      <c r="K525" s="149" t="s">
        <v>419</v>
      </c>
      <c r="L525" s="140" t="s">
        <v>2566</v>
      </c>
      <c r="M525" s="140" t="s">
        <v>2574</v>
      </c>
      <c r="N525" s="140" t="s">
        <v>3191</v>
      </c>
      <c r="O525" s="149" t="s">
        <v>2111</v>
      </c>
      <c r="P525" s="149" t="s">
        <v>2739</v>
      </c>
      <c r="Q525" s="140" t="s">
        <v>2666</v>
      </c>
      <c r="R525" s="140" t="s">
        <v>2712</v>
      </c>
      <c r="S525" s="149">
        <f t="shared" si="20"/>
        <v>4.8500000000000001E-2</v>
      </c>
      <c r="T525" s="140">
        <v>3.8671999999999998E-2</v>
      </c>
      <c r="U525" s="157">
        <v>9.8280000000000034E-3</v>
      </c>
      <c r="V525" s="157">
        <v>3.387</v>
      </c>
      <c r="W525" s="157">
        <v>14.403</v>
      </c>
      <c r="X525" s="149">
        <f t="shared" si="21"/>
        <v>48.782961</v>
      </c>
      <c r="Y525" s="149"/>
    </row>
    <row r="526" spans="1:25" ht="16">
      <c r="A526" s="117" t="s">
        <v>3570</v>
      </c>
      <c r="B526" s="150" t="s">
        <v>597</v>
      </c>
      <c r="C526" s="149" t="s">
        <v>1744</v>
      </c>
      <c r="D526" s="149" t="s">
        <v>3555</v>
      </c>
      <c r="E526" s="149" t="s">
        <v>593</v>
      </c>
      <c r="F526" s="149">
        <v>-26.365555560000001</v>
      </c>
      <c r="G526" s="149">
        <v>135.79</v>
      </c>
      <c r="H526" s="149">
        <v>201</v>
      </c>
      <c r="I526" s="151">
        <v>42816</v>
      </c>
      <c r="J526" s="149" t="s">
        <v>36</v>
      </c>
      <c r="K526" s="149" t="s">
        <v>419</v>
      </c>
      <c r="L526" s="149" t="s">
        <v>1687</v>
      </c>
      <c r="M526" s="149" t="s">
        <v>2563</v>
      </c>
      <c r="N526" s="149" t="s">
        <v>2568</v>
      </c>
      <c r="O526" s="149" t="s">
        <v>2734</v>
      </c>
      <c r="P526" s="149" t="s">
        <v>2782</v>
      </c>
      <c r="Q526" s="149" t="s">
        <v>2392</v>
      </c>
      <c r="R526" s="149" t="s">
        <v>2712</v>
      </c>
      <c r="S526" s="149">
        <f t="shared" si="20"/>
        <v>6.7400000000000002E-2</v>
      </c>
      <c r="T526" s="140">
        <v>3.8671999999999998E-2</v>
      </c>
      <c r="U526" s="157">
        <v>2.8728000000000004E-2</v>
      </c>
      <c r="V526" s="157">
        <v>5.0730000000000004</v>
      </c>
      <c r="W526" s="157">
        <v>18.591999999999999</v>
      </c>
      <c r="X526" s="149">
        <f t="shared" si="21"/>
        <v>94.317216000000002</v>
      </c>
      <c r="Y526" s="149"/>
    </row>
    <row r="527" spans="1:25" ht="16">
      <c r="A527" s="117" t="s">
        <v>3570</v>
      </c>
      <c r="B527" s="150" t="s">
        <v>598</v>
      </c>
      <c r="C527" s="149" t="s">
        <v>1744</v>
      </c>
      <c r="D527" s="149" t="s">
        <v>3555</v>
      </c>
      <c r="E527" s="149" t="s">
        <v>593</v>
      </c>
      <c r="F527" s="149">
        <v>-26.365555560000001</v>
      </c>
      <c r="G527" s="149">
        <v>135.79</v>
      </c>
      <c r="H527" s="149">
        <v>201</v>
      </c>
      <c r="I527" s="151">
        <v>42816</v>
      </c>
      <c r="J527" s="149" t="s">
        <v>36</v>
      </c>
      <c r="K527" s="149" t="s">
        <v>419</v>
      </c>
      <c r="L527" s="149" t="s">
        <v>2569</v>
      </c>
      <c r="M527" s="149" t="s">
        <v>2570</v>
      </c>
      <c r="N527" s="149" t="s">
        <v>2571</v>
      </c>
      <c r="O527" s="140" t="s">
        <v>2369</v>
      </c>
      <c r="P527" s="140" t="s">
        <v>3556</v>
      </c>
      <c r="Q527" s="142" t="s">
        <v>2682</v>
      </c>
      <c r="R527" s="140" t="s">
        <v>2712</v>
      </c>
      <c r="S527" s="149">
        <f t="shared" si="20"/>
        <v>5.16E-2</v>
      </c>
      <c r="T527" s="140">
        <v>3.8671999999999998E-2</v>
      </c>
      <c r="U527" s="157">
        <v>1.2928000000000002E-2</v>
      </c>
      <c r="V527" s="157">
        <v>3.4430000000000001</v>
      </c>
      <c r="W527" s="157">
        <v>15.637</v>
      </c>
      <c r="X527" s="149">
        <f t="shared" si="21"/>
        <v>53.838191000000002</v>
      </c>
      <c r="Y527" s="149"/>
    </row>
    <row r="528" spans="1:25" ht="16">
      <c r="A528" s="117" t="s">
        <v>3570</v>
      </c>
      <c r="B528" s="150" t="s">
        <v>439</v>
      </c>
      <c r="C528" s="149" t="s">
        <v>1744</v>
      </c>
      <c r="D528" s="149" t="s">
        <v>3555</v>
      </c>
      <c r="E528" s="149" t="s">
        <v>418</v>
      </c>
      <c r="F528" s="149">
        <v>-26.284722200000001</v>
      </c>
      <c r="G528" s="149">
        <v>136.09805556000001</v>
      </c>
      <c r="H528" s="149">
        <v>201</v>
      </c>
      <c r="I528" s="151">
        <v>42816</v>
      </c>
      <c r="J528" s="149" t="s">
        <v>36</v>
      </c>
      <c r="K528" s="149" t="s">
        <v>419</v>
      </c>
      <c r="L528" s="140" t="s">
        <v>2566</v>
      </c>
      <c r="M528" s="140" t="s">
        <v>2574</v>
      </c>
      <c r="N528" s="140" t="s">
        <v>3191</v>
      </c>
      <c r="O528" s="149" t="s">
        <v>2111</v>
      </c>
      <c r="P528" s="149" t="s">
        <v>2739</v>
      </c>
      <c r="Q528" s="140" t="s">
        <v>2692</v>
      </c>
      <c r="R528" s="140" t="s">
        <v>2713</v>
      </c>
      <c r="S528" s="149">
        <f t="shared" si="20"/>
        <v>2.3E-3</v>
      </c>
      <c r="T528" s="149">
        <v>0</v>
      </c>
      <c r="U528" s="157">
        <v>2.3E-3</v>
      </c>
      <c r="V528" s="157">
        <v>2</v>
      </c>
      <c r="W528" s="157">
        <v>9.36</v>
      </c>
      <c r="X528" s="149">
        <f t="shared" si="21"/>
        <v>18.72</v>
      </c>
      <c r="Y528" s="149"/>
    </row>
    <row r="529" spans="1:25" ht="16">
      <c r="A529" s="117" t="s">
        <v>3570</v>
      </c>
      <c r="B529" s="150" t="s">
        <v>599</v>
      </c>
      <c r="C529" s="149" t="s">
        <v>1744</v>
      </c>
      <c r="D529" s="149" t="s">
        <v>3555</v>
      </c>
      <c r="E529" s="149" t="s">
        <v>593</v>
      </c>
      <c r="F529" s="149">
        <v>-26.365555560000001</v>
      </c>
      <c r="G529" s="149">
        <v>135.79</v>
      </c>
      <c r="H529" s="149">
        <v>201</v>
      </c>
      <c r="I529" s="151">
        <v>42816</v>
      </c>
      <c r="J529" s="149" t="s">
        <v>36</v>
      </c>
      <c r="K529" s="149" t="s">
        <v>419</v>
      </c>
      <c r="L529" s="149" t="s">
        <v>2569</v>
      </c>
      <c r="M529" s="149" t="s">
        <v>2570</v>
      </c>
      <c r="N529" s="149" t="s">
        <v>2571</v>
      </c>
      <c r="O529" s="140" t="s">
        <v>2369</v>
      </c>
      <c r="P529" s="140" t="s">
        <v>2737</v>
      </c>
      <c r="Q529" s="140" t="s">
        <v>2396</v>
      </c>
      <c r="R529" s="140" t="s">
        <v>2713</v>
      </c>
      <c r="S529" s="149">
        <f t="shared" si="20"/>
        <v>5.79E-2</v>
      </c>
      <c r="T529" s="140">
        <v>3.8671999999999998E-2</v>
      </c>
      <c r="U529" s="157">
        <v>1.9228000000000002E-2</v>
      </c>
      <c r="V529" s="157">
        <v>4.2889999999999997</v>
      </c>
      <c r="W529" s="157">
        <v>14.7</v>
      </c>
      <c r="X529" s="149">
        <f t="shared" si="21"/>
        <v>63.04829999999999</v>
      </c>
      <c r="Y529" s="149"/>
    </row>
    <row r="530" spans="1:25" ht="16">
      <c r="A530" s="117" t="s">
        <v>3570</v>
      </c>
      <c r="B530" s="150" t="s">
        <v>600</v>
      </c>
      <c r="C530" s="149" t="s">
        <v>1744</v>
      </c>
      <c r="D530" s="149" t="s">
        <v>3555</v>
      </c>
      <c r="E530" s="149" t="s">
        <v>593</v>
      </c>
      <c r="F530" s="149">
        <v>-26.365555560000001</v>
      </c>
      <c r="G530" s="149">
        <v>135.79</v>
      </c>
      <c r="H530" s="149">
        <v>201</v>
      </c>
      <c r="I530" s="151">
        <v>42816</v>
      </c>
      <c r="J530" s="149" t="s">
        <v>36</v>
      </c>
      <c r="K530" s="149" t="s">
        <v>419</v>
      </c>
      <c r="L530" s="149" t="s">
        <v>2569</v>
      </c>
      <c r="M530" s="149" t="s">
        <v>2570</v>
      </c>
      <c r="N530" s="149" t="s">
        <v>2571</v>
      </c>
      <c r="O530" s="140" t="s">
        <v>2369</v>
      </c>
      <c r="P530" s="140" t="s">
        <v>3556</v>
      </c>
      <c r="Q530" s="140" t="s">
        <v>2669</v>
      </c>
      <c r="R530" s="149" t="s">
        <v>2713</v>
      </c>
      <c r="S530" s="149">
        <f t="shared" si="20"/>
        <v>4.6399999999999997E-2</v>
      </c>
      <c r="T530" s="140">
        <v>3.8671999999999998E-2</v>
      </c>
      <c r="U530" s="157">
        <v>7.7279999999999988E-3</v>
      </c>
      <c r="V530" s="157">
        <v>2.8220000000000001</v>
      </c>
      <c r="W530" s="157">
        <v>11.919</v>
      </c>
      <c r="X530" s="149">
        <f t="shared" si="21"/>
        <v>33.635418000000001</v>
      </c>
      <c r="Y530" s="149"/>
    </row>
    <row r="531" spans="1:25" ht="16">
      <c r="A531" s="117" t="s">
        <v>3570</v>
      </c>
      <c r="B531" s="150" t="s">
        <v>601</v>
      </c>
      <c r="C531" s="149" t="s">
        <v>1744</v>
      </c>
      <c r="D531" s="149" t="s">
        <v>3555</v>
      </c>
      <c r="E531" s="149" t="s">
        <v>593</v>
      </c>
      <c r="F531" s="149">
        <v>-26.365555560000001</v>
      </c>
      <c r="G531" s="149">
        <v>135.79</v>
      </c>
      <c r="H531" s="149">
        <v>201</v>
      </c>
      <c r="I531" s="151">
        <v>42816</v>
      </c>
      <c r="J531" s="149" t="s">
        <v>36</v>
      </c>
      <c r="K531" s="149" t="s">
        <v>419</v>
      </c>
      <c r="L531" s="149" t="s">
        <v>2569</v>
      </c>
      <c r="M531" s="149" t="s">
        <v>2570</v>
      </c>
      <c r="N531" s="149" t="s">
        <v>2571</v>
      </c>
      <c r="O531" s="140" t="s">
        <v>2369</v>
      </c>
      <c r="P531" s="140" t="s">
        <v>3556</v>
      </c>
      <c r="Q531" s="140" t="s">
        <v>2669</v>
      </c>
      <c r="R531" s="149" t="s">
        <v>2713</v>
      </c>
      <c r="S531" s="149">
        <f t="shared" si="20"/>
        <v>4.5900000000000003E-2</v>
      </c>
      <c r="T531" s="140">
        <v>3.8671999999999998E-2</v>
      </c>
      <c r="U531" s="157">
        <v>7.2280000000000053E-3</v>
      </c>
      <c r="V531" s="157">
        <v>2.7690000000000001</v>
      </c>
      <c r="W531" s="157">
        <v>10.935</v>
      </c>
      <c r="X531" s="149">
        <f t="shared" si="21"/>
        <v>30.279015000000001</v>
      </c>
      <c r="Y531" s="149"/>
    </row>
    <row r="532" spans="1:25" ht="16">
      <c r="A532" s="117" t="s">
        <v>3570</v>
      </c>
      <c r="B532" s="150" t="s">
        <v>602</v>
      </c>
      <c r="C532" s="149" t="s">
        <v>1744</v>
      </c>
      <c r="D532" s="149" t="s">
        <v>3555</v>
      </c>
      <c r="E532" s="149" t="s">
        <v>593</v>
      </c>
      <c r="F532" s="149">
        <v>-26.365555560000001</v>
      </c>
      <c r="G532" s="149">
        <v>135.79</v>
      </c>
      <c r="H532" s="149">
        <v>201</v>
      </c>
      <c r="I532" s="151">
        <v>42816</v>
      </c>
      <c r="J532" s="149" t="s">
        <v>36</v>
      </c>
      <c r="K532" s="149" t="s">
        <v>419</v>
      </c>
      <c r="L532" s="149" t="s">
        <v>2569</v>
      </c>
      <c r="M532" s="149" t="s">
        <v>2570</v>
      </c>
      <c r="N532" s="149" t="s">
        <v>2571</v>
      </c>
      <c r="O532" s="140" t="s">
        <v>2369</v>
      </c>
      <c r="P532" s="140" t="s">
        <v>3556</v>
      </c>
      <c r="Q532" s="140" t="s">
        <v>2669</v>
      </c>
      <c r="R532" s="149" t="s">
        <v>2713</v>
      </c>
      <c r="S532" s="149">
        <f t="shared" si="20"/>
        <v>4.6899999999999997E-2</v>
      </c>
      <c r="T532" s="140">
        <v>3.8671999999999998E-2</v>
      </c>
      <c r="U532" s="157">
        <v>8.2279999999999992E-3</v>
      </c>
      <c r="V532" s="157">
        <v>2.9340000000000002</v>
      </c>
      <c r="W532" s="157">
        <v>13.029</v>
      </c>
      <c r="X532" s="149">
        <f t="shared" si="21"/>
        <v>38.227086</v>
      </c>
      <c r="Y532" s="149"/>
    </row>
    <row r="533" spans="1:25" ht="16">
      <c r="A533" s="117" t="s">
        <v>3570</v>
      </c>
      <c r="B533" s="150" t="s">
        <v>603</v>
      </c>
      <c r="C533" s="149" t="s">
        <v>1744</v>
      </c>
      <c r="D533" s="149" t="s">
        <v>3555</v>
      </c>
      <c r="E533" s="149" t="s">
        <v>593</v>
      </c>
      <c r="F533" s="149">
        <v>-26.365555560000001</v>
      </c>
      <c r="G533" s="149">
        <v>135.79</v>
      </c>
      <c r="H533" s="149">
        <v>201</v>
      </c>
      <c r="I533" s="151">
        <v>42816</v>
      </c>
      <c r="J533" s="149" t="s">
        <v>36</v>
      </c>
      <c r="K533" s="149" t="s">
        <v>419</v>
      </c>
      <c r="L533" s="155" t="s">
        <v>2566</v>
      </c>
      <c r="M533" s="155" t="s">
        <v>2567</v>
      </c>
      <c r="N533" s="155" t="s">
        <v>2668</v>
      </c>
      <c r="O533" s="155" t="s">
        <v>2105</v>
      </c>
      <c r="P533" s="140" t="s">
        <v>2105</v>
      </c>
      <c r="Q533" s="140" t="s">
        <v>2387</v>
      </c>
      <c r="R533" s="155" t="s">
        <v>2713</v>
      </c>
      <c r="S533" s="149">
        <f t="shared" si="20"/>
        <v>8.0000000000000004E-4</v>
      </c>
      <c r="T533" s="149">
        <v>0</v>
      </c>
      <c r="U533" s="157">
        <v>8.0000000000000004E-4</v>
      </c>
      <c r="V533" s="157">
        <v>1.569</v>
      </c>
      <c r="W533" s="157">
        <v>6.09</v>
      </c>
      <c r="X533" s="149">
        <f t="shared" si="21"/>
        <v>9.5552099999999989</v>
      </c>
      <c r="Y533" s="149"/>
    </row>
    <row r="534" spans="1:25" ht="16">
      <c r="A534" s="117" t="s">
        <v>3570</v>
      </c>
      <c r="B534" s="150" t="s">
        <v>604</v>
      </c>
      <c r="C534" s="149" t="s">
        <v>1744</v>
      </c>
      <c r="D534" s="149" t="s">
        <v>3555</v>
      </c>
      <c r="E534" s="149" t="s">
        <v>593</v>
      </c>
      <c r="F534" s="149">
        <v>-26.365555560000001</v>
      </c>
      <c r="G534" s="149">
        <v>135.79</v>
      </c>
      <c r="H534" s="149">
        <v>201</v>
      </c>
      <c r="I534" s="151">
        <v>42816</v>
      </c>
      <c r="J534" s="149" t="s">
        <v>36</v>
      </c>
      <c r="K534" s="149" t="s">
        <v>419</v>
      </c>
      <c r="L534" s="155" t="s">
        <v>2566</v>
      </c>
      <c r="M534" s="155" t="s">
        <v>2567</v>
      </c>
      <c r="N534" s="155" t="s">
        <v>2668</v>
      </c>
      <c r="O534" s="155" t="s">
        <v>2105</v>
      </c>
      <c r="P534" s="140" t="s">
        <v>2105</v>
      </c>
      <c r="Q534" s="140" t="s">
        <v>2387</v>
      </c>
      <c r="R534" s="155" t="s">
        <v>2713</v>
      </c>
      <c r="S534" s="149">
        <f t="shared" ref="S534:S597" si="22">T534+U534</f>
        <v>6.9999999999999999E-4</v>
      </c>
      <c r="T534" s="149">
        <v>0</v>
      </c>
      <c r="U534" s="157">
        <v>6.9999999999999999E-4</v>
      </c>
      <c r="V534" s="157">
        <v>1.665</v>
      </c>
      <c r="W534" s="157">
        <v>6.4729999999999999</v>
      </c>
      <c r="X534" s="149">
        <f t="shared" si="21"/>
        <v>10.777545</v>
      </c>
      <c r="Y534" s="149"/>
    </row>
    <row r="535" spans="1:25" ht="16">
      <c r="A535" s="117" t="s">
        <v>3570</v>
      </c>
      <c r="B535" s="150" t="s">
        <v>605</v>
      </c>
      <c r="C535" s="149" t="s">
        <v>1744</v>
      </c>
      <c r="D535" s="149" t="s">
        <v>3555</v>
      </c>
      <c r="E535" s="149" t="s">
        <v>593</v>
      </c>
      <c r="F535" s="149">
        <v>-26.365555560000001</v>
      </c>
      <c r="G535" s="149">
        <v>135.79</v>
      </c>
      <c r="H535" s="149">
        <v>201</v>
      </c>
      <c r="I535" s="151">
        <v>42816</v>
      </c>
      <c r="J535" s="149" t="s">
        <v>36</v>
      </c>
      <c r="K535" s="149" t="s">
        <v>419</v>
      </c>
      <c r="L535" s="140" t="s">
        <v>2566</v>
      </c>
      <c r="M535" s="140" t="s">
        <v>2567</v>
      </c>
      <c r="N535" s="140" t="s">
        <v>2668</v>
      </c>
      <c r="O535" s="140" t="s">
        <v>2105</v>
      </c>
      <c r="P535" s="140" t="s">
        <v>2105</v>
      </c>
      <c r="Q535" s="140" t="s">
        <v>2387</v>
      </c>
      <c r="R535" s="140" t="s">
        <v>2713</v>
      </c>
      <c r="S535" s="149">
        <f t="shared" si="22"/>
        <v>8.0000000000000004E-4</v>
      </c>
      <c r="T535" s="149">
        <v>0</v>
      </c>
      <c r="U535" s="157">
        <v>8.0000000000000004E-4</v>
      </c>
      <c r="V535" s="157">
        <v>1.514</v>
      </c>
      <c r="W535" s="157">
        <v>5.9349999999999996</v>
      </c>
      <c r="X535" s="149">
        <f t="shared" si="21"/>
        <v>8.9855900000000002</v>
      </c>
      <c r="Y535" s="149"/>
    </row>
    <row r="536" spans="1:25" ht="16">
      <c r="A536" s="117" t="s">
        <v>3570</v>
      </c>
      <c r="B536" s="150" t="s">
        <v>606</v>
      </c>
      <c r="C536" s="149" t="s">
        <v>1744</v>
      </c>
      <c r="D536" s="149" t="s">
        <v>3555</v>
      </c>
      <c r="E536" s="149" t="s">
        <v>593</v>
      </c>
      <c r="F536" s="149">
        <v>-26.365555560000001</v>
      </c>
      <c r="G536" s="149">
        <v>135.79</v>
      </c>
      <c r="H536" s="149">
        <v>201</v>
      </c>
      <c r="I536" s="151">
        <v>42816</v>
      </c>
      <c r="J536" s="149" t="s">
        <v>36</v>
      </c>
      <c r="K536" s="149" t="s">
        <v>419</v>
      </c>
      <c r="L536" s="155" t="s">
        <v>2566</v>
      </c>
      <c r="M536" s="155" t="s">
        <v>2567</v>
      </c>
      <c r="N536" s="155" t="s">
        <v>2668</v>
      </c>
      <c r="O536" s="140" t="s">
        <v>2600</v>
      </c>
      <c r="P536" s="149" t="s">
        <v>2735</v>
      </c>
      <c r="Q536" s="140" t="s">
        <v>2709</v>
      </c>
      <c r="R536" s="155" t="s">
        <v>2712</v>
      </c>
      <c r="S536" s="149">
        <f t="shared" si="22"/>
        <v>1.4E-3</v>
      </c>
      <c r="T536" s="149">
        <v>0</v>
      </c>
      <c r="U536" s="157">
        <v>1.4E-3</v>
      </c>
      <c r="V536" s="157">
        <v>1.857</v>
      </c>
      <c r="W536" s="157">
        <v>8.4390000000000001</v>
      </c>
      <c r="X536" s="149">
        <f t="shared" si="21"/>
        <v>15.671222999999999</v>
      </c>
      <c r="Y536" s="149"/>
    </row>
    <row r="537" spans="1:25" ht="16">
      <c r="A537" s="117" t="s">
        <v>3570</v>
      </c>
      <c r="B537" s="150" t="s">
        <v>607</v>
      </c>
      <c r="C537" s="149" t="s">
        <v>1744</v>
      </c>
      <c r="D537" s="149" t="s">
        <v>3555</v>
      </c>
      <c r="E537" s="149" t="s">
        <v>593</v>
      </c>
      <c r="F537" s="149">
        <v>-26.365555560000001</v>
      </c>
      <c r="G537" s="149">
        <v>135.79</v>
      </c>
      <c r="H537" s="149">
        <v>201</v>
      </c>
      <c r="I537" s="151">
        <v>42816</v>
      </c>
      <c r="J537" s="149" t="s">
        <v>36</v>
      </c>
      <c r="K537" s="149" t="s">
        <v>419</v>
      </c>
      <c r="L537" s="155" t="s">
        <v>2566</v>
      </c>
      <c r="M537" s="155" t="s">
        <v>2567</v>
      </c>
      <c r="N537" s="155" t="s">
        <v>2668</v>
      </c>
      <c r="O537" s="155" t="s">
        <v>2105</v>
      </c>
      <c r="P537" s="140" t="s">
        <v>2105</v>
      </c>
      <c r="Q537" s="140" t="s">
        <v>2387</v>
      </c>
      <c r="R537" s="155" t="s">
        <v>2713</v>
      </c>
      <c r="S537" s="149">
        <f t="shared" si="22"/>
        <v>3.3999999999999998E-3</v>
      </c>
      <c r="T537" s="149">
        <v>0</v>
      </c>
      <c r="U537" s="157">
        <v>3.3999999999999998E-3</v>
      </c>
      <c r="V537" s="157">
        <v>1.4390000000000001</v>
      </c>
      <c r="W537" s="157">
        <v>6.0780000000000003</v>
      </c>
      <c r="X537" s="149">
        <f t="shared" si="21"/>
        <v>8.7462420000000005</v>
      </c>
      <c r="Y537" s="149"/>
    </row>
    <row r="538" spans="1:25" ht="16">
      <c r="A538" s="117" t="s">
        <v>3570</v>
      </c>
      <c r="B538" s="150" t="s">
        <v>608</v>
      </c>
      <c r="C538" s="149" t="s">
        <v>1744</v>
      </c>
      <c r="D538" s="149" t="s">
        <v>3555</v>
      </c>
      <c r="E538" s="149" t="s">
        <v>593</v>
      </c>
      <c r="F538" s="149">
        <v>-26.365555560000001</v>
      </c>
      <c r="G538" s="149">
        <v>135.79</v>
      </c>
      <c r="H538" s="149">
        <v>201</v>
      </c>
      <c r="I538" s="151">
        <v>42816</v>
      </c>
      <c r="J538" s="149" t="s">
        <v>36</v>
      </c>
      <c r="K538" s="149" t="s">
        <v>419</v>
      </c>
      <c r="L538" s="140" t="s">
        <v>2572</v>
      </c>
      <c r="M538" s="140" t="s">
        <v>2407</v>
      </c>
      <c r="N538" s="140" t="s">
        <v>36</v>
      </c>
      <c r="O538" s="140" t="s">
        <v>2215</v>
      </c>
      <c r="P538" s="140" t="s">
        <v>2215</v>
      </c>
      <c r="Q538" s="140" t="s">
        <v>2702</v>
      </c>
      <c r="R538" s="140" t="s">
        <v>2713</v>
      </c>
      <c r="S538" s="149">
        <f t="shared" si="22"/>
        <v>8.9999999999999998E-4</v>
      </c>
      <c r="T538" s="149">
        <v>0</v>
      </c>
      <c r="U538" s="157">
        <v>8.9999999999999998E-4</v>
      </c>
      <c r="V538" s="157">
        <v>1.5629999999999999</v>
      </c>
      <c r="W538" s="157">
        <v>7.7720000000000002</v>
      </c>
      <c r="X538" s="149">
        <f t="shared" si="21"/>
        <v>12.147636</v>
      </c>
      <c r="Y538" s="149"/>
    </row>
    <row r="539" spans="1:25" ht="16">
      <c r="A539" s="117" t="s">
        <v>3570</v>
      </c>
      <c r="B539" s="150" t="s">
        <v>440</v>
      </c>
      <c r="C539" s="149" t="s">
        <v>1744</v>
      </c>
      <c r="D539" s="149" t="s">
        <v>3555</v>
      </c>
      <c r="E539" s="149" t="s">
        <v>418</v>
      </c>
      <c r="F539" s="149">
        <v>-26.284722200000001</v>
      </c>
      <c r="G539" s="149">
        <v>136.09805556000001</v>
      </c>
      <c r="H539" s="149">
        <v>201</v>
      </c>
      <c r="I539" s="151">
        <v>42816</v>
      </c>
      <c r="J539" s="149" t="s">
        <v>36</v>
      </c>
      <c r="K539" s="149" t="s">
        <v>419</v>
      </c>
      <c r="L539" s="149" t="s">
        <v>2569</v>
      </c>
      <c r="M539" s="149" t="s">
        <v>2570</v>
      </c>
      <c r="N539" s="149" t="s">
        <v>2571</v>
      </c>
      <c r="O539" s="140" t="s">
        <v>2369</v>
      </c>
      <c r="P539" s="140" t="s">
        <v>3556</v>
      </c>
      <c r="Q539" s="140" t="s">
        <v>2678</v>
      </c>
      <c r="R539" s="149" t="s">
        <v>2713</v>
      </c>
      <c r="S539" s="149">
        <f t="shared" si="22"/>
        <v>4.87E-2</v>
      </c>
      <c r="T539" s="140">
        <v>3.8671999999999998E-2</v>
      </c>
      <c r="U539" s="157">
        <v>1.0028000000000002E-2</v>
      </c>
      <c r="V539" s="157">
        <v>2.754</v>
      </c>
      <c r="W539" s="157">
        <v>12.224</v>
      </c>
      <c r="X539" s="149">
        <f t="shared" si="21"/>
        <v>33.664895999999999</v>
      </c>
      <c r="Y539" s="149"/>
    </row>
    <row r="540" spans="1:25" ht="16">
      <c r="A540" s="117" t="s">
        <v>3570</v>
      </c>
      <c r="B540" s="150" t="s">
        <v>609</v>
      </c>
      <c r="C540" s="149" t="s">
        <v>1744</v>
      </c>
      <c r="D540" s="149" t="s">
        <v>3555</v>
      </c>
      <c r="E540" s="149" t="s">
        <v>593</v>
      </c>
      <c r="F540" s="149">
        <v>-26.365555560000001</v>
      </c>
      <c r="G540" s="149">
        <v>135.79</v>
      </c>
      <c r="H540" s="149">
        <v>201</v>
      </c>
      <c r="I540" s="151">
        <v>42816</v>
      </c>
      <c r="J540" s="149" t="s">
        <v>36</v>
      </c>
      <c r="K540" s="149" t="s">
        <v>419</v>
      </c>
      <c r="L540" s="155" t="s">
        <v>2566</v>
      </c>
      <c r="M540" s="155" t="s">
        <v>2567</v>
      </c>
      <c r="N540" s="155" t="s">
        <v>2668</v>
      </c>
      <c r="O540" s="155" t="s">
        <v>2105</v>
      </c>
      <c r="P540" s="140" t="s">
        <v>2105</v>
      </c>
      <c r="Q540" s="140" t="s">
        <v>2387</v>
      </c>
      <c r="R540" s="155" t="s">
        <v>2713</v>
      </c>
      <c r="S540" s="149">
        <f t="shared" si="22"/>
        <v>1.1000000000000001E-3</v>
      </c>
      <c r="T540" s="149">
        <v>0</v>
      </c>
      <c r="U540" s="157">
        <v>1.1000000000000001E-3</v>
      </c>
      <c r="V540" s="157">
        <v>1.4319999999999999</v>
      </c>
      <c r="W540" s="157">
        <v>7.1980000000000004</v>
      </c>
      <c r="X540" s="149">
        <f t="shared" si="21"/>
        <v>10.307536000000001</v>
      </c>
      <c r="Y540" s="149"/>
    </row>
    <row r="541" spans="1:25" ht="16">
      <c r="A541" s="117" t="s">
        <v>3570</v>
      </c>
      <c r="B541" s="150" t="s">
        <v>611</v>
      </c>
      <c r="C541" s="149" t="s">
        <v>1744</v>
      </c>
      <c r="D541" s="149" t="s">
        <v>3555</v>
      </c>
      <c r="E541" s="149" t="s">
        <v>593</v>
      </c>
      <c r="F541" s="149">
        <v>-26.365555560000001</v>
      </c>
      <c r="G541" s="149">
        <v>135.79</v>
      </c>
      <c r="H541" s="149">
        <v>201</v>
      </c>
      <c r="I541" s="151">
        <v>42816</v>
      </c>
      <c r="J541" s="149" t="s">
        <v>36</v>
      </c>
      <c r="K541" s="149" t="s">
        <v>419</v>
      </c>
      <c r="L541" s="155" t="s">
        <v>2566</v>
      </c>
      <c r="M541" s="155" t="s">
        <v>2567</v>
      </c>
      <c r="N541" s="155" t="s">
        <v>2668</v>
      </c>
      <c r="O541" s="155" t="s">
        <v>2105</v>
      </c>
      <c r="P541" s="140" t="s">
        <v>2105</v>
      </c>
      <c r="Q541" s="140" t="s">
        <v>2387</v>
      </c>
      <c r="R541" s="155" t="s">
        <v>2713</v>
      </c>
      <c r="S541" s="149">
        <f t="shared" si="22"/>
        <v>5.0000000000000001E-4</v>
      </c>
      <c r="T541" s="149">
        <v>0</v>
      </c>
      <c r="U541" s="157">
        <v>5.0000000000000001E-4</v>
      </c>
      <c r="V541" s="157">
        <v>1.5049999999999999</v>
      </c>
      <c r="W541" s="157">
        <v>6.2789999999999999</v>
      </c>
      <c r="X541" s="149">
        <f t="shared" si="21"/>
        <v>9.4498949999999997</v>
      </c>
      <c r="Y541" s="149"/>
    </row>
    <row r="542" spans="1:25" ht="16">
      <c r="A542" s="117" t="s">
        <v>3570</v>
      </c>
      <c r="B542" s="150" t="s">
        <v>612</v>
      </c>
      <c r="C542" s="149" t="s">
        <v>1744</v>
      </c>
      <c r="D542" s="149" t="s">
        <v>3555</v>
      </c>
      <c r="E542" s="149" t="s">
        <v>593</v>
      </c>
      <c r="F542" s="149">
        <v>-26.365555560000001</v>
      </c>
      <c r="G542" s="149">
        <v>135.79</v>
      </c>
      <c r="H542" s="149">
        <v>201</v>
      </c>
      <c r="I542" s="151">
        <v>42816</v>
      </c>
      <c r="J542" s="149" t="s">
        <v>36</v>
      </c>
      <c r="K542" s="149" t="s">
        <v>419</v>
      </c>
      <c r="L542" s="155" t="s">
        <v>2566</v>
      </c>
      <c r="M542" s="155" t="s">
        <v>2567</v>
      </c>
      <c r="N542" s="155" t="s">
        <v>2668</v>
      </c>
      <c r="O542" s="155" t="s">
        <v>2105</v>
      </c>
      <c r="P542" s="140" t="s">
        <v>2105</v>
      </c>
      <c r="Q542" s="140" t="s">
        <v>2387</v>
      </c>
      <c r="R542" s="155" t="s">
        <v>2713</v>
      </c>
      <c r="S542" s="149">
        <f t="shared" si="22"/>
        <v>3.5000000000000001E-3</v>
      </c>
      <c r="T542" s="149">
        <v>0</v>
      </c>
      <c r="U542" s="157">
        <v>3.5000000000000001E-3</v>
      </c>
      <c r="V542" s="157">
        <v>1.472</v>
      </c>
      <c r="W542" s="157">
        <v>7.2279999999999998</v>
      </c>
      <c r="X542" s="149">
        <f t="shared" si="21"/>
        <v>10.639616</v>
      </c>
      <c r="Y542" s="149"/>
    </row>
    <row r="543" spans="1:25" ht="16">
      <c r="A543" s="117" t="s">
        <v>3570</v>
      </c>
      <c r="B543" s="150" t="s">
        <v>613</v>
      </c>
      <c r="C543" s="149" t="s">
        <v>1744</v>
      </c>
      <c r="D543" s="149" t="s">
        <v>3555</v>
      </c>
      <c r="E543" s="149" t="s">
        <v>593</v>
      </c>
      <c r="F543" s="149">
        <v>-26.365555560000001</v>
      </c>
      <c r="G543" s="149">
        <v>135.79</v>
      </c>
      <c r="H543" s="149">
        <v>201</v>
      </c>
      <c r="I543" s="151">
        <v>42816</v>
      </c>
      <c r="J543" s="149" t="s">
        <v>36</v>
      </c>
      <c r="K543" s="149" t="s">
        <v>419</v>
      </c>
      <c r="L543" s="155" t="s">
        <v>2566</v>
      </c>
      <c r="M543" s="155" t="s">
        <v>2567</v>
      </c>
      <c r="N543" s="155" t="s">
        <v>2668</v>
      </c>
      <c r="O543" s="155" t="s">
        <v>2105</v>
      </c>
      <c r="P543" s="140" t="s">
        <v>2105</v>
      </c>
      <c r="Q543" s="140" t="s">
        <v>2387</v>
      </c>
      <c r="R543" s="155" t="s">
        <v>2713</v>
      </c>
      <c r="S543" s="149">
        <f t="shared" si="22"/>
        <v>2.8999999999999998E-3</v>
      </c>
      <c r="T543" s="149">
        <v>0</v>
      </c>
      <c r="U543" s="157">
        <v>2.8999999999999998E-3</v>
      </c>
      <c r="V543" s="157">
        <v>1.4330000000000001</v>
      </c>
      <c r="W543" s="157">
        <v>6.3419999999999996</v>
      </c>
      <c r="X543" s="149">
        <f t="shared" si="21"/>
        <v>9.0880860000000006</v>
      </c>
      <c r="Y543" s="149"/>
    </row>
    <row r="544" spans="1:25" ht="16">
      <c r="A544" s="117" t="s">
        <v>3570</v>
      </c>
      <c r="B544" s="150" t="s">
        <v>614</v>
      </c>
      <c r="C544" s="149" t="s">
        <v>1744</v>
      </c>
      <c r="D544" s="149" t="s">
        <v>3555</v>
      </c>
      <c r="E544" s="149" t="s">
        <v>593</v>
      </c>
      <c r="F544" s="149">
        <v>-26.365555560000001</v>
      </c>
      <c r="G544" s="149">
        <v>135.79</v>
      </c>
      <c r="H544" s="149">
        <v>201</v>
      </c>
      <c r="I544" s="151">
        <v>42816</v>
      </c>
      <c r="J544" s="149" t="s">
        <v>36</v>
      </c>
      <c r="K544" s="149" t="s">
        <v>419</v>
      </c>
      <c r="L544" s="155" t="s">
        <v>2566</v>
      </c>
      <c r="M544" s="155" t="s">
        <v>2567</v>
      </c>
      <c r="N544" s="155" t="s">
        <v>2668</v>
      </c>
      <c r="O544" s="155" t="s">
        <v>2105</v>
      </c>
      <c r="P544" s="140" t="s">
        <v>2105</v>
      </c>
      <c r="Q544" s="140" t="s">
        <v>2387</v>
      </c>
      <c r="R544" s="155" t="s">
        <v>2713</v>
      </c>
      <c r="S544" s="149">
        <f t="shared" si="22"/>
        <v>1E-3</v>
      </c>
      <c r="T544" s="149">
        <v>0</v>
      </c>
      <c r="U544" s="157">
        <v>1E-3</v>
      </c>
      <c r="V544" s="157">
        <v>1.702</v>
      </c>
      <c r="W544" s="157">
        <v>7.5570000000000004</v>
      </c>
      <c r="X544" s="149">
        <f t="shared" si="21"/>
        <v>12.862014</v>
      </c>
      <c r="Y544" s="149"/>
    </row>
    <row r="545" spans="1:25" ht="16">
      <c r="A545" s="117" t="s">
        <v>3570</v>
      </c>
      <c r="B545" s="150" t="s">
        <v>615</v>
      </c>
      <c r="C545" s="149" t="s">
        <v>1744</v>
      </c>
      <c r="D545" s="149" t="s">
        <v>3555</v>
      </c>
      <c r="E545" s="149" t="s">
        <v>593</v>
      </c>
      <c r="F545" s="149">
        <v>-26.365555560000001</v>
      </c>
      <c r="G545" s="149">
        <v>135.79</v>
      </c>
      <c r="H545" s="149">
        <v>201</v>
      </c>
      <c r="I545" s="151">
        <v>42816</v>
      </c>
      <c r="J545" s="149" t="s">
        <v>36</v>
      </c>
      <c r="K545" s="149" t="s">
        <v>419</v>
      </c>
      <c r="L545" s="140" t="s">
        <v>2566</v>
      </c>
      <c r="M545" s="140" t="s">
        <v>2574</v>
      </c>
      <c r="N545" s="140" t="s">
        <v>3191</v>
      </c>
      <c r="O545" s="149" t="s">
        <v>2111</v>
      </c>
      <c r="P545" s="149" t="s">
        <v>2739</v>
      </c>
      <c r="Q545" s="140" t="s">
        <v>2692</v>
      </c>
      <c r="R545" s="140" t="s">
        <v>2713</v>
      </c>
      <c r="S545" s="149">
        <f t="shared" si="22"/>
        <v>3.0999999999999999E-3</v>
      </c>
      <c r="T545" s="149">
        <v>0</v>
      </c>
      <c r="U545" s="157">
        <v>3.0999999999999999E-3</v>
      </c>
      <c r="V545" s="157">
        <v>2.161</v>
      </c>
      <c r="W545" s="157">
        <v>9.86</v>
      </c>
      <c r="X545" s="149">
        <f t="shared" si="21"/>
        <v>21.307459999999999</v>
      </c>
      <c r="Y545" s="149"/>
    </row>
    <row r="546" spans="1:25" ht="16">
      <c r="A546" s="117" t="s">
        <v>3570</v>
      </c>
      <c r="B546" s="150" t="s">
        <v>616</v>
      </c>
      <c r="C546" s="149" t="s">
        <v>1744</v>
      </c>
      <c r="D546" s="149" t="s">
        <v>3555</v>
      </c>
      <c r="E546" s="149" t="s">
        <v>593</v>
      </c>
      <c r="F546" s="149">
        <v>-26.365555560000001</v>
      </c>
      <c r="G546" s="149">
        <v>135.79</v>
      </c>
      <c r="H546" s="149">
        <v>201</v>
      </c>
      <c r="I546" s="151">
        <v>42816</v>
      </c>
      <c r="J546" s="149" t="s">
        <v>36</v>
      </c>
      <c r="K546" s="149" t="s">
        <v>419</v>
      </c>
      <c r="L546" s="140" t="s">
        <v>2566</v>
      </c>
      <c r="M546" s="140" t="s">
        <v>2574</v>
      </c>
      <c r="N546" s="140" t="s">
        <v>3191</v>
      </c>
      <c r="O546" s="149" t="s">
        <v>2111</v>
      </c>
      <c r="P546" s="149" t="s">
        <v>2739</v>
      </c>
      <c r="Q546" s="140" t="s">
        <v>2692</v>
      </c>
      <c r="R546" s="140" t="s">
        <v>2713</v>
      </c>
      <c r="S546" s="149">
        <f t="shared" si="22"/>
        <v>3.8999999999999998E-3</v>
      </c>
      <c r="T546" s="149">
        <v>0</v>
      </c>
      <c r="U546" s="157">
        <v>3.8999999999999998E-3</v>
      </c>
      <c r="V546" s="157">
        <v>2.359</v>
      </c>
      <c r="W546" s="157">
        <v>12.893000000000001</v>
      </c>
      <c r="X546" s="149">
        <f t="shared" si="21"/>
        <v>30.414587000000001</v>
      </c>
      <c r="Y546" s="149"/>
    </row>
    <row r="547" spans="1:25" ht="16">
      <c r="A547" s="117" t="s">
        <v>3570</v>
      </c>
      <c r="B547" s="150" t="s">
        <v>618</v>
      </c>
      <c r="C547" s="149" t="s">
        <v>1744</v>
      </c>
      <c r="D547" s="149" t="s">
        <v>3555</v>
      </c>
      <c r="E547" s="149" t="s">
        <v>593</v>
      </c>
      <c r="F547" s="149">
        <v>-26.365555560000001</v>
      </c>
      <c r="G547" s="149">
        <v>135.79</v>
      </c>
      <c r="H547" s="149">
        <v>201</v>
      </c>
      <c r="I547" s="151">
        <v>42816</v>
      </c>
      <c r="J547" s="149" t="s">
        <v>36</v>
      </c>
      <c r="K547" s="149" t="s">
        <v>419</v>
      </c>
      <c r="L547" s="155" t="s">
        <v>2566</v>
      </c>
      <c r="M547" s="155" t="s">
        <v>2567</v>
      </c>
      <c r="N547" s="155" t="s">
        <v>2668</v>
      </c>
      <c r="O547" s="155" t="s">
        <v>2105</v>
      </c>
      <c r="P547" s="140" t="s">
        <v>2105</v>
      </c>
      <c r="Q547" s="140" t="s">
        <v>2387</v>
      </c>
      <c r="R547" s="155" t="s">
        <v>2713</v>
      </c>
      <c r="S547" s="149">
        <f t="shared" si="22"/>
        <v>2.8999999999999998E-3</v>
      </c>
      <c r="T547" s="149">
        <v>0</v>
      </c>
      <c r="U547" s="157">
        <v>2.8999999999999998E-3</v>
      </c>
      <c r="V547" s="157">
        <v>1.5369999999999999</v>
      </c>
      <c r="W547" s="157">
        <v>6.5629999999999997</v>
      </c>
      <c r="X547" s="149">
        <f t="shared" si="21"/>
        <v>10.087330999999999</v>
      </c>
      <c r="Y547" s="149"/>
    </row>
    <row r="548" spans="1:25" ht="16">
      <c r="A548" s="117" t="s">
        <v>3570</v>
      </c>
      <c r="B548" s="150" t="s">
        <v>441</v>
      </c>
      <c r="C548" s="149" t="s">
        <v>1744</v>
      </c>
      <c r="D548" s="149" t="s">
        <v>3555</v>
      </c>
      <c r="E548" s="149" t="s">
        <v>418</v>
      </c>
      <c r="F548" s="149">
        <v>-26.284722200000001</v>
      </c>
      <c r="G548" s="149">
        <v>136.09805556000001</v>
      </c>
      <c r="H548" s="149">
        <v>201</v>
      </c>
      <c r="I548" s="151">
        <v>42816</v>
      </c>
      <c r="J548" s="149" t="s">
        <v>36</v>
      </c>
      <c r="K548" s="149" t="s">
        <v>419</v>
      </c>
      <c r="L548" s="140" t="s">
        <v>2566</v>
      </c>
      <c r="M548" s="140" t="s">
        <v>2574</v>
      </c>
      <c r="N548" s="140" t="s">
        <v>3191</v>
      </c>
      <c r="O548" s="149" t="s">
        <v>2111</v>
      </c>
      <c r="P548" s="149" t="s">
        <v>2739</v>
      </c>
      <c r="Q548" s="140" t="s">
        <v>2692</v>
      </c>
      <c r="R548" s="140" t="s">
        <v>2712</v>
      </c>
      <c r="S548" s="149">
        <f t="shared" si="22"/>
        <v>4.3099999999999999E-2</v>
      </c>
      <c r="T548" s="140">
        <v>3.8671999999999998E-2</v>
      </c>
      <c r="U548" s="157">
        <v>4.4280000000000014E-3</v>
      </c>
      <c r="V548" s="157">
        <v>2.2639999999999998</v>
      </c>
      <c r="W548" s="157">
        <v>10.436999999999999</v>
      </c>
      <c r="X548" s="149">
        <f t="shared" si="21"/>
        <v>23.629367999999996</v>
      </c>
      <c r="Y548" s="149"/>
    </row>
    <row r="549" spans="1:25" ht="16">
      <c r="A549" s="117" t="s">
        <v>3570</v>
      </c>
      <c r="B549" s="150" t="s">
        <v>619</v>
      </c>
      <c r="C549" s="149" t="s">
        <v>1744</v>
      </c>
      <c r="D549" s="149" t="s">
        <v>3555</v>
      </c>
      <c r="E549" s="149" t="s">
        <v>593</v>
      </c>
      <c r="F549" s="149">
        <v>-26.365555560000001</v>
      </c>
      <c r="G549" s="149">
        <v>135.79</v>
      </c>
      <c r="H549" s="149">
        <v>201</v>
      </c>
      <c r="I549" s="151">
        <v>42816</v>
      </c>
      <c r="J549" s="149" t="s">
        <v>36</v>
      </c>
      <c r="K549" s="149" t="s">
        <v>419</v>
      </c>
      <c r="L549" s="155" t="s">
        <v>2566</v>
      </c>
      <c r="M549" s="155" t="s">
        <v>2567</v>
      </c>
      <c r="N549" s="155" t="s">
        <v>2668</v>
      </c>
      <c r="O549" s="155" t="s">
        <v>2105</v>
      </c>
      <c r="P549" s="140" t="s">
        <v>2105</v>
      </c>
      <c r="Q549" s="140" t="s">
        <v>2387</v>
      </c>
      <c r="R549" s="155" t="s">
        <v>2713</v>
      </c>
      <c r="S549" s="149">
        <f t="shared" si="22"/>
        <v>1.1999999999999999E-3</v>
      </c>
      <c r="T549" s="149">
        <v>0</v>
      </c>
      <c r="U549" s="157">
        <v>1.1999999999999999E-3</v>
      </c>
      <c r="V549" s="157">
        <v>1.4</v>
      </c>
      <c r="W549" s="157">
        <v>5.8680000000000003</v>
      </c>
      <c r="X549" s="149">
        <f t="shared" si="21"/>
        <v>8.2151999999999994</v>
      </c>
      <c r="Y549" s="149"/>
    </row>
    <row r="550" spans="1:25" ht="16">
      <c r="A550" s="117" t="s">
        <v>3570</v>
      </c>
      <c r="B550" s="150" t="s">
        <v>620</v>
      </c>
      <c r="C550" s="149" t="s">
        <v>1744</v>
      </c>
      <c r="D550" s="149" t="s">
        <v>3555</v>
      </c>
      <c r="E550" s="149" t="s">
        <v>593</v>
      </c>
      <c r="F550" s="149">
        <v>-26.365555560000001</v>
      </c>
      <c r="G550" s="149">
        <v>135.79</v>
      </c>
      <c r="H550" s="149">
        <v>201</v>
      </c>
      <c r="I550" s="151">
        <v>42816</v>
      </c>
      <c r="J550" s="149" t="s">
        <v>36</v>
      </c>
      <c r="K550" s="149" t="s">
        <v>419</v>
      </c>
      <c r="L550" s="155" t="s">
        <v>2566</v>
      </c>
      <c r="M550" s="155" t="s">
        <v>2567</v>
      </c>
      <c r="N550" s="155" t="s">
        <v>2668</v>
      </c>
      <c r="O550" s="155" t="s">
        <v>2105</v>
      </c>
      <c r="P550" s="140" t="s">
        <v>2105</v>
      </c>
      <c r="Q550" s="140" t="s">
        <v>2387</v>
      </c>
      <c r="R550" s="155" t="s">
        <v>2713</v>
      </c>
      <c r="S550" s="149">
        <f t="shared" si="22"/>
        <v>2.2000000000000001E-3</v>
      </c>
      <c r="T550" s="149">
        <v>0</v>
      </c>
      <c r="U550" s="157">
        <v>2.2000000000000001E-3</v>
      </c>
      <c r="V550" s="157">
        <v>1.37</v>
      </c>
      <c r="W550" s="157">
        <v>5.75</v>
      </c>
      <c r="X550" s="149">
        <f t="shared" si="21"/>
        <v>7.8775000000000004</v>
      </c>
      <c r="Y550" s="149"/>
    </row>
    <row r="551" spans="1:25" ht="16">
      <c r="A551" s="117" t="s">
        <v>3570</v>
      </c>
      <c r="B551" s="150" t="s">
        <v>621</v>
      </c>
      <c r="C551" s="149" t="s">
        <v>1744</v>
      </c>
      <c r="D551" s="149" t="s">
        <v>3555</v>
      </c>
      <c r="E551" s="149" t="s">
        <v>593</v>
      </c>
      <c r="F551" s="149">
        <v>-26.365555560000001</v>
      </c>
      <c r="G551" s="149">
        <v>135.79</v>
      </c>
      <c r="H551" s="149">
        <v>201</v>
      </c>
      <c r="I551" s="151">
        <v>42816</v>
      </c>
      <c r="J551" s="149" t="s">
        <v>36</v>
      </c>
      <c r="K551" s="149" t="s">
        <v>419</v>
      </c>
      <c r="L551" s="140" t="s">
        <v>2566</v>
      </c>
      <c r="M551" s="140" t="s">
        <v>2567</v>
      </c>
      <c r="N551" s="140" t="s">
        <v>2668</v>
      </c>
      <c r="O551" s="140" t="s">
        <v>2600</v>
      </c>
      <c r="P551" s="140" t="s">
        <v>2735</v>
      </c>
      <c r="Q551" s="140" t="s">
        <v>2667</v>
      </c>
      <c r="R551" s="140" t="s">
        <v>2712</v>
      </c>
      <c r="S551" s="149">
        <f t="shared" si="22"/>
        <v>3.0999999999999999E-3</v>
      </c>
      <c r="T551" s="149">
        <v>0</v>
      </c>
      <c r="U551" s="157">
        <v>3.0999999999999999E-3</v>
      </c>
      <c r="V551" s="157">
        <v>1.56</v>
      </c>
      <c r="W551" s="157">
        <v>7.2329999999999997</v>
      </c>
      <c r="X551" s="149">
        <f t="shared" si="21"/>
        <v>11.283479999999999</v>
      </c>
      <c r="Y551" s="149"/>
    </row>
    <row r="552" spans="1:25" ht="16">
      <c r="A552" s="117" t="s">
        <v>3570</v>
      </c>
      <c r="B552" s="150" t="s">
        <v>623</v>
      </c>
      <c r="C552" s="149" t="s">
        <v>1744</v>
      </c>
      <c r="D552" s="149" t="s">
        <v>3555</v>
      </c>
      <c r="E552" s="149" t="s">
        <v>593</v>
      </c>
      <c r="F552" s="149">
        <v>-26.365555560000001</v>
      </c>
      <c r="G552" s="149">
        <v>135.79</v>
      </c>
      <c r="H552" s="149">
        <v>201</v>
      </c>
      <c r="I552" s="151">
        <v>42816</v>
      </c>
      <c r="J552" s="149" t="s">
        <v>36</v>
      </c>
      <c r="K552" s="149" t="s">
        <v>419</v>
      </c>
      <c r="L552" s="155" t="s">
        <v>2566</v>
      </c>
      <c r="M552" s="155" t="s">
        <v>2567</v>
      </c>
      <c r="N552" s="155" t="s">
        <v>2668</v>
      </c>
      <c r="O552" s="155" t="s">
        <v>2105</v>
      </c>
      <c r="P552" s="140" t="s">
        <v>2105</v>
      </c>
      <c r="Q552" s="140" t="s">
        <v>2387</v>
      </c>
      <c r="R552" s="155" t="s">
        <v>2713</v>
      </c>
      <c r="S552" s="149">
        <f t="shared" si="22"/>
        <v>1E-3</v>
      </c>
      <c r="T552" s="149">
        <v>0</v>
      </c>
      <c r="U552" s="157">
        <v>1E-3</v>
      </c>
      <c r="V552" s="157">
        <v>1.679</v>
      </c>
      <c r="W552" s="157">
        <v>6.8689999999999998</v>
      </c>
      <c r="X552" s="149">
        <f t="shared" si="21"/>
        <v>11.533051</v>
      </c>
      <c r="Y552" s="149"/>
    </row>
    <row r="553" spans="1:25" ht="16">
      <c r="A553" s="117" t="s">
        <v>3570</v>
      </c>
      <c r="B553" s="150" t="s">
        <v>624</v>
      </c>
      <c r="C553" s="149" t="s">
        <v>1744</v>
      </c>
      <c r="D553" s="149" t="s">
        <v>3555</v>
      </c>
      <c r="E553" s="149" t="s">
        <v>593</v>
      </c>
      <c r="F553" s="149">
        <v>-26.365555560000001</v>
      </c>
      <c r="G553" s="149">
        <v>135.79</v>
      </c>
      <c r="H553" s="149">
        <v>201</v>
      </c>
      <c r="I553" s="151">
        <v>42816</v>
      </c>
      <c r="J553" s="149" t="s">
        <v>36</v>
      </c>
      <c r="K553" s="149" t="s">
        <v>419</v>
      </c>
      <c r="L553" s="155" t="s">
        <v>2566</v>
      </c>
      <c r="M553" s="155" t="s">
        <v>2567</v>
      </c>
      <c r="N553" s="155" t="s">
        <v>2668</v>
      </c>
      <c r="O553" s="155" t="s">
        <v>2105</v>
      </c>
      <c r="P553" s="140" t="s">
        <v>2105</v>
      </c>
      <c r="Q553" s="140" t="s">
        <v>2387</v>
      </c>
      <c r="R553" s="155" t="s">
        <v>2713</v>
      </c>
      <c r="S553" s="149">
        <f t="shared" si="22"/>
        <v>1.4E-3</v>
      </c>
      <c r="T553" s="149">
        <v>0</v>
      </c>
      <c r="U553" s="157">
        <v>1.4E-3</v>
      </c>
      <c r="V553" s="157">
        <v>1.569</v>
      </c>
      <c r="W553" s="157">
        <v>6.3220000000000001</v>
      </c>
      <c r="X553" s="149">
        <f t="shared" si="21"/>
        <v>9.919217999999999</v>
      </c>
      <c r="Y553" s="149"/>
    </row>
    <row r="554" spans="1:25" ht="16">
      <c r="A554" s="117" t="s">
        <v>3570</v>
      </c>
      <c r="B554" s="150" t="s">
        <v>625</v>
      </c>
      <c r="C554" s="149" t="s">
        <v>1744</v>
      </c>
      <c r="D554" s="149" t="s">
        <v>3555</v>
      </c>
      <c r="E554" s="149" t="s">
        <v>593</v>
      </c>
      <c r="F554" s="149">
        <v>-26.365555560000001</v>
      </c>
      <c r="G554" s="149">
        <v>135.79</v>
      </c>
      <c r="H554" s="149">
        <v>201</v>
      </c>
      <c r="I554" s="151">
        <v>42816</v>
      </c>
      <c r="J554" s="149" t="s">
        <v>36</v>
      </c>
      <c r="K554" s="149" t="s">
        <v>419</v>
      </c>
      <c r="L554" s="155" t="s">
        <v>2566</v>
      </c>
      <c r="M554" s="155" t="s">
        <v>2567</v>
      </c>
      <c r="N554" s="155" t="s">
        <v>2668</v>
      </c>
      <c r="O554" s="155" t="s">
        <v>2105</v>
      </c>
      <c r="P554" s="140" t="s">
        <v>2105</v>
      </c>
      <c r="Q554" s="140" t="s">
        <v>2387</v>
      </c>
      <c r="R554" s="155" t="s">
        <v>2713</v>
      </c>
      <c r="S554" s="149">
        <f t="shared" si="22"/>
        <v>2E-3</v>
      </c>
      <c r="T554" s="149">
        <v>0</v>
      </c>
      <c r="U554" s="157">
        <v>2E-3</v>
      </c>
      <c r="V554" s="157">
        <v>1.3720000000000001</v>
      </c>
      <c r="W554" s="157">
        <v>5.7080000000000002</v>
      </c>
      <c r="X554" s="149">
        <f t="shared" si="21"/>
        <v>7.8313760000000006</v>
      </c>
      <c r="Y554" s="149"/>
    </row>
    <row r="555" spans="1:25" ht="16">
      <c r="A555" s="117" t="s">
        <v>3570</v>
      </c>
      <c r="B555" s="150" t="s">
        <v>626</v>
      </c>
      <c r="C555" s="149" t="s">
        <v>1744</v>
      </c>
      <c r="D555" s="149" t="s">
        <v>3555</v>
      </c>
      <c r="E555" s="149" t="s">
        <v>593</v>
      </c>
      <c r="F555" s="149">
        <v>-26.365555560000001</v>
      </c>
      <c r="G555" s="149">
        <v>135.79</v>
      </c>
      <c r="H555" s="149">
        <v>201</v>
      </c>
      <c r="I555" s="151">
        <v>42816</v>
      </c>
      <c r="J555" s="149" t="s">
        <v>36</v>
      </c>
      <c r="K555" s="149" t="s">
        <v>419</v>
      </c>
      <c r="L555" s="140" t="s">
        <v>2566</v>
      </c>
      <c r="M555" s="140" t="s">
        <v>2567</v>
      </c>
      <c r="N555" s="140" t="s">
        <v>2668</v>
      </c>
      <c r="O555" s="140" t="s">
        <v>2105</v>
      </c>
      <c r="P555" s="140" t="s">
        <v>2105</v>
      </c>
      <c r="Q555" s="140" t="s">
        <v>2387</v>
      </c>
      <c r="R555" s="140" t="s">
        <v>2713</v>
      </c>
      <c r="S555" s="149">
        <f t="shared" si="22"/>
        <v>8.0000000000000004E-4</v>
      </c>
      <c r="T555" s="149">
        <v>0</v>
      </c>
      <c r="U555" s="157">
        <v>8.0000000000000004E-4</v>
      </c>
      <c r="V555" s="157">
        <v>1.617</v>
      </c>
      <c r="W555" s="157">
        <v>6.8049999999999997</v>
      </c>
      <c r="X555" s="149">
        <f t="shared" si="21"/>
        <v>11.003684999999999</v>
      </c>
      <c r="Y555" s="149"/>
    </row>
    <row r="556" spans="1:25" ht="16">
      <c r="A556" s="117" t="s">
        <v>3570</v>
      </c>
      <c r="B556" s="150" t="s">
        <v>627</v>
      </c>
      <c r="C556" s="149" t="s">
        <v>1744</v>
      </c>
      <c r="D556" s="149" t="s">
        <v>3555</v>
      </c>
      <c r="E556" s="149" t="s">
        <v>593</v>
      </c>
      <c r="F556" s="149">
        <v>-26.365555560000001</v>
      </c>
      <c r="G556" s="149">
        <v>135.79</v>
      </c>
      <c r="H556" s="149">
        <v>201</v>
      </c>
      <c r="I556" s="151">
        <v>42816</v>
      </c>
      <c r="J556" s="149" t="s">
        <v>36</v>
      </c>
      <c r="K556" s="149" t="s">
        <v>419</v>
      </c>
      <c r="L556" s="155" t="s">
        <v>2566</v>
      </c>
      <c r="M556" s="155" t="s">
        <v>2567</v>
      </c>
      <c r="N556" s="155" t="s">
        <v>2668</v>
      </c>
      <c r="O556" s="155" t="s">
        <v>2105</v>
      </c>
      <c r="P556" s="140" t="s">
        <v>2105</v>
      </c>
      <c r="Q556" s="140" t="s">
        <v>2387</v>
      </c>
      <c r="R556" s="155" t="s">
        <v>2713</v>
      </c>
      <c r="S556" s="149">
        <f t="shared" si="22"/>
        <v>1.6000000000000001E-3</v>
      </c>
      <c r="T556" s="149">
        <v>0</v>
      </c>
      <c r="U556" s="157">
        <v>1.6000000000000001E-3</v>
      </c>
      <c r="V556" s="157">
        <v>1.399</v>
      </c>
      <c r="W556" s="157">
        <v>6.2370000000000001</v>
      </c>
      <c r="X556" s="149">
        <f t="shared" si="21"/>
        <v>8.7255630000000011</v>
      </c>
      <c r="Y556" s="149"/>
    </row>
    <row r="557" spans="1:25" ht="16">
      <c r="A557" s="117" t="s">
        <v>3570</v>
      </c>
      <c r="B557" s="150" t="s">
        <v>628</v>
      </c>
      <c r="C557" s="149" t="s">
        <v>1744</v>
      </c>
      <c r="D557" s="149" t="s">
        <v>3555</v>
      </c>
      <c r="E557" s="149" t="s">
        <v>593</v>
      </c>
      <c r="F557" s="149">
        <v>-26.365555560000001</v>
      </c>
      <c r="G557" s="149">
        <v>135.79</v>
      </c>
      <c r="H557" s="149">
        <v>201</v>
      </c>
      <c r="I557" s="151">
        <v>42816</v>
      </c>
      <c r="J557" s="149" t="s">
        <v>36</v>
      </c>
      <c r="K557" s="149" t="s">
        <v>419</v>
      </c>
      <c r="L557" s="155" t="s">
        <v>2566</v>
      </c>
      <c r="M557" s="155" t="s">
        <v>2567</v>
      </c>
      <c r="N557" s="155" t="s">
        <v>2668</v>
      </c>
      <c r="O557" s="155" t="s">
        <v>2105</v>
      </c>
      <c r="P557" s="140" t="s">
        <v>2105</v>
      </c>
      <c r="Q557" s="140" t="s">
        <v>2387</v>
      </c>
      <c r="R557" s="155" t="s">
        <v>2713</v>
      </c>
      <c r="S557" s="149">
        <f t="shared" si="22"/>
        <v>8.9999999999999998E-4</v>
      </c>
      <c r="T557" s="149">
        <v>0</v>
      </c>
      <c r="U557" s="157">
        <v>8.9999999999999998E-4</v>
      </c>
      <c r="V557" s="157">
        <v>1.494</v>
      </c>
      <c r="W557" s="157">
        <v>7.51</v>
      </c>
      <c r="X557" s="149">
        <f t="shared" si="21"/>
        <v>11.219939999999999</v>
      </c>
      <c r="Y557" s="149"/>
    </row>
    <row r="558" spans="1:25" ht="16">
      <c r="A558" s="117" t="s">
        <v>3570</v>
      </c>
      <c r="B558" s="150" t="s">
        <v>442</v>
      </c>
      <c r="C558" s="149" t="s">
        <v>1744</v>
      </c>
      <c r="D558" s="149" t="s">
        <v>3555</v>
      </c>
      <c r="E558" s="149" t="s">
        <v>418</v>
      </c>
      <c r="F558" s="149">
        <v>-26.284722200000001</v>
      </c>
      <c r="G558" s="149">
        <v>136.09805556000001</v>
      </c>
      <c r="H558" s="149">
        <v>201</v>
      </c>
      <c r="I558" s="151">
        <v>42816</v>
      </c>
      <c r="J558" s="149" t="s">
        <v>36</v>
      </c>
      <c r="K558" s="149" t="s">
        <v>419</v>
      </c>
      <c r="L558" s="140" t="s">
        <v>2566</v>
      </c>
      <c r="M558" s="140" t="s">
        <v>2574</v>
      </c>
      <c r="N558" s="140" t="s">
        <v>3191</v>
      </c>
      <c r="O558" s="149" t="s">
        <v>2111</v>
      </c>
      <c r="P558" s="149" t="s">
        <v>2739</v>
      </c>
      <c r="Q558" s="140" t="s">
        <v>2692</v>
      </c>
      <c r="R558" s="140" t="s">
        <v>2713</v>
      </c>
      <c r="S558" s="149">
        <f t="shared" si="22"/>
        <v>4.53E-2</v>
      </c>
      <c r="T558" s="140">
        <v>3.8671999999999998E-2</v>
      </c>
      <c r="U558" s="157">
        <v>6.6280000000000019E-3</v>
      </c>
      <c r="V558" s="157">
        <v>2.3769999999999998</v>
      </c>
      <c r="W558" s="157">
        <v>10.942</v>
      </c>
      <c r="X558" s="149">
        <f t="shared" si="21"/>
        <v>26.009134</v>
      </c>
      <c r="Y558" s="149"/>
    </row>
    <row r="559" spans="1:25" ht="16">
      <c r="A559" s="117" t="s">
        <v>3570</v>
      </c>
      <c r="B559" s="150" t="s">
        <v>629</v>
      </c>
      <c r="C559" s="149" t="s">
        <v>1744</v>
      </c>
      <c r="D559" s="149" t="s">
        <v>3555</v>
      </c>
      <c r="E559" s="149" t="s">
        <v>593</v>
      </c>
      <c r="F559" s="149">
        <v>-26.365555560000001</v>
      </c>
      <c r="G559" s="149">
        <v>135.79</v>
      </c>
      <c r="H559" s="149">
        <v>201</v>
      </c>
      <c r="I559" s="151">
        <v>42816</v>
      </c>
      <c r="J559" s="149" t="s">
        <v>36</v>
      </c>
      <c r="K559" s="149" t="s">
        <v>419</v>
      </c>
      <c r="L559" s="155" t="s">
        <v>2566</v>
      </c>
      <c r="M559" s="155" t="s">
        <v>2567</v>
      </c>
      <c r="N559" s="155" t="s">
        <v>2668</v>
      </c>
      <c r="O559" s="155" t="s">
        <v>2105</v>
      </c>
      <c r="P559" s="140" t="s">
        <v>2105</v>
      </c>
      <c r="Q559" s="140" t="s">
        <v>2387</v>
      </c>
      <c r="R559" s="155" t="s">
        <v>2713</v>
      </c>
      <c r="S559" s="149">
        <f t="shared" si="22"/>
        <v>3.3999999999999998E-3</v>
      </c>
      <c r="T559" s="149">
        <v>0</v>
      </c>
      <c r="U559" s="157">
        <v>3.3999999999999998E-3</v>
      </c>
      <c r="V559" s="157">
        <v>1.448</v>
      </c>
      <c r="W559" s="157">
        <v>6.5620000000000003</v>
      </c>
      <c r="X559" s="149">
        <f t="shared" si="21"/>
        <v>9.5017759999999996</v>
      </c>
      <c r="Y559" s="149"/>
    </row>
    <row r="560" spans="1:25" ht="16">
      <c r="A560" s="117" t="s">
        <v>3570</v>
      </c>
      <c r="B560" s="150" t="s">
        <v>630</v>
      </c>
      <c r="C560" s="149" t="s">
        <v>1744</v>
      </c>
      <c r="D560" s="149" t="s">
        <v>3555</v>
      </c>
      <c r="E560" s="149" t="s">
        <v>593</v>
      </c>
      <c r="F560" s="149">
        <v>-26.365555560000001</v>
      </c>
      <c r="G560" s="149">
        <v>135.79</v>
      </c>
      <c r="H560" s="149">
        <v>201</v>
      </c>
      <c r="I560" s="151">
        <v>42816</v>
      </c>
      <c r="J560" s="149" t="s">
        <v>36</v>
      </c>
      <c r="K560" s="149" t="s">
        <v>419</v>
      </c>
      <c r="L560" s="155" t="s">
        <v>2566</v>
      </c>
      <c r="M560" s="155" t="s">
        <v>2567</v>
      </c>
      <c r="N560" s="155" t="s">
        <v>2668</v>
      </c>
      <c r="O560" s="140" t="s">
        <v>2600</v>
      </c>
      <c r="P560" s="149" t="s">
        <v>2735</v>
      </c>
      <c r="Q560" s="140" t="s">
        <v>2709</v>
      </c>
      <c r="R560" s="155" t="s">
        <v>2712</v>
      </c>
      <c r="S560" s="149">
        <f t="shared" si="22"/>
        <v>3.0999999999999999E-3</v>
      </c>
      <c r="T560" s="149">
        <v>0</v>
      </c>
      <c r="U560" s="157">
        <v>3.0999999999999999E-3</v>
      </c>
      <c r="V560" s="157">
        <v>1.1819999999999999</v>
      </c>
      <c r="W560" s="157">
        <v>7.1429999999999998</v>
      </c>
      <c r="X560" s="149">
        <f t="shared" ref="X560:X623" si="23">V560*W560</f>
        <v>8.4430259999999997</v>
      </c>
      <c r="Y560" s="149"/>
    </row>
    <row r="561" spans="1:25" ht="16">
      <c r="A561" s="117" t="s">
        <v>3570</v>
      </c>
      <c r="B561" s="150" t="s">
        <v>631</v>
      </c>
      <c r="C561" s="149" t="s">
        <v>1744</v>
      </c>
      <c r="D561" s="149" t="s">
        <v>3555</v>
      </c>
      <c r="E561" s="149" t="s">
        <v>593</v>
      </c>
      <c r="F561" s="149">
        <v>-26.365555560000001</v>
      </c>
      <c r="G561" s="149">
        <v>135.79</v>
      </c>
      <c r="H561" s="149">
        <v>201</v>
      </c>
      <c r="I561" s="151">
        <v>42816</v>
      </c>
      <c r="J561" s="149" t="s">
        <v>36</v>
      </c>
      <c r="K561" s="149" t="s">
        <v>419</v>
      </c>
      <c r="L561" s="140" t="s">
        <v>2566</v>
      </c>
      <c r="M561" s="140" t="s">
        <v>2567</v>
      </c>
      <c r="N561" s="140" t="s">
        <v>2668</v>
      </c>
      <c r="O561" s="140" t="s">
        <v>2105</v>
      </c>
      <c r="P561" s="140" t="s">
        <v>2105</v>
      </c>
      <c r="Q561" s="140" t="s">
        <v>2387</v>
      </c>
      <c r="R561" s="140" t="s">
        <v>2713</v>
      </c>
      <c r="S561" s="149">
        <f t="shared" si="22"/>
        <v>6.9999999999999999E-4</v>
      </c>
      <c r="T561" s="149">
        <v>0</v>
      </c>
      <c r="U561" s="157">
        <v>6.9999999999999999E-4</v>
      </c>
      <c r="V561" s="157">
        <v>1.675</v>
      </c>
      <c r="W561" s="157">
        <v>6.5780000000000003</v>
      </c>
      <c r="X561" s="149">
        <f t="shared" si="23"/>
        <v>11.01815</v>
      </c>
      <c r="Y561" s="149"/>
    </row>
    <row r="562" spans="1:25" ht="16">
      <c r="A562" s="117" t="s">
        <v>3570</v>
      </c>
      <c r="B562" s="150" t="s">
        <v>632</v>
      </c>
      <c r="C562" s="149" t="s">
        <v>1744</v>
      </c>
      <c r="D562" s="149" t="s">
        <v>3555</v>
      </c>
      <c r="E562" s="149" t="s">
        <v>593</v>
      </c>
      <c r="F562" s="149">
        <v>-26.365555560000001</v>
      </c>
      <c r="G562" s="149">
        <v>135.79</v>
      </c>
      <c r="H562" s="149">
        <v>201</v>
      </c>
      <c r="I562" s="151">
        <v>42816</v>
      </c>
      <c r="J562" s="149" t="s">
        <v>36</v>
      </c>
      <c r="K562" s="149" t="s">
        <v>419</v>
      </c>
      <c r="L562" s="155" t="s">
        <v>2566</v>
      </c>
      <c r="M562" s="155" t="s">
        <v>2567</v>
      </c>
      <c r="N562" s="155" t="s">
        <v>2668</v>
      </c>
      <c r="O562" s="155" t="s">
        <v>2105</v>
      </c>
      <c r="P562" s="140" t="s">
        <v>2105</v>
      </c>
      <c r="Q562" s="140" t="s">
        <v>2387</v>
      </c>
      <c r="R562" s="155" t="s">
        <v>2713</v>
      </c>
      <c r="S562" s="149">
        <f t="shared" si="22"/>
        <v>1.4E-3</v>
      </c>
      <c r="T562" s="149">
        <v>0</v>
      </c>
      <c r="U562" s="157">
        <v>1.4E-3</v>
      </c>
      <c r="V562" s="157">
        <v>1.4450000000000001</v>
      </c>
      <c r="W562" s="157">
        <v>6.968</v>
      </c>
      <c r="X562" s="149">
        <f t="shared" si="23"/>
        <v>10.068760000000001</v>
      </c>
      <c r="Y562" s="149"/>
    </row>
    <row r="563" spans="1:25" ht="16">
      <c r="A563" s="117" t="s">
        <v>3570</v>
      </c>
      <c r="B563" s="150" t="s">
        <v>633</v>
      </c>
      <c r="C563" s="149" t="s">
        <v>1744</v>
      </c>
      <c r="D563" s="149" t="s">
        <v>3555</v>
      </c>
      <c r="E563" s="149" t="s">
        <v>593</v>
      </c>
      <c r="F563" s="149">
        <v>-26.365555560000001</v>
      </c>
      <c r="G563" s="149">
        <v>135.79</v>
      </c>
      <c r="H563" s="149">
        <v>201</v>
      </c>
      <c r="I563" s="151">
        <v>42816</v>
      </c>
      <c r="J563" s="149" t="s">
        <v>36</v>
      </c>
      <c r="K563" s="149" t="s">
        <v>419</v>
      </c>
      <c r="L563" s="155" t="s">
        <v>2566</v>
      </c>
      <c r="M563" s="155" t="s">
        <v>2567</v>
      </c>
      <c r="N563" s="155" t="s">
        <v>2668</v>
      </c>
      <c r="O563" s="155" t="s">
        <v>2105</v>
      </c>
      <c r="P563" s="140" t="s">
        <v>2105</v>
      </c>
      <c r="Q563" s="140" t="s">
        <v>2387</v>
      </c>
      <c r="R563" s="155" t="s">
        <v>2713</v>
      </c>
      <c r="S563" s="149">
        <f t="shared" si="22"/>
        <v>5.9999999999999995E-4</v>
      </c>
      <c r="T563" s="149">
        <v>0</v>
      </c>
      <c r="U563" s="157">
        <v>5.9999999999999995E-4</v>
      </c>
      <c r="V563" s="157">
        <v>1.448</v>
      </c>
      <c r="W563" s="157">
        <v>5.9409999999999998</v>
      </c>
      <c r="X563" s="149">
        <f t="shared" si="23"/>
        <v>8.6025679999999998</v>
      </c>
      <c r="Y563" s="149"/>
    </row>
    <row r="564" spans="1:25" ht="16">
      <c r="A564" s="117" t="s">
        <v>3570</v>
      </c>
      <c r="B564" s="150" t="s">
        <v>634</v>
      </c>
      <c r="C564" s="149" t="s">
        <v>1744</v>
      </c>
      <c r="D564" s="149" t="s">
        <v>3555</v>
      </c>
      <c r="E564" s="149" t="s">
        <v>593</v>
      </c>
      <c r="F564" s="149">
        <v>-26.365555560000001</v>
      </c>
      <c r="G564" s="149">
        <v>135.79</v>
      </c>
      <c r="H564" s="149">
        <v>201</v>
      </c>
      <c r="I564" s="151">
        <v>42816</v>
      </c>
      <c r="J564" s="149" t="s">
        <v>36</v>
      </c>
      <c r="K564" s="149" t="s">
        <v>419</v>
      </c>
      <c r="L564" s="140" t="s">
        <v>2566</v>
      </c>
      <c r="M564" s="140" t="s">
        <v>2567</v>
      </c>
      <c r="N564" s="140" t="s">
        <v>2668</v>
      </c>
      <c r="O564" s="140" t="s">
        <v>2105</v>
      </c>
      <c r="P564" s="140" t="s">
        <v>2105</v>
      </c>
      <c r="Q564" s="140" t="s">
        <v>2387</v>
      </c>
      <c r="R564" s="140" t="s">
        <v>2713</v>
      </c>
      <c r="S564" s="149">
        <f t="shared" si="22"/>
        <v>2.9999999999999997E-4</v>
      </c>
      <c r="T564" s="149">
        <v>0</v>
      </c>
      <c r="U564" s="157">
        <v>2.9999999999999997E-4</v>
      </c>
      <c r="V564" s="157">
        <v>1.365</v>
      </c>
      <c r="W564" s="157">
        <v>5.3579999999999997</v>
      </c>
      <c r="X564" s="149">
        <f t="shared" si="23"/>
        <v>7.3136699999999992</v>
      </c>
      <c r="Y564" s="149"/>
    </row>
    <row r="565" spans="1:25" ht="16">
      <c r="A565" s="117" t="s">
        <v>3570</v>
      </c>
      <c r="B565" s="150" t="s">
        <v>636</v>
      </c>
      <c r="C565" s="149" t="s">
        <v>1744</v>
      </c>
      <c r="D565" s="149" t="s">
        <v>3555</v>
      </c>
      <c r="E565" s="149" t="s">
        <v>593</v>
      </c>
      <c r="F565" s="149">
        <v>-26.365555560000001</v>
      </c>
      <c r="G565" s="149">
        <v>135.79</v>
      </c>
      <c r="H565" s="149">
        <v>201</v>
      </c>
      <c r="I565" s="151">
        <v>42816</v>
      </c>
      <c r="J565" s="149" t="s">
        <v>36</v>
      </c>
      <c r="K565" s="149" t="s">
        <v>419</v>
      </c>
      <c r="L565" s="155" t="s">
        <v>2566</v>
      </c>
      <c r="M565" s="155" t="s">
        <v>2567</v>
      </c>
      <c r="N565" s="155" t="s">
        <v>2668</v>
      </c>
      <c r="O565" s="155" t="s">
        <v>2105</v>
      </c>
      <c r="P565" s="140" t="s">
        <v>2105</v>
      </c>
      <c r="Q565" s="140" t="s">
        <v>2387</v>
      </c>
      <c r="R565" s="155" t="s">
        <v>2712</v>
      </c>
      <c r="S565" s="149">
        <f t="shared" si="22"/>
        <v>3.0999999999999999E-3</v>
      </c>
      <c r="T565" s="149">
        <v>0</v>
      </c>
      <c r="U565" s="157">
        <v>3.0999999999999999E-3</v>
      </c>
      <c r="V565" s="157">
        <v>1.1910000000000001</v>
      </c>
      <c r="W565" s="157">
        <v>5.3810000000000002</v>
      </c>
      <c r="X565" s="149">
        <f t="shared" si="23"/>
        <v>6.4087710000000007</v>
      </c>
      <c r="Y565" s="149"/>
    </row>
    <row r="566" spans="1:25" ht="16">
      <c r="A566" s="117" t="s">
        <v>3570</v>
      </c>
      <c r="B566" s="150" t="s">
        <v>637</v>
      </c>
      <c r="C566" s="149" t="s">
        <v>1744</v>
      </c>
      <c r="D566" s="149" t="s">
        <v>3555</v>
      </c>
      <c r="E566" s="149" t="s">
        <v>593</v>
      </c>
      <c r="F566" s="149">
        <v>-26.365555560000001</v>
      </c>
      <c r="G566" s="149">
        <v>135.79</v>
      </c>
      <c r="H566" s="149">
        <v>201</v>
      </c>
      <c r="I566" s="151">
        <v>42816</v>
      </c>
      <c r="J566" s="149" t="s">
        <v>36</v>
      </c>
      <c r="K566" s="149" t="s">
        <v>419</v>
      </c>
      <c r="L566" s="140" t="s">
        <v>2566</v>
      </c>
      <c r="M566" s="140" t="s">
        <v>2567</v>
      </c>
      <c r="N566" s="140" t="s">
        <v>2668</v>
      </c>
      <c r="O566" s="140" t="s">
        <v>2105</v>
      </c>
      <c r="P566" s="140" t="s">
        <v>2105</v>
      </c>
      <c r="Q566" s="140" t="s">
        <v>2387</v>
      </c>
      <c r="R566" s="140" t="s">
        <v>2713</v>
      </c>
      <c r="S566" s="149">
        <f t="shared" si="22"/>
        <v>2.9999999999999997E-4</v>
      </c>
      <c r="T566" s="149">
        <v>0</v>
      </c>
      <c r="U566" s="157">
        <v>2.9999999999999997E-4</v>
      </c>
      <c r="V566" s="157">
        <v>1.546</v>
      </c>
      <c r="W566" s="157">
        <v>6.524</v>
      </c>
      <c r="X566" s="149">
        <f t="shared" si="23"/>
        <v>10.086104000000001</v>
      </c>
      <c r="Y566" s="149"/>
    </row>
    <row r="567" spans="1:25" ht="16">
      <c r="A567" s="117" t="s">
        <v>3570</v>
      </c>
      <c r="B567" s="150" t="s">
        <v>638</v>
      </c>
      <c r="C567" s="149" t="s">
        <v>1744</v>
      </c>
      <c r="D567" s="149" t="s">
        <v>3555</v>
      </c>
      <c r="E567" s="149" t="s">
        <v>593</v>
      </c>
      <c r="F567" s="149">
        <v>-26.365555560000001</v>
      </c>
      <c r="G567" s="149">
        <v>135.79</v>
      </c>
      <c r="H567" s="149">
        <v>201</v>
      </c>
      <c r="I567" s="151">
        <v>42816</v>
      </c>
      <c r="J567" s="149" t="s">
        <v>36</v>
      </c>
      <c r="K567" s="149" t="s">
        <v>419</v>
      </c>
      <c r="L567" s="155" t="s">
        <v>2566</v>
      </c>
      <c r="M567" s="155" t="s">
        <v>2567</v>
      </c>
      <c r="N567" s="155" t="s">
        <v>2668</v>
      </c>
      <c r="O567" s="155" t="s">
        <v>2105</v>
      </c>
      <c r="P567" s="140" t="s">
        <v>2105</v>
      </c>
      <c r="Q567" s="140" t="s">
        <v>2387</v>
      </c>
      <c r="R567" s="155" t="s">
        <v>2713</v>
      </c>
      <c r="S567" s="149">
        <f t="shared" si="22"/>
        <v>1.1999999999999999E-3</v>
      </c>
      <c r="T567" s="149">
        <v>0</v>
      </c>
      <c r="U567" s="157">
        <v>1.1999999999999999E-3</v>
      </c>
      <c r="V567" s="157">
        <v>1.44</v>
      </c>
      <c r="W567" s="157">
        <v>5.9509999999999996</v>
      </c>
      <c r="X567" s="149">
        <f t="shared" si="23"/>
        <v>8.5694399999999984</v>
      </c>
      <c r="Y567" s="149"/>
    </row>
    <row r="568" spans="1:25" ht="16">
      <c r="A568" s="117" t="s">
        <v>3570</v>
      </c>
      <c r="B568" s="150" t="s">
        <v>443</v>
      </c>
      <c r="C568" s="149" t="s">
        <v>1744</v>
      </c>
      <c r="D568" s="149" t="s">
        <v>3555</v>
      </c>
      <c r="E568" s="149" t="s">
        <v>418</v>
      </c>
      <c r="F568" s="149">
        <v>-26.284722200000001</v>
      </c>
      <c r="G568" s="149">
        <v>136.09805556000001</v>
      </c>
      <c r="H568" s="149">
        <v>201</v>
      </c>
      <c r="I568" s="151">
        <v>42816</v>
      </c>
      <c r="J568" s="149" t="s">
        <v>36</v>
      </c>
      <c r="K568" s="149" t="s">
        <v>419</v>
      </c>
      <c r="L568" s="140" t="s">
        <v>2566</v>
      </c>
      <c r="M568" s="140" t="s">
        <v>2574</v>
      </c>
      <c r="N568" s="140" t="s">
        <v>3191</v>
      </c>
      <c r="O568" s="149" t="s">
        <v>2111</v>
      </c>
      <c r="P568" s="149" t="s">
        <v>2739</v>
      </c>
      <c r="Q568" s="140" t="s">
        <v>2692</v>
      </c>
      <c r="R568" s="140" t="s">
        <v>2712</v>
      </c>
      <c r="S568" s="149">
        <f t="shared" si="22"/>
        <v>3.3E-3</v>
      </c>
      <c r="T568" s="149">
        <v>0</v>
      </c>
      <c r="U568" s="157">
        <v>3.3E-3</v>
      </c>
      <c r="V568" s="157">
        <v>2.4060000000000001</v>
      </c>
      <c r="W568" s="157">
        <v>10.077999999999999</v>
      </c>
      <c r="X568" s="149">
        <f t="shared" si="23"/>
        <v>24.247668000000001</v>
      </c>
      <c r="Y568" s="149"/>
    </row>
    <row r="569" spans="1:25" ht="16">
      <c r="A569" s="117" t="s">
        <v>3570</v>
      </c>
      <c r="B569" s="150" t="s">
        <v>639</v>
      </c>
      <c r="C569" s="149" t="s">
        <v>1744</v>
      </c>
      <c r="D569" s="149" t="s">
        <v>3555</v>
      </c>
      <c r="E569" s="149" t="s">
        <v>593</v>
      </c>
      <c r="F569" s="149">
        <v>-26.365555560000001</v>
      </c>
      <c r="G569" s="149">
        <v>135.79</v>
      </c>
      <c r="H569" s="149">
        <v>201</v>
      </c>
      <c r="I569" s="151">
        <v>42816</v>
      </c>
      <c r="J569" s="149" t="s">
        <v>36</v>
      </c>
      <c r="K569" s="149" t="s">
        <v>419</v>
      </c>
      <c r="L569" s="155" t="s">
        <v>2566</v>
      </c>
      <c r="M569" s="155" t="s">
        <v>2567</v>
      </c>
      <c r="N569" s="155" t="s">
        <v>2668</v>
      </c>
      <c r="O569" s="155" t="s">
        <v>2105</v>
      </c>
      <c r="P569" s="140" t="s">
        <v>2105</v>
      </c>
      <c r="Q569" s="140" t="s">
        <v>2387</v>
      </c>
      <c r="R569" s="155" t="s">
        <v>2713</v>
      </c>
      <c r="S569" s="149">
        <f t="shared" si="22"/>
        <v>1.6000000000000001E-3</v>
      </c>
      <c r="T569" s="149">
        <v>0</v>
      </c>
      <c r="U569" s="157">
        <v>1.6000000000000001E-3</v>
      </c>
      <c r="V569" s="157">
        <v>1.5449999999999999</v>
      </c>
      <c r="W569" s="157">
        <v>6.36</v>
      </c>
      <c r="X569" s="149">
        <f t="shared" si="23"/>
        <v>9.8262</v>
      </c>
      <c r="Y569" s="149"/>
    </row>
    <row r="570" spans="1:25" ht="16">
      <c r="A570" s="117" t="s">
        <v>3570</v>
      </c>
      <c r="B570" s="150" t="s">
        <v>640</v>
      </c>
      <c r="C570" s="149" t="s">
        <v>1744</v>
      </c>
      <c r="D570" s="149" t="s">
        <v>3555</v>
      </c>
      <c r="E570" s="149" t="s">
        <v>593</v>
      </c>
      <c r="F570" s="149">
        <v>-26.365555560000001</v>
      </c>
      <c r="G570" s="149">
        <v>135.79</v>
      </c>
      <c r="H570" s="149">
        <v>201</v>
      </c>
      <c r="I570" s="151">
        <v>42816</v>
      </c>
      <c r="J570" s="149" t="s">
        <v>36</v>
      </c>
      <c r="K570" s="149" t="s">
        <v>419</v>
      </c>
      <c r="L570" s="140" t="s">
        <v>2566</v>
      </c>
      <c r="M570" s="140" t="s">
        <v>2567</v>
      </c>
      <c r="N570" s="140" t="s">
        <v>2668</v>
      </c>
      <c r="O570" s="140" t="s">
        <v>2105</v>
      </c>
      <c r="P570" s="140" t="s">
        <v>2105</v>
      </c>
      <c r="Q570" s="140" t="s">
        <v>2387</v>
      </c>
      <c r="R570" s="140" t="s">
        <v>2713</v>
      </c>
      <c r="S570" s="149">
        <f t="shared" si="22"/>
        <v>3.3E-3</v>
      </c>
      <c r="T570" s="149">
        <v>0</v>
      </c>
      <c r="U570" s="157">
        <v>3.3E-3</v>
      </c>
      <c r="V570" s="157">
        <v>1.619</v>
      </c>
      <c r="W570" s="157">
        <v>7.3739999999999997</v>
      </c>
      <c r="X570" s="149">
        <f t="shared" si="23"/>
        <v>11.938506</v>
      </c>
      <c r="Y570" s="149"/>
    </row>
    <row r="571" spans="1:25" ht="16">
      <c r="A571" s="117" t="s">
        <v>3570</v>
      </c>
      <c r="B571" s="150" t="s">
        <v>641</v>
      </c>
      <c r="C571" s="149" t="s">
        <v>1744</v>
      </c>
      <c r="D571" s="149" t="s">
        <v>3555</v>
      </c>
      <c r="E571" s="149" t="s">
        <v>593</v>
      </c>
      <c r="F571" s="149">
        <v>-26.365555560000001</v>
      </c>
      <c r="G571" s="149">
        <v>135.79</v>
      </c>
      <c r="H571" s="149">
        <v>201</v>
      </c>
      <c r="I571" s="151">
        <v>42816</v>
      </c>
      <c r="J571" s="149" t="s">
        <v>36</v>
      </c>
      <c r="K571" s="149" t="s">
        <v>419</v>
      </c>
      <c r="L571" s="155" t="s">
        <v>2566</v>
      </c>
      <c r="M571" s="155" t="s">
        <v>2567</v>
      </c>
      <c r="N571" s="155" t="s">
        <v>2668</v>
      </c>
      <c r="O571" s="155" t="s">
        <v>2105</v>
      </c>
      <c r="P571" s="140" t="s">
        <v>2105</v>
      </c>
      <c r="Q571" s="140" t="s">
        <v>2387</v>
      </c>
      <c r="R571" s="155" t="s">
        <v>2713</v>
      </c>
      <c r="S571" s="149">
        <f t="shared" si="22"/>
        <v>5.9999999999999995E-4</v>
      </c>
      <c r="T571" s="149">
        <v>0</v>
      </c>
      <c r="U571" s="157">
        <v>5.9999999999999995E-4</v>
      </c>
      <c r="V571" s="157">
        <v>1.339</v>
      </c>
      <c r="W571" s="157">
        <v>5.6180000000000003</v>
      </c>
      <c r="X571" s="149">
        <f t="shared" si="23"/>
        <v>7.5225020000000002</v>
      </c>
      <c r="Y571" s="149"/>
    </row>
    <row r="572" spans="1:25" ht="16">
      <c r="A572" s="117" t="s">
        <v>3570</v>
      </c>
      <c r="B572" s="150" t="s">
        <v>642</v>
      </c>
      <c r="C572" s="149" t="s">
        <v>1744</v>
      </c>
      <c r="D572" s="149" t="s">
        <v>3555</v>
      </c>
      <c r="E572" s="149" t="s">
        <v>593</v>
      </c>
      <c r="F572" s="149">
        <v>-26.365555560000001</v>
      </c>
      <c r="G572" s="149">
        <v>135.79</v>
      </c>
      <c r="H572" s="149">
        <v>201</v>
      </c>
      <c r="I572" s="151">
        <v>42816</v>
      </c>
      <c r="J572" s="149" t="s">
        <v>36</v>
      </c>
      <c r="K572" s="149" t="s">
        <v>419</v>
      </c>
      <c r="L572" s="140" t="s">
        <v>2566</v>
      </c>
      <c r="M572" s="140" t="s">
        <v>2567</v>
      </c>
      <c r="N572" s="140" t="s">
        <v>2668</v>
      </c>
      <c r="O572" s="140" t="s">
        <v>2105</v>
      </c>
      <c r="P572" s="140" t="s">
        <v>2105</v>
      </c>
      <c r="Q572" s="140" t="s">
        <v>2387</v>
      </c>
      <c r="R572" s="140" t="s">
        <v>2713</v>
      </c>
      <c r="S572" s="149">
        <f t="shared" si="22"/>
        <v>8.0000000000000004E-4</v>
      </c>
      <c r="T572" s="149">
        <v>0</v>
      </c>
      <c r="U572" s="157">
        <v>8.0000000000000004E-4</v>
      </c>
      <c r="V572" s="157">
        <v>1.554</v>
      </c>
      <c r="W572" s="157">
        <v>6.0359999999999996</v>
      </c>
      <c r="X572" s="149">
        <f t="shared" si="23"/>
        <v>9.3799440000000001</v>
      </c>
      <c r="Y572" s="149"/>
    </row>
    <row r="573" spans="1:25" ht="16">
      <c r="A573" s="117" t="s">
        <v>3570</v>
      </c>
      <c r="B573" s="150" t="s">
        <v>643</v>
      </c>
      <c r="C573" s="149" t="s">
        <v>1744</v>
      </c>
      <c r="D573" s="149" t="s">
        <v>3555</v>
      </c>
      <c r="E573" s="149" t="s">
        <v>593</v>
      </c>
      <c r="F573" s="149">
        <v>-26.365555560000001</v>
      </c>
      <c r="G573" s="149">
        <v>135.79</v>
      </c>
      <c r="H573" s="149">
        <v>201</v>
      </c>
      <c r="I573" s="151">
        <v>42816</v>
      </c>
      <c r="J573" s="149" t="s">
        <v>36</v>
      </c>
      <c r="K573" s="149" t="s">
        <v>419</v>
      </c>
      <c r="L573" s="155" t="s">
        <v>2566</v>
      </c>
      <c r="M573" s="155" t="s">
        <v>2567</v>
      </c>
      <c r="N573" s="155" t="s">
        <v>2668</v>
      </c>
      <c r="O573" s="155" t="s">
        <v>2105</v>
      </c>
      <c r="P573" s="140" t="s">
        <v>2105</v>
      </c>
      <c r="Q573" s="140" t="s">
        <v>2387</v>
      </c>
      <c r="R573" s="155" t="s">
        <v>2713</v>
      </c>
      <c r="S573" s="149">
        <f t="shared" si="22"/>
        <v>2.9999999999999997E-4</v>
      </c>
      <c r="T573" s="149">
        <v>0</v>
      </c>
      <c r="U573" s="157">
        <v>2.9999999999999997E-4</v>
      </c>
      <c r="V573" s="157">
        <v>1.5009999999999999</v>
      </c>
      <c r="W573" s="157">
        <v>6.9489999999999998</v>
      </c>
      <c r="X573" s="149">
        <f t="shared" si="23"/>
        <v>10.430448999999999</v>
      </c>
      <c r="Y573" s="149"/>
    </row>
    <row r="574" spans="1:25" ht="16">
      <c r="A574" s="117" t="s">
        <v>3570</v>
      </c>
      <c r="B574" s="150" t="s">
        <v>644</v>
      </c>
      <c r="C574" s="149" t="s">
        <v>1744</v>
      </c>
      <c r="D574" s="149" t="s">
        <v>3555</v>
      </c>
      <c r="E574" s="149" t="s">
        <v>593</v>
      </c>
      <c r="F574" s="149">
        <v>-26.365555560000001</v>
      </c>
      <c r="G574" s="149">
        <v>135.79</v>
      </c>
      <c r="H574" s="149">
        <v>201</v>
      </c>
      <c r="I574" s="151">
        <v>42816</v>
      </c>
      <c r="J574" s="149" t="s">
        <v>36</v>
      </c>
      <c r="K574" s="149" t="s">
        <v>419</v>
      </c>
      <c r="L574" s="155" t="s">
        <v>2566</v>
      </c>
      <c r="M574" s="155" t="s">
        <v>2567</v>
      </c>
      <c r="N574" s="155" t="s">
        <v>2668</v>
      </c>
      <c r="O574" s="155" t="s">
        <v>2105</v>
      </c>
      <c r="P574" s="140" t="s">
        <v>2105</v>
      </c>
      <c r="Q574" s="140" t="s">
        <v>2387</v>
      </c>
      <c r="R574" s="155" t="s">
        <v>2713</v>
      </c>
      <c r="S574" s="149">
        <f t="shared" si="22"/>
        <v>2.7000000000000001E-3</v>
      </c>
      <c r="T574" s="149">
        <v>0</v>
      </c>
      <c r="U574" s="157">
        <v>2.7000000000000001E-3</v>
      </c>
      <c r="V574" s="157">
        <v>1.595</v>
      </c>
      <c r="W574" s="157">
        <v>7.5110000000000001</v>
      </c>
      <c r="X574" s="149">
        <f t="shared" si="23"/>
        <v>11.980045</v>
      </c>
      <c r="Y574" s="149"/>
    </row>
    <row r="575" spans="1:25" ht="16">
      <c r="A575" s="117" t="s">
        <v>3570</v>
      </c>
      <c r="B575" s="150" t="s">
        <v>645</v>
      </c>
      <c r="C575" s="149" t="s">
        <v>1744</v>
      </c>
      <c r="D575" s="149" t="s">
        <v>3555</v>
      </c>
      <c r="E575" s="149" t="s">
        <v>593</v>
      </c>
      <c r="F575" s="149">
        <v>-26.365555560000001</v>
      </c>
      <c r="G575" s="149">
        <v>135.79</v>
      </c>
      <c r="H575" s="149">
        <v>201</v>
      </c>
      <c r="I575" s="151">
        <v>42816</v>
      </c>
      <c r="J575" s="149" t="s">
        <v>36</v>
      </c>
      <c r="K575" s="149" t="s">
        <v>419</v>
      </c>
      <c r="L575" s="140" t="s">
        <v>2572</v>
      </c>
      <c r="M575" s="140" t="s">
        <v>2407</v>
      </c>
      <c r="N575" s="140" t="s">
        <v>36</v>
      </c>
      <c r="O575" s="140" t="s">
        <v>2215</v>
      </c>
      <c r="P575" s="140" t="s">
        <v>2215</v>
      </c>
      <c r="Q575" s="140" t="s">
        <v>2702</v>
      </c>
      <c r="R575" s="140" t="s">
        <v>2712</v>
      </c>
      <c r="S575" s="149">
        <f t="shared" si="22"/>
        <v>1.1999999999999999E-3</v>
      </c>
      <c r="T575" s="149">
        <v>0</v>
      </c>
      <c r="U575" s="157">
        <v>1.1999999999999999E-3</v>
      </c>
      <c r="V575" s="157">
        <v>1.43</v>
      </c>
      <c r="W575" s="157">
        <v>7.0570000000000004</v>
      </c>
      <c r="X575" s="149">
        <f t="shared" si="23"/>
        <v>10.09151</v>
      </c>
      <c r="Y575" s="149"/>
    </row>
    <row r="576" spans="1:25" ht="16">
      <c r="A576" s="117" t="s">
        <v>3570</v>
      </c>
      <c r="B576" s="150" t="s">
        <v>646</v>
      </c>
      <c r="C576" s="149" t="s">
        <v>1744</v>
      </c>
      <c r="D576" s="149" t="s">
        <v>3555</v>
      </c>
      <c r="E576" s="149" t="s">
        <v>593</v>
      </c>
      <c r="F576" s="149">
        <v>-26.365555560000001</v>
      </c>
      <c r="G576" s="149">
        <v>135.79</v>
      </c>
      <c r="H576" s="149">
        <v>201</v>
      </c>
      <c r="I576" s="151">
        <v>42816</v>
      </c>
      <c r="J576" s="149" t="s">
        <v>36</v>
      </c>
      <c r="K576" s="149" t="s">
        <v>419</v>
      </c>
      <c r="L576" s="155" t="s">
        <v>2566</v>
      </c>
      <c r="M576" s="155" t="s">
        <v>2567</v>
      </c>
      <c r="N576" s="155" t="s">
        <v>2668</v>
      </c>
      <c r="O576" s="155" t="s">
        <v>2105</v>
      </c>
      <c r="P576" s="140" t="s">
        <v>2105</v>
      </c>
      <c r="Q576" s="140" t="s">
        <v>2387</v>
      </c>
      <c r="R576" s="155" t="s">
        <v>2713</v>
      </c>
      <c r="S576" s="149">
        <f t="shared" si="22"/>
        <v>1.1000000000000001E-3</v>
      </c>
      <c r="T576" s="149">
        <v>0</v>
      </c>
      <c r="U576" s="157">
        <v>1.1000000000000001E-3</v>
      </c>
      <c r="V576" s="157">
        <v>1.415</v>
      </c>
      <c r="W576" s="157">
        <v>6.7629999999999999</v>
      </c>
      <c r="X576" s="149">
        <f t="shared" si="23"/>
        <v>9.5696449999999995</v>
      </c>
      <c r="Y576" s="149"/>
    </row>
    <row r="577" spans="1:25" ht="16">
      <c r="A577" s="117" t="s">
        <v>3570</v>
      </c>
      <c r="B577" s="150" t="s">
        <v>647</v>
      </c>
      <c r="C577" s="149" t="s">
        <v>1744</v>
      </c>
      <c r="D577" s="149" t="s">
        <v>3555</v>
      </c>
      <c r="E577" s="149" t="s">
        <v>593</v>
      </c>
      <c r="F577" s="149">
        <v>-26.365555560000001</v>
      </c>
      <c r="G577" s="149">
        <v>135.79</v>
      </c>
      <c r="H577" s="149">
        <v>201</v>
      </c>
      <c r="I577" s="151">
        <v>42816</v>
      </c>
      <c r="J577" s="149" t="s">
        <v>36</v>
      </c>
      <c r="K577" s="149" t="s">
        <v>419</v>
      </c>
      <c r="L577" s="140" t="s">
        <v>2566</v>
      </c>
      <c r="M577" s="140" t="s">
        <v>2567</v>
      </c>
      <c r="N577" s="140" t="s">
        <v>2668</v>
      </c>
      <c r="O577" s="140" t="s">
        <v>2105</v>
      </c>
      <c r="P577" s="140" t="s">
        <v>2105</v>
      </c>
      <c r="Q577" s="140" t="s">
        <v>2387</v>
      </c>
      <c r="R577" s="140" t="s">
        <v>2713</v>
      </c>
      <c r="S577" s="149">
        <f t="shared" si="22"/>
        <v>5.0000000000000001E-4</v>
      </c>
      <c r="T577" s="149">
        <v>0</v>
      </c>
      <c r="U577" s="157">
        <v>5.0000000000000001E-4</v>
      </c>
      <c r="V577" s="157">
        <v>1.653</v>
      </c>
      <c r="W577" s="157">
        <v>6.5540000000000003</v>
      </c>
      <c r="X577" s="149">
        <f t="shared" si="23"/>
        <v>10.833762</v>
      </c>
      <c r="Y577" s="149"/>
    </row>
    <row r="578" spans="1:25" ht="16">
      <c r="A578" s="117" t="s">
        <v>3570</v>
      </c>
      <c r="B578" s="150" t="s">
        <v>648</v>
      </c>
      <c r="C578" s="149" t="s">
        <v>1744</v>
      </c>
      <c r="D578" s="149" t="s">
        <v>3555</v>
      </c>
      <c r="E578" s="149" t="s">
        <v>593</v>
      </c>
      <c r="F578" s="149">
        <v>-26.365555560000001</v>
      </c>
      <c r="G578" s="149">
        <v>135.79</v>
      </c>
      <c r="H578" s="149">
        <v>201</v>
      </c>
      <c r="I578" s="151">
        <v>42816</v>
      </c>
      <c r="J578" s="149" t="s">
        <v>36</v>
      </c>
      <c r="K578" s="149" t="s">
        <v>419</v>
      </c>
      <c r="L578" s="155" t="s">
        <v>2566</v>
      </c>
      <c r="M578" s="155" t="s">
        <v>2567</v>
      </c>
      <c r="N578" s="155" t="s">
        <v>2668</v>
      </c>
      <c r="O578" s="155" t="s">
        <v>2105</v>
      </c>
      <c r="P578" s="140" t="s">
        <v>2105</v>
      </c>
      <c r="Q578" s="140" t="s">
        <v>2387</v>
      </c>
      <c r="R578" s="155" t="s">
        <v>2713</v>
      </c>
      <c r="S578" s="149">
        <f t="shared" si="22"/>
        <v>8.0000000000000004E-4</v>
      </c>
      <c r="T578" s="149">
        <v>0</v>
      </c>
      <c r="U578" s="157">
        <v>8.0000000000000004E-4</v>
      </c>
      <c r="V578" s="157">
        <v>1.5880000000000001</v>
      </c>
      <c r="W578" s="157">
        <v>6.9660000000000002</v>
      </c>
      <c r="X578" s="149">
        <f t="shared" si="23"/>
        <v>11.062008000000001</v>
      </c>
      <c r="Y578" s="149"/>
    </row>
    <row r="579" spans="1:25" ht="16">
      <c r="A579" s="117" t="s">
        <v>3570</v>
      </c>
      <c r="B579" s="150" t="s">
        <v>444</v>
      </c>
      <c r="C579" s="149" t="s">
        <v>1744</v>
      </c>
      <c r="D579" s="149" t="s">
        <v>3555</v>
      </c>
      <c r="E579" s="149" t="s">
        <v>418</v>
      </c>
      <c r="F579" s="149">
        <v>-26.284722200000001</v>
      </c>
      <c r="G579" s="149">
        <v>136.09805556000001</v>
      </c>
      <c r="H579" s="149">
        <v>201</v>
      </c>
      <c r="I579" s="151">
        <v>42816</v>
      </c>
      <c r="J579" s="149" t="s">
        <v>36</v>
      </c>
      <c r="K579" s="149" t="s">
        <v>419</v>
      </c>
      <c r="L579" s="149" t="s">
        <v>2569</v>
      </c>
      <c r="M579" s="149" t="s">
        <v>2570</v>
      </c>
      <c r="N579" s="149" t="s">
        <v>2571</v>
      </c>
      <c r="O579" s="140" t="s">
        <v>2369</v>
      </c>
      <c r="P579" s="140" t="s">
        <v>3556</v>
      </c>
      <c r="Q579" s="140" t="s">
        <v>2678</v>
      </c>
      <c r="R579" s="149" t="s">
        <v>2713</v>
      </c>
      <c r="S579" s="149">
        <f t="shared" si="22"/>
        <v>4.2700000000000002E-2</v>
      </c>
      <c r="T579" s="140">
        <v>3.8671999999999998E-2</v>
      </c>
      <c r="U579" s="157">
        <v>4.0280000000000038E-3</v>
      </c>
      <c r="V579" s="157">
        <v>2.5880000000000001</v>
      </c>
      <c r="W579" s="157">
        <v>9.82</v>
      </c>
      <c r="X579" s="149">
        <f t="shared" si="23"/>
        <v>25.414160000000003</v>
      </c>
      <c r="Y579" s="149"/>
    </row>
    <row r="580" spans="1:25" ht="16">
      <c r="A580" s="117" t="s">
        <v>3570</v>
      </c>
      <c r="B580" s="150" t="s">
        <v>649</v>
      </c>
      <c r="C580" s="149" t="s">
        <v>1744</v>
      </c>
      <c r="D580" s="149" t="s">
        <v>3555</v>
      </c>
      <c r="E580" s="149" t="s">
        <v>593</v>
      </c>
      <c r="F580" s="149">
        <v>-26.365555560000001</v>
      </c>
      <c r="G580" s="149">
        <v>135.79</v>
      </c>
      <c r="H580" s="149">
        <v>201</v>
      </c>
      <c r="I580" s="151">
        <v>42816</v>
      </c>
      <c r="J580" s="149" t="s">
        <v>36</v>
      </c>
      <c r="K580" s="149" t="s">
        <v>419</v>
      </c>
      <c r="L580" s="140" t="s">
        <v>2566</v>
      </c>
      <c r="M580" s="140" t="s">
        <v>2567</v>
      </c>
      <c r="N580" s="140" t="s">
        <v>2668</v>
      </c>
      <c r="O580" s="140" t="s">
        <v>2600</v>
      </c>
      <c r="P580" s="149" t="s">
        <v>2735</v>
      </c>
      <c r="Q580" s="140" t="s">
        <v>2667</v>
      </c>
      <c r="R580" s="140" t="s">
        <v>2712</v>
      </c>
      <c r="S580" s="149">
        <f t="shared" si="22"/>
        <v>2E-3</v>
      </c>
      <c r="T580" s="140">
        <v>0</v>
      </c>
      <c r="U580" s="157">
        <v>2E-3</v>
      </c>
      <c r="V580" s="157">
        <v>1.9910000000000001</v>
      </c>
      <c r="W580" s="157">
        <v>8.3659999999999997</v>
      </c>
      <c r="X580" s="149">
        <f t="shared" si="23"/>
        <v>16.656706</v>
      </c>
      <c r="Y580" s="149"/>
    </row>
    <row r="581" spans="1:25" ht="16">
      <c r="A581" s="117" t="s">
        <v>3570</v>
      </c>
      <c r="B581" s="150" t="s">
        <v>650</v>
      </c>
      <c r="C581" s="149" t="s">
        <v>1744</v>
      </c>
      <c r="D581" s="149" t="s">
        <v>3555</v>
      </c>
      <c r="E581" s="149" t="s">
        <v>593</v>
      </c>
      <c r="F581" s="149">
        <v>-26.365555560000001</v>
      </c>
      <c r="G581" s="149">
        <v>135.79</v>
      </c>
      <c r="H581" s="149">
        <v>201</v>
      </c>
      <c r="I581" s="151">
        <v>42816</v>
      </c>
      <c r="J581" s="149" t="s">
        <v>36</v>
      </c>
      <c r="K581" s="149" t="s">
        <v>419</v>
      </c>
      <c r="L581" s="140" t="s">
        <v>2566</v>
      </c>
      <c r="M581" s="140" t="s">
        <v>2567</v>
      </c>
      <c r="N581" s="140" t="s">
        <v>2668</v>
      </c>
      <c r="O581" s="140" t="s">
        <v>2105</v>
      </c>
      <c r="P581" s="140" t="s">
        <v>2105</v>
      </c>
      <c r="Q581" s="140" t="s">
        <v>2387</v>
      </c>
      <c r="R581" s="140" t="s">
        <v>2713</v>
      </c>
      <c r="S581" s="149">
        <f t="shared" si="22"/>
        <v>1.2999999999999999E-3</v>
      </c>
      <c r="T581" s="140">
        <v>0</v>
      </c>
      <c r="U581" s="157">
        <v>1.2999999999999999E-3</v>
      </c>
      <c r="V581" s="157">
        <v>1.52</v>
      </c>
      <c r="W581" s="157">
        <v>6.8979999999999997</v>
      </c>
      <c r="X581" s="149">
        <f t="shared" si="23"/>
        <v>10.484959999999999</v>
      </c>
      <c r="Y581" s="149"/>
    </row>
    <row r="582" spans="1:25" ht="16">
      <c r="A582" s="117" t="s">
        <v>3570</v>
      </c>
      <c r="B582" s="150" t="s">
        <v>651</v>
      </c>
      <c r="C582" s="149" t="s">
        <v>1744</v>
      </c>
      <c r="D582" s="149" t="s">
        <v>3555</v>
      </c>
      <c r="E582" s="149" t="s">
        <v>593</v>
      </c>
      <c r="F582" s="149">
        <v>-26.365555560000001</v>
      </c>
      <c r="G582" s="149">
        <v>135.79</v>
      </c>
      <c r="H582" s="149">
        <v>201</v>
      </c>
      <c r="I582" s="151">
        <v>42816</v>
      </c>
      <c r="J582" s="149" t="s">
        <v>36</v>
      </c>
      <c r="K582" s="149" t="s">
        <v>419</v>
      </c>
      <c r="L582" s="140" t="s">
        <v>2566</v>
      </c>
      <c r="M582" s="140" t="s">
        <v>2567</v>
      </c>
      <c r="N582" s="140" t="s">
        <v>2668</v>
      </c>
      <c r="O582" s="140" t="s">
        <v>2105</v>
      </c>
      <c r="P582" s="140" t="s">
        <v>2105</v>
      </c>
      <c r="Q582" s="140" t="s">
        <v>2387</v>
      </c>
      <c r="R582" s="140" t="s">
        <v>2713</v>
      </c>
      <c r="S582" s="149">
        <f t="shared" si="22"/>
        <v>1E-3</v>
      </c>
      <c r="T582" s="140">
        <v>0</v>
      </c>
      <c r="U582" s="157">
        <v>1E-3</v>
      </c>
      <c r="V582" s="157">
        <v>1.28</v>
      </c>
      <c r="W582" s="157">
        <v>5.5739999999999998</v>
      </c>
      <c r="X582" s="149">
        <f t="shared" si="23"/>
        <v>7.1347199999999997</v>
      </c>
      <c r="Y582" s="149"/>
    </row>
    <row r="583" spans="1:25" ht="16">
      <c r="A583" s="117" t="s">
        <v>3570</v>
      </c>
      <c r="B583" s="150" t="s">
        <v>652</v>
      </c>
      <c r="C583" s="149" t="s">
        <v>1744</v>
      </c>
      <c r="D583" s="149" t="s">
        <v>3555</v>
      </c>
      <c r="E583" s="149" t="s">
        <v>593</v>
      </c>
      <c r="F583" s="149">
        <v>-26.365555560000001</v>
      </c>
      <c r="G583" s="149">
        <v>135.79</v>
      </c>
      <c r="H583" s="149">
        <v>201</v>
      </c>
      <c r="I583" s="151">
        <v>42816</v>
      </c>
      <c r="J583" s="149" t="s">
        <v>36</v>
      </c>
      <c r="K583" s="149" t="s">
        <v>419</v>
      </c>
      <c r="L583" s="140" t="s">
        <v>2566</v>
      </c>
      <c r="M583" s="140" t="s">
        <v>2567</v>
      </c>
      <c r="N583" s="140" t="s">
        <v>2668</v>
      </c>
      <c r="O583" s="140" t="s">
        <v>2105</v>
      </c>
      <c r="P583" s="140" t="s">
        <v>2105</v>
      </c>
      <c r="Q583" s="140" t="s">
        <v>2387</v>
      </c>
      <c r="R583" s="140" t="s">
        <v>2713</v>
      </c>
      <c r="S583" s="149">
        <f t="shared" si="22"/>
        <v>8.0000000000000004E-4</v>
      </c>
      <c r="T583" s="149">
        <v>0</v>
      </c>
      <c r="U583" s="157">
        <v>8.0000000000000004E-4</v>
      </c>
      <c r="V583" s="157">
        <v>1.7210000000000001</v>
      </c>
      <c r="W583" s="157">
        <v>7.3680000000000003</v>
      </c>
      <c r="X583" s="149">
        <f t="shared" si="23"/>
        <v>12.680328000000001</v>
      </c>
      <c r="Y583" s="149"/>
    </row>
    <row r="584" spans="1:25" ht="16">
      <c r="A584" s="117" t="s">
        <v>3570</v>
      </c>
      <c r="B584" s="150" t="s">
        <v>653</v>
      </c>
      <c r="C584" s="149" t="s">
        <v>1744</v>
      </c>
      <c r="D584" s="149" t="s">
        <v>3555</v>
      </c>
      <c r="E584" s="149" t="s">
        <v>593</v>
      </c>
      <c r="F584" s="149">
        <v>-26.365555560000001</v>
      </c>
      <c r="G584" s="149">
        <v>135.79</v>
      </c>
      <c r="H584" s="149">
        <v>201</v>
      </c>
      <c r="I584" s="151">
        <v>42816</v>
      </c>
      <c r="J584" s="149" t="s">
        <v>36</v>
      </c>
      <c r="K584" s="149" t="s">
        <v>419</v>
      </c>
      <c r="L584" s="140" t="s">
        <v>2566</v>
      </c>
      <c r="M584" s="140" t="s">
        <v>2567</v>
      </c>
      <c r="N584" s="140" t="s">
        <v>2668</v>
      </c>
      <c r="O584" s="140" t="s">
        <v>2105</v>
      </c>
      <c r="P584" s="140" t="s">
        <v>2105</v>
      </c>
      <c r="Q584" s="140" t="s">
        <v>2387</v>
      </c>
      <c r="R584" s="140" t="s">
        <v>2713</v>
      </c>
      <c r="S584" s="149">
        <f t="shared" si="22"/>
        <v>2.9999999999999997E-4</v>
      </c>
      <c r="T584" s="140">
        <v>0</v>
      </c>
      <c r="U584" s="157">
        <v>2.9999999999999997E-4</v>
      </c>
      <c r="V584" s="157">
        <v>1.52</v>
      </c>
      <c r="W584" s="157">
        <v>6.5030000000000001</v>
      </c>
      <c r="X584" s="149">
        <f t="shared" si="23"/>
        <v>9.8845600000000005</v>
      </c>
      <c r="Y584" s="149"/>
    </row>
    <row r="585" spans="1:25" ht="16">
      <c r="A585" s="117" t="s">
        <v>3570</v>
      </c>
      <c r="B585" s="150" t="s">
        <v>654</v>
      </c>
      <c r="C585" s="149" t="s">
        <v>1744</v>
      </c>
      <c r="D585" s="149" t="s">
        <v>3555</v>
      </c>
      <c r="E585" s="149" t="s">
        <v>593</v>
      </c>
      <c r="F585" s="149">
        <v>-26.365555560000001</v>
      </c>
      <c r="G585" s="149">
        <v>135.79</v>
      </c>
      <c r="H585" s="149">
        <v>201</v>
      </c>
      <c r="I585" s="151">
        <v>42816</v>
      </c>
      <c r="J585" s="149" t="s">
        <v>36</v>
      </c>
      <c r="K585" s="149" t="s">
        <v>419</v>
      </c>
      <c r="L585" s="140" t="s">
        <v>2566</v>
      </c>
      <c r="M585" s="140" t="s">
        <v>2567</v>
      </c>
      <c r="N585" s="140" t="s">
        <v>2668</v>
      </c>
      <c r="O585" s="140" t="s">
        <v>2105</v>
      </c>
      <c r="P585" s="140" t="s">
        <v>2105</v>
      </c>
      <c r="Q585" s="140" t="s">
        <v>2387</v>
      </c>
      <c r="R585" s="140" t="s">
        <v>2713</v>
      </c>
      <c r="S585" s="149">
        <f t="shared" si="22"/>
        <v>8.0000000000000004E-4</v>
      </c>
      <c r="T585" s="140">
        <v>0</v>
      </c>
      <c r="U585" s="157">
        <v>8.0000000000000004E-4</v>
      </c>
      <c r="V585" s="157">
        <v>1.409</v>
      </c>
      <c r="W585" s="157">
        <v>5.6230000000000002</v>
      </c>
      <c r="X585" s="149">
        <f t="shared" si="23"/>
        <v>7.9228070000000006</v>
      </c>
      <c r="Y585" s="149"/>
    </row>
    <row r="586" spans="1:25" ht="16">
      <c r="A586" s="117" t="s">
        <v>3570</v>
      </c>
      <c r="B586" s="150" t="s">
        <v>655</v>
      </c>
      <c r="C586" s="149" t="s">
        <v>1744</v>
      </c>
      <c r="D586" s="149" t="s">
        <v>3555</v>
      </c>
      <c r="E586" s="149" t="s">
        <v>593</v>
      </c>
      <c r="F586" s="149">
        <v>-26.365555560000001</v>
      </c>
      <c r="G586" s="149">
        <v>135.79</v>
      </c>
      <c r="H586" s="149">
        <v>201</v>
      </c>
      <c r="I586" s="151">
        <v>42816</v>
      </c>
      <c r="J586" s="149" t="s">
        <v>36</v>
      </c>
      <c r="K586" s="149" t="s">
        <v>419</v>
      </c>
      <c r="L586" s="140" t="s">
        <v>2566</v>
      </c>
      <c r="M586" s="140" t="s">
        <v>2567</v>
      </c>
      <c r="N586" s="140" t="s">
        <v>2668</v>
      </c>
      <c r="O586" s="140" t="s">
        <v>2105</v>
      </c>
      <c r="P586" s="140" t="s">
        <v>2105</v>
      </c>
      <c r="Q586" s="140" t="s">
        <v>2387</v>
      </c>
      <c r="R586" s="140" t="s">
        <v>2713</v>
      </c>
      <c r="S586" s="149">
        <f t="shared" si="22"/>
        <v>5.9999999999999995E-4</v>
      </c>
      <c r="T586" s="149">
        <v>0</v>
      </c>
      <c r="U586" s="157">
        <v>5.9999999999999995E-4</v>
      </c>
      <c r="V586" s="157">
        <v>1.51</v>
      </c>
      <c r="W586" s="157">
        <v>6.5890000000000004</v>
      </c>
      <c r="X586" s="149">
        <f t="shared" si="23"/>
        <v>9.9493900000000011</v>
      </c>
      <c r="Y586" s="149"/>
    </row>
    <row r="587" spans="1:25" ht="16">
      <c r="A587" s="117" t="s">
        <v>3570</v>
      </c>
      <c r="B587" s="150" t="s">
        <v>656</v>
      </c>
      <c r="C587" s="149" t="s">
        <v>1744</v>
      </c>
      <c r="D587" s="149" t="s">
        <v>3555</v>
      </c>
      <c r="E587" s="149" t="s">
        <v>593</v>
      </c>
      <c r="F587" s="149">
        <v>-26.365555560000001</v>
      </c>
      <c r="G587" s="149">
        <v>135.79</v>
      </c>
      <c r="H587" s="149">
        <v>201</v>
      </c>
      <c r="I587" s="151">
        <v>42816</v>
      </c>
      <c r="J587" s="149" t="s">
        <v>36</v>
      </c>
      <c r="K587" s="149" t="s">
        <v>419</v>
      </c>
      <c r="L587" s="140" t="s">
        <v>2566</v>
      </c>
      <c r="M587" s="140" t="s">
        <v>2567</v>
      </c>
      <c r="N587" s="140" t="s">
        <v>2668</v>
      </c>
      <c r="O587" s="140" t="s">
        <v>2105</v>
      </c>
      <c r="P587" s="140" t="s">
        <v>2105</v>
      </c>
      <c r="Q587" s="140" t="s">
        <v>2387</v>
      </c>
      <c r="R587" s="140" t="s">
        <v>2713</v>
      </c>
      <c r="S587" s="149">
        <f t="shared" si="22"/>
        <v>8.0000000000000004E-4</v>
      </c>
      <c r="T587" s="149">
        <v>0</v>
      </c>
      <c r="U587" s="157">
        <v>8.0000000000000004E-4</v>
      </c>
      <c r="V587" s="157">
        <v>1.3779999999999999</v>
      </c>
      <c r="W587" s="157">
        <v>6.4249999999999998</v>
      </c>
      <c r="X587" s="149">
        <f t="shared" si="23"/>
        <v>8.8536499999999982</v>
      </c>
      <c r="Y587" s="149"/>
    </row>
    <row r="588" spans="1:25" ht="16">
      <c r="A588" s="117" t="s">
        <v>3570</v>
      </c>
      <c r="B588" s="150" t="s">
        <v>657</v>
      </c>
      <c r="C588" s="149" t="s">
        <v>1744</v>
      </c>
      <c r="D588" s="149" t="s">
        <v>3555</v>
      </c>
      <c r="E588" s="149" t="s">
        <v>593</v>
      </c>
      <c r="F588" s="149">
        <v>-26.365555560000001</v>
      </c>
      <c r="G588" s="149">
        <v>135.79</v>
      </c>
      <c r="H588" s="149">
        <v>201</v>
      </c>
      <c r="I588" s="151">
        <v>42816</v>
      </c>
      <c r="J588" s="149" t="s">
        <v>36</v>
      </c>
      <c r="K588" s="149" t="s">
        <v>419</v>
      </c>
      <c r="L588" s="140" t="s">
        <v>2566</v>
      </c>
      <c r="M588" s="140" t="s">
        <v>2567</v>
      </c>
      <c r="N588" s="140" t="s">
        <v>2668</v>
      </c>
      <c r="O588" s="140" t="s">
        <v>2105</v>
      </c>
      <c r="P588" s="140" t="s">
        <v>2105</v>
      </c>
      <c r="Q588" s="140" t="s">
        <v>2387</v>
      </c>
      <c r="R588" s="140" t="s">
        <v>2713</v>
      </c>
      <c r="S588" s="149">
        <f t="shared" si="22"/>
        <v>1E-3</v>
      </c>
      <c r="T588" s="149">
        <v>0</v>
      </c>
      <c r="U588" s="157">
        <v>1E-3</v>
      </c>
      <c r="V588" s="157">
        <v>1.5129999999999999</v>
      </c>
      <c r="W588" s="157">
        <v>6.6029999999999998</v>
      </c>
      <c r="X588" s="149">
        <f t="shared" si="23"/>
        <v>9.9903389999999987</v>
      </c>
      <c r="Y588" s="149"/>
    </row>
    <row r="589" spans="1:25" ht="16">
      <c r="A589" s="117" t="s">
        <v>3570</v>
      </c>
      <c r="B589" s="150" t="s">
        <v>658</v>
      </c>
      <c r="C589" s="149" t="s">
        <v>1744</v>
      </c>
      <c r="D589" s="149" t="s">
        <v>3555</v>
      </c>
      <c r="E589" s="149" t="s">
        <v>593</v>
      </c>
      <c r="F589" s="149">
        <v>-26.365555560000001</v>
      </c>
      <c r="G589" s="149">
        <v>135.79</v>
      </c>
      <c r="H589" s="149">
        <v>201</v>
      </c>
      <c r="I589" s="151">
        <v>42816</v>
      </c>
      <c r="J589" s="149" t="s">
        <v>36</v>
      </c>
      <c r="K589" s="149" t="s">
        <v>419</v>
      </c>
      <c r="L589" s="155" t="s">
        <v>2566</v>
      </c>
      <c r="M589" s="155" t="s">
        <v>2567</v>
      </c>
      <c r="N589" s="155" t="s">
        <v>2668</v>
      </c>
      <c r="O589" s="155" t="s">
        <v>2105</v>
      </c>
      <c r="P589" s="140" t="s">
        <v>2105</v>
      </c>
      <c r="Q589" s="140" t="s">
        <v>2387</v>
      </c>
      <c r="R589" s="155" t="s">
        <v>2713</v>
      </c>
      <c r="S589" s="149">
        <f t="shared" si="22"/>
        <v>1.6999999999999999E-3</v>
      </c>
      <c r="T589" s="140">
        <v>0</v>
      </c>
      <c r="U589" s="157">
        <v>1.6999999999999999E-3</v>
      </c>
      <c r="V589" s="157">
        <v>1.5129999999999999</v>
      </c>
      <c r="W589" s="157">
        <v>7.6980000000000004</v>
      </c>
      <c r="X589" s="149">
        <f t="shared" si="23"/>
        <v>11.647074</v>
      </c>
      <c r="Y589" s="149"/>
    </row>
    <row r="590" spans="1:25" ht="16">
      <c r="A590" s="117" t="s">
        <v>3570</v>
      </c>
      <c r="B590" s="150" t="s">
        <v>445</v>
      </c>
      <c r="C590" s="149" t="s">
        <v>1744</v>
      </c>
      <c r="D590" s="149" t="s">
        <v>3555</v>
      </c>
      <c r="E590" s="149" t="s">
        <v>418</v>
      </c>
      <c r="F590" s="149">
        <v>-26.284722200000001</v>
      </c>
      <c r="G590" s="149">
        <v>136.09805556000001</v>
      </c>
      <c r="H590" s="149">
        <v>201</v>
      </c>
      <c r="I590" s="151">
        <v>42816</v>
      </c>
      <c r="J590" s="149" t="s">
        <v>36</v>
      </c>
      <c r="K590" s="149" t="s">
        <v>419</v>
      </c>
      <c r="L590" s="149" t="s">
        <v>1687</v>
      </c>
      <c r="M590" s="149" t="s">
        <v>2563</v>
      </c>
      <c r="N590" s="149" t="s">
        <v>2568</v>
      </c>
      <c r="O590" s="149" t="s">
        <v>2734</v>
      </c>
      <c r="P590" s="149" t="s">
        <v>2782</v>
      </c>
      <c r="Q590" s="149" t="s">
        <v>2392</v>
      </c>
      <c r="R590" s="149" t="s">
        <v>2712</v>
      </c>
      <c r="S590" s="149">
        <f t="shared" si="22"/>
        <v>5.57E-2</v>
      </c>
      <c r="T590" s="140">
        <v>3.8671999999999998E-2</v>
      </c>
      <c r="U590" s="157">
        <v>1.7028000000000001E-2</v>
      </c>
      <c r="V590" s="157">
        <v>3.9969999999999999</v>
      </c>
      <c r="W590" s="157">
        <v>21.079000000000001</v>
      </c>
      <c r="X590" s="149">
        <f t="shared" si="23"/>
        <v>84.252763000000002</v>
      </c>
      <c r="Y590" s="149"/>
    </row>
    <row r="591" spans="1:25" ht="16">
      <c r="A591" s="117" t="s">
        <v>3570</v>
      </c>
      <c r="B591" s="150" t="s">
        <v>659</v>
      </c>
      <c r="C591" s="149" t="s">
        <v>1744</v>
      </c>
      <c r="D591" s="149" t="s">
        <v>3555</v>
      </c>
      <c r="E591" s="149" t="s">
        <v>593</v>
      </c>
      <c r="F591" s="149">
        <v>-26.365555560000001</v>
      </c>
      <c r="G591" s="149">
        <v>135.79</v>
      </c>
      <c r="H591" s="149">
        <v>201</v>
      </c>
      <c r="I591" s="151">
        <v>42816</v>
      </c>
      <c r="J591" s="149" t="s">
        <v>36</v>
      </c>
      <c r="K591" s="149" t="s">
        <v>419</v>
      </c>
      <c r="L591" s="140" t="s">
        <v>2572</v>
      </c>
      <c r="M591" s="140" t="s">
        <v>2407</v>
      </c>
      <c r="N591" s="140" t="s">
        <v>36</v>
      </c>
      <c r="O591" s="140" t="s">
        <v>2215</v>
      </c>
      <c r="P591" s="140" t="s">
        <v>2215</v>
      </c>
      <c r="Q591" s="140" t="s">
        <v>2702</v>
      </c>
      <c r="R591" s="140" t="s">
        <v>2713</v>
      </c>
      <c r="S591" s="149">
        <f t="shared" si="22"/>
        <v>6.9999999999999999E-4</v>
      </c>
      <c r="T591" s="149">
        <v>0</v>
      </c>
      <c r="U591" s="157">
        <v>6.9999999999999999E-4</v>
      </c>
      <c r="V591" s="157">
        <v>1.252</v>
      </c>
      <c r="W591" s="157">
        <v>6.2809999999999997</v>
      </c>
      <c r="X591" s="149">
        <f t="shared" si="23"/>
        <v>7.8638119999999994</v>
      </c>
      <c r="Y591" s="149"/>
    </row>
    <row r="592" spans="1:25" ht="16">
      <c r="A592" s="117" t="s">
        <v>3570</v>
      </c>
      <c r="B592" s="150" t="s">
        <v>660</v>
      </c>
      <c r="C592" s="149" t="s">
        <v>1744</v>
      </c>
      <c r="D592" s="149" t="s">
        <v>3555</v>
      </c>
      <c r="E592" s="149" t="s">
        <v>593</v>
      </c>
      <c r="F592" s="149">
        <v>-26.365555560000001</v>
      </c>
      <c r="G592" s="149">
        <v>135.79</v>
      </c>
      <c r="H592" s="149">
        <v>201</v>
      </c>
      <c r="I592" s="151">
        <v>42816</v>
      </c>
      <c r="J592" s="149" t="s">
        <v>36</v>
      </c>
      <c r="K592" s="149" t="s">
        <v>419</v>
      </c>
      <c r="L592" s="140" t="s">
        <v>2566</v>
      </c>
      <c r="M592" s="140" t="s">
        <v>2574</v>
      </c>
      <c r="N592" s="140" t="s">
        <v>3191</v>
      </c>
      <c r="O592" s="149" t="s">
        <v>2111</v>
      </c>
      <c r="P592" s="149" t="s">
        <v>2739</v>
      </c>
      <c r="Q592" s="140" t="s">
        <v>2692</v>
      </c>
      <c r="R592" s="140" t="s">
        <v>2712</v>
      </c>
      <c r="S592" s="149">
        <f t="shared" si="22"/>
        <v>2.5999999999999999E-3</v>
      </c>
      <c r="T592" s="149">
        <v>0</v>
      </c>
      <c r="U592" s="157">
        <v>2.5999999999999999E-3</v>
      </c>
      <c r="V592" s="157">
        <v>2.169</v>
      </c>
      <c r="W592" s="157">
        <v>9.2370000000000001</v>
      </c>
      <c r="X592" s="149">
        <f t="shared" si="23"/>
        <v>20.035053000000001</v>
      </c>
      <c r="Y592" s="149"/>
    </row>
    <row r="593" spans="1:25" ht="16">
      <c r="A593" s="117" t="s">
        <v>3570</v>
      </c>
      <c r="B593" s="150" t="s">
        <v>661</v>
      </c>
      <c r="C593" s="149" t="s">
        <v>1744</v>
      </c>
      <c r="D593" s="149" t="s">
        <v>3555</v>
      </c>
      <c r="E593" s="149" t="s">
        <v>593</v>
      </c>
      <c r="F593" s="149">
        <v>-26.365555560000001</v>
      </c>
      <c r="G593" s="149">
        <v>135.79</v>
      </c>
      <c r="H593" s="149">
        <v>201</v>
      </c>
      <c r="I593" s="151">
        <v>42816</v>
      </c>
      <c r="J593" s="149" t="s">
        <v>36</v>
      </c>
      <c r="K593" s="149" t="s">
        <v>419</v>
      </c>
      <c r="L593" s="140" t="s">
        <v>2566</v>
      </c>
      <c r="M593" s="140" t="s">
        <v>2567</v>
      </c>
      <c r="N593" s="140" t="s">
        <v>2668</v>
      </c>
      <c r="O593" s="140" t="s">
        <v>2105</v>
      </c>
      <c r="P593" s="140" t="s">
        <v>2105</v>
      </c>
      <c r="Q593" s="140" t="s">
        <v>2387</v>
      </c>
      <c r="R593" s="140" t="s">
        <v>2713</v>
      </c>
      <c r="S593" s="149">
        <f t="shared" si="22"/>
        <v>1.1000000000000001E-3</v>
      </c>
      <c r="T593" s="149">
        <v>0</v>
      </c>
      <c r="U593" s="157">
        <v>1.1000000000000001E-3</v>
      </c>
      <c r="V593" s="157">
        <v>1.6639999999999999</v>
      </c>
      <c r="W593" s="157">
        <v>6.9630000000000001</v>
      </c>
      <c r="X593" s="149">
        <f t="shared" si="23"/>
        <v>11.586432</v>
      </c>
      <c r="Y593" s="149"/>
    </row>
    <row r="594" spans="1:25" ht="16">
      <c r="A594" s="117" t="s">
        <v>3570</v>
      </c>
      <c r="B594" s="150" t="s">
        <v>662</v>
      </c>
      <c r="C594" s="149" t="s">
        <v>1744</v>
      </c>
      <c r="D594" s="149" t="s">
        <v>3555</v>
      </c>
      <c r="E594" s="149" t="s">
        <v>593</v>
      </c>
      <c r="F594" s="149">
        <v>-26.365555560000001</v>
      </c>
      <c r="G594" s="149">
        <v>135.79</v>
      </c>
      <c r="H594" s="149">
        <v>201</v>
      </c>
      <c r="I594" s="151">
        <v>42816</v>
      </c>
      <c r="J594" s="149" t="s">
        <v>36</v>
      </c>
      <c r="K594" s="149" t="s">
        <v>419</v>
      </c>
      <c r="L594" s="140" t="s">
        <v>2566</v>
      </c>
      <c r="M594" s="140" t="s">
        <v>2567</v>
      </c>
      <c r="N594" s="140" t="s">
        <v>2668</v>
      </c>
      <c r="O594" s="140" t="s">
        <v>2105</v>
      </c>
      <c r="P594" s="140" t="s">
        <v>2105</v>
      </c>
      <c r="Q594" s="140" t="s">
        <v>2387</v>
      </c>
      <c r="R594" s="140" t="s">
        <v>2712</v>
      </c>
      <c r="S594" s="149">
        <f t="shared" si="22"/>
        <v>4.0000000000000002E-4</v>
      </c>
      <c r="T594" s="149">
        <v>0</v>
      </c>
      <c r="U594" s="157">
        <v>4.0000000000000002E-4</v>
      </c>
      <c r="V594" s="157">
        <v>1.262</v>
      </c>
      <c r="W594" s="157">
        <v>4.8769999999999998</v>
      </c>
      <c r="X594" s="149">
        <f t="shared" si="23"/>
        <v>6.1547739999999997</v>
      </c>
      <c r="Y594" s="149"/>
    </row>
    <row r="595" spans="1:25" ht="16">
      <c r="A595" s="117" t="s">
        <v>3570</v>
      </c>
      <c r="B595" s="150" t="s">
        <v>663</v>
      </c>
      <c r="C595" s="149" t="s">
        <v>1744</v>
      </c>
      <c r="D595" s="149" t="s">
        <v>3555</v>
      </c>
      <c r="E595" s="149" t="s">
        <v>593</v>
      </c>
      <c r="F595" s="149">
        <v>-26.365555560000001</v>
      </c>
      <c r="G595" s="149">
        <v>135.79</v>
      </c>
      <c r="H595" s="149">
        <v>201</v>
      </c>
      <c r="I595" s="151">
        <v>42816</v>
      </c>
      <c r="J595" s="149" t="s">
        <v>36</v>
      </c>
      <c r="K595" s="149" t="s">
        <v>419</v>
      </c>
      <c r="L595" s="140" t="s">
        <v>2566</v>
      </c>
      <c r="M595" s="140" t="s">
        <v>2567</v>
      </c>
      <c r="N595" s="140" t="s">
        <v>2668</v>
      </c>
      <c r="O595" s="140" t="s">
        <v>2105</v>
      </c>
      <c r="P595" s="140" t="s">
        <v>2105</v>
      </c>
      <c r="Q595" s="140" t="s">
        <v>2387</v>
      </c>
      <c r="R595" s="140" t="s">
        <v>2713</v>
      </c>
      <c r="S595" s="149">
        <f t="shared" si="22"/>
        <v>5.9999999999999995E-4</v>
      </c>
      <c r="T595" s="149">
        <v>0</v>
      </c>
      <c r="U595" s="157">
        <v>5.9999999999999995E-4</v>
      </c>
      <c r="V595" s="157">
        <v>1.4870000000000001</v>
      </c>
      <c r="W595" s="157">
        <v>5.7350000000000003</v>
      </c>
      <c r="X595" s="149">
        <f t="shared" si="23"/>
        <v>8.5279450000000008</v>
      </c>
      <c r="Y595" s="149"/>
    </row>
    <row r="596" spans="1:25" ht="16">
      <c r="A596" s="117" t="s">
        <v>3570</v>
      </c>
      <c r="B596" s="150" t="s">
        <v>664</v>
      </c>
      <c r="C596" s="149" t="s">
        <v>1744</v>
      </c>
      <c r="D596" s="149" t="s">
        <v>3555</v>
      </c>
      <c r="E596" s="149" t="s">
        <v>593</v>
      </c>
      <c r="F596" s="149">
        <v>-26.365555560000001</v>
      </c>
      <c r="G596" s="149">
        <v>135.79</v>
      </c>
      <c r="H596" s="149">
        <v>201</v>
      </c>
      <c r="I596" s="151">
        <v>42816</v>
      </c>
      <c r="J596" s="149" t="s">
        <v>36</v>
      </c>
      <c r="K596" s="149" t="s">
        <v>419</v>
      </c>
      <c r="L596" s="140" t="s">
        <v>2566</v>
      </c>
      <c r="M596" s="140" t="s">
        <v>2567</v>
      </c>
      <c r="N596" s="140" t="s">
        <v>2668</v>
      </c>
      <c r="O596" s="140" t="s">
        <v>2105</v>
      </c>
      <c r="P596" s="140" t="s">
        <v>2105</v>
      </c>
      <c r="Q596" s="140" t="s">
        <v>2387</v>
      </c>
      <c r="R596" s="140" t="s">
        <v>2713</v>
      </c>
      <c r="S596" s="149">
        <f t="shared" si="22"/>
        <v>6.9999999999999999E-4</v>
      </c>
      <c r="T596" s="149">
        <v>0</v>
      </c>
      <c r="U596" s="157">
        <v>6.9999999999999999E-4</v>
      </c>
      <c r="V596" s="157">
        <v>1.472</v>
      </c>
      <c r="W596" s="157">
        <v>6.6769999999999996</v>
      </c>
      <c r="X596" s="149">
        <f t="shared" si="23"/>
        <v>9.8285439999999991</v>
      </c>
      <c r="Y596" s="149"/>
    </row>
    <row r="597" spans="1:25" ht="16">
      <c r="A597" s="117" t="s">
        <v>3570</v>
      </c>
      <c r="B597" s="150" t="s">
        <v>665</v>
      </c>
      <c r="C597" s="149" t="s">
        <v>1744</v>
      </c>
      <c r="D597" s="149" t="s">
        <v>3555</v>
      </c>
      <c r="E597" s="149" t="s">
        <v>593</v>
      </c>
      <c r="F597" s="149">
        <v>-26.365555560000001</v>
      </c>
      <c r="G597" s="149">
        <v>135.79</v>
      </c>
      <c r="H597" s="149">
        <v>201</v>
      </c>
      <c r="I597" s="151">
        <v>42816</v>
      </c>
      <c r="J597" s="149" t="s">
        <v>36</v>
      </c>
      <c r="K597" s="149" t="s">
        <v>419</v>
      </c>
      <c r="L597" s="140" t="s">
        <v>2566</v>
      </c>
      <c r="M597" s="140" t="s">
        <v>2567</v>
      </c>
      <c r="N597" s="140" t="s">
        <v>2668</v>
      </c>
      <c r="O597" s="140" t="s">
        <v>2600</v>
      </c>
      <c r="P597" s="149" t="s">
        <v>2735</v>
      </c>
      <c r="Q597" s="140" t="s">
        <v>2706</v>
      </c>
      <c r="R597" s="140" t="s">
        <v>2712</v>
      </c>
      <c r="S597" s="149">
        <f t="shared" si="22"/>
        <v>2.3999999999999998E-3</v>
      </c>
      <c r="T597" s="149">
        <v>0</v>
      </c>
      <c r="U597" s="157">
        <v>2.3999999999999998E-3</v>
      </c>
      <c r="V597" s="157">
        <v>2.0409999999999999</v>
      </c>
      <c r="W597" s="157">
        <v>8.923</v>
      </c>
      <c r="X597" s="149">
        <f t="shared" si="23"/>
        <v>18.211842999999998</v>
      </c>
      <c r="Y597" s="149"/>
    </row>
    <row r="598" spans="1:25" ht="16">
      <c r="A598" s="117" t="s">
        <v>3570</v>
      </c>
      <c r="B598" s="150" t="s">
        <v>666</v>
      </c>
      <c r="C598" s="149" t="s">
        <v>1744</v>
      </c>
      <c r="D598" s="149" t="s">
        <v>3555</v>
      </c>
      <c r="E598" s="149" t="s">
        <v>593</v>
      </c>
      <c r="F598" s="149">
        <v>-26.365555560000001</v>
      </c>
      <c r="G598" s="149">
        <v>135.79</v>
      </c>
      <c r="H598" s="149">
        <v>201</v>
      </c>
      <c r="I598" s="151">
        <v>42816</v>
      </c>
      <c r="J598" s="149" t="s">
        <v>36</v>
      </c>
      <c r="K598" s="149" t="s">
        <v>419</v>
      </c>
      <c r="L598" s="155" t="s">
        <v>2566</v>
      </c>
      <c r="M598" s="155" t="s">
        <v>2567</v>
      </c>
      <c r="N598" s="155" t="s">
        <v>2668</v>
      </c>
      <c r="O598" s="155" t="s">
        <v>2105</v>
      </c>
      <c r="P598" s="140" t="s">
        <v>2105</v>
      </c>
      <c r="Q598" s="140" t="s">
        <v>2387</v>
      </c>
      <c r="R598" s="155" t="s">
        <v>2713</v>
      </c>
      <c r="S598" s="149">
        <f t="shared" ref="S598:S661" si="24">T598+U598</f>
        <v>8.0000000000000004E-4</v>
      </c>
      <c r="T598" s="149">
        <v>0</v>
      </c>
      <c r="U598" s="157">
        <v>8.0000000000000004E-4</v>
      </c>
      <c r="V598" s="157">
        <v>1.6659999999999999</v>
      </c>
      <c r="W598" s="157">
        <v>6.4279999999999999</v>
      </c>
      <c r="X598" s="149">
        <f t="shared" si="23"/>
        <v>10.709047999999999</v>
      </c>
      <c r="Y598" s="149"/>
    </row>
    <row r="599" spans="1:25" ht="16">
      <c r="A599" s="117" t="s">
        <v>3570</v>
      </c>
      <c r="B599" s="150" t="s">
        <v>667</v>
      </c>
      <c r="C599" s="149" t="s">
        <v>1744</v>
      </c>
      <c r="D599" s="149" t="s">
        <v>3555</v>
      </c>
      <c r="E599" s="149" t="s">
        <v>593</v>
      </c>
      <c r="F599" s="149">
        <v>-26.365555560000001</v>
      </c>
      <c r="G599" s="149">
        <v>135.79</v>
      </c>
      <c r="H599" s="149">
        <v>201</v>
      </c>
      <c r="I599" s="151">
        <v>42816</v>
      </c>
      <c r="J599" s="149" t="s">
        <v>36</v>
      </c>
      <c r="K599" s="149" t="s">
        <v>419</v>
      </c>
      <c r="L599" s="140" t="s">
        <v>2566</v>
      </c>
      <c r="M599" s="140" t="s">
        <v>2574</v>
      </c>
      <c r="N599" s="140" t="s">
        <v>3191</v>
      </c>
      <c r="O599" s="149" t="s">
        <v>2111</v>
      </c>
      <c r="P599" s="149" t="s">
        <v>2739</v>
      </c>
      <c r="Q599" s="140" t="s">
        <v>2692</v>
      </c>
      <c r="R599" s="140" t="s">
        <v>2713</v>
      </c>
      <c r="S599" s="149">
        <f t="shared" si="24"/>
        <v>2.8E-3</v>
      </c>
      <c r="T599" s="149">
        <v>0</v>
      </c>
      <c r="U599" s="157">
        <v>2.8E-3</v>
      </c>
      <c r="V599" s="157">
        <v>2.0550000000000002</v>
      </c>
      <c r="W599" s="157">
        <v>9.4740000000000002</v>
      </c>
      <c r="X599" s="149">
        <f t="shared" si="23"/>
        <v>19.469070000000002</v>
      </c>
      <c r="Y599" s="149"/>
    </row>
    <row r="600" spans="1:25" ht="16">
      <c r="A600" s="117" t="s">
        <v>3570</v>
      </c>
      <c r="B600" s="150" t="s">
        <v>668</v>
      </c>
      <c r="C600" s="149" t="s">
        <v>1744</v>
      </c>
      <c r="D600" s="149" t="s">
        <v>3555</v>
      </c>
      <c r="E600" s="149" t="s">
        <v>593</v>
      </c>
      <c r="F600" s="149">
        <v>-26.365555560000001</v>
      </c>
      <c r="G600" s="149">
        <v>135.79</v>
      </c>
      <c r="H600" s="149">
        <v>201</v>
      </c>
      <c r="I600" s="151">
        <v>42816</v>
      </c>
      <c r="J600" s="149" t="s">
        <v>36</v>
      </c>
      <c r="K600" s="149" t="s">
        <v>419</v>
      </c>
      <c r="L600" s="140" t="s">
        <v>2566</v>
      </c>
      <c r="M600" s="140" t="s">
        <v>2567</v>
      </c>
      <c r="N600" s="140" t="s">
        <v>2668</v>
      </c>
      <c r="O600" s="140" t="s">
        <v>2105</v>
      </c>
      <c r="P600" s="140" t="s">
        <v>2105</v>
      </c>
      <c r="Q600" s="140" t="s">
        <v>2387</v>
      </c>
      <c r="R600" s="140" t="s">
        <v>2713</v>
      </c>
      <c r="S600" s="149">
        <f t="shared" si="24"/>
        <v>1.1999999999999999E-3</v>
      </c>
      <c r="T600" s="149">
        <v>0</v>
      </c>
      <c r="U600" s="157">
        <v>1.1999999999999999E-3</v>
      </c>
      <c r="V600" s="157">
        <v>1.645</v>
      </c>
      <c r="W600" s="157">
        <v>6.2080000000000002</v>
      </c>
      <c r="X600" s="149">
        <f t="shared" si="23"/>
        <v>10.212160000000001</v>
      </c>
      <c r="Y600" s="149"/>
    </row>
    <row r="601" spans="1:25" ht="16">
      <c r="A601" s="117" t="s">
        <v>3570</v>
      </c>
      <c r="B601" s="150" t="s">
        <v>446</v>
      </c>
      <c r="C601" s="149" t="s">
        <v>1744</v>
      </c>
      <c r="D601" s="149" t="s">
        <v>3555</v>
      </c>
      <c r="E601" s="149" t="s">
        <v>418</v>
      </c>
      <c r="F601" s="149">
        <v>-26.284722200000001</v>
      </c>
      <c r="G601" s="149">
        <v>136.09805556000001</v>
      </c>
      <c r="H601" s="149">
        <v>201</v>
      </c>
      <c r="I601" s="151">
        <v>42816</v>
      </c>
      <c r="J601" s="149" t="s">
        <v>36</v>
      </c>
      <c r="K601" s="149" t="s">
        <v>419</v>
      </c>
      <c r="L601" s="149" t="s">
        <v>2569</v>
      </c>
      <c r="M601" s="149" t="s">
        <v>2570</v>
      </c>
      <c r="N601" s="149" t="s">
        <v>2571</v>
      </c>
      <c r="O601" s="140" t="s">
        <v>2369</v>
      </c>
      <c r="P601" s="140" t="s">
        <v>2737</v>
      </c>
      <c r="Q601" s="140" t="s">
        <v>2670</v>
      </c>
      <c r="R601" s="140" t="s">
        <v>2712</v>
      </c>
      <c r="S601" s="149">
        <f t="shared" si="24"/>
        <v>6.25E-2</v>
      </c>
      <c r="T601" s="140">
        <v>3.8671999999999998E-2</v>
      </c>
      <c r="U601" s="157">
        <v>2.3828000000000002E-2</v>
      </c>
      <c r="V601" s="157">
        <v>4.7939999999999996</v>
      </c>
      <c r="W601" s="157">
        <v>16.378</v>
      </c>
      <c r="X601" s="149">
        <f t="shared" si="23"/>
        <v>78.516131999999999</v>
      </c>
      <c r="Y601" s="149"/>
    </row>
    <row r="602" spans="1:25" ht="16">
      <c r="A602" s="117" t="s">
        <v>3570</v>
      </c>
      <c r="B602" s="150" t="s">
        <v>669</v>
      </c>
      <c r="C602" s="149" t="s">
        <v>1744</v>
      </c>
      <c r="D602" s="149" t="s">
        <v>3555</v>
      </c>
      <c r="E602" s="149" t="s">
        <v>593</v>
      </c>
      <c r="F602" s="149">
        <v>-26.365555560000001</v>
      </c>
      <c r="G602" s="149">
        <v>135.79</v>
      </c>
      <c r="H602" s="149">
        <v>201</v>
      </c>
      <c r="I602" s="151">
        <v>42816</v>
      </c>
      <c r="J602" s="149" t="s">
        <v>36</v>
      </c>
      <c r="K602" s="149" t="s">
        <v>419</v>
      </c>
      <c r="L602" s="140" t="s">
        <v>2566</v>
      </c>
      <c r="M602" s="140" t="s">
        <v>2567</v>
      </c>
      <c r="N602" s="140" t="s">
        <v>2668</v>
      </c>
      <c r="O602" s="140" t="s">
        <v>2105</v>
      </c>
      <c r="P602" s="140" t="s">
        <v>2105</v>
      </c>
      <c r="Q602" s="140" t="s">
        <v>2387</v>
      </c>
      <c r="R602" s="140" t="s">
        <v>2713</v>
      </c>
      <c r="S602" s="149">
        <f t="shared" si="24"/>
        <v>1.1000000000000001E-3</v>
      </c>
      <c r="T602" s="149">
        <v>0</v>
      </c>
      <c r="U602" s="157">
        <v>1.1000000000000001E-3</v>
      </c>
      <c r="V602" s="157">
        <v>1.52</v>
      </c>
      <c r="W602" s="157">
        <v>6.3739999999999997</v>
      </c>
      <c r="X602" s="149">
        <f t="shared" si="23"/>
        <v>9.6884800000000002</v>
      </c>
      <c r="Y602" s="149"/>
    </row>
    <row r="603" spans="1:25" ht="16">
      <c r="A603" s="117" t="s">
        <v>3570</v>
      </c>
      <c r="B603" s="150" t="s">
        <v>447</v>
      </c>
      <c r="C603" s="149" t="s">
        <v>1744</v>
      </c>
      <c r="D603" s="149" t="s">
        <v>3555</v>
      </c>
      <c r="E603" s="149" t="s">
        <v>418</v>
      </c>
      <c r="F603" s="149">
        <v>-26.284722200000001</v>
      </c>
      <c r="G603" s="149">
        <v>136.09805556000001</v>
      </c>
      <c r="H603" s="149">
        <v>201</v>
      </c>
      <c r="I603" s="151">
        <v>42816</v>
      </c>
      <c r="J603" s="149" t="s">
        <v>36</v>
      </c>
      <c r="K603" s="149" t="s">
        <v>419</v>
      </c>
      <c r="L603" s="140" t="s">
        <v>2566</v>
      </c>
      <c r="M603" s="140" t="s">
        <v>2574</v>
      </c>
      <c r="N603" s="140" t="s">
        <v>3191</v>
      </c>
      <c r="O603" s="149" t="s">
        <v>2111</v>
      </c>
      <c r="P603" s="149" t="s">
        <v>2739</v>
      </c>
      <c r="Q603" s="140" t="s">
        <v>2692</v>
      </c>
      <c r="R603" s="140" t="s">
        <v>2713</v>
      </c>
      <c r="S603" s="149">
        <f t="shared" si="24"/>
        <v>4.1000000000000003E-3</v>
      </c>
      <c r="T603" s="149">
        <v>0</v>
      </c>
      <c r="U603" s="157">
        <v>4.1000000000000003E-3</v>
      </c>
      <c r="V603" s="157">
        <v>2.5019999999999998</v>
      </c>
      <c r="W603" s="157">
        <v>10.731</v>
      </c>
      <c r="X603" s="149">
        <f t="shared" si="23"/>
        <v>26.848961999999997</v>
      </c>
      <c r="Y603" s="149"/>
    </row>
    <row r="604" spans="1:25" ht="16">
      <c r="A604" s="117" t="s">
        <v>3570</v>
      </c>
      <c r="B604" s="150" t="s">
        <v>448</v>
      </c>
      <c r="C604" s="149" t="s">
        <v>1744</v>
      </c>
      <c r="D604" s="149" t="s">
        <v>3555</v>
      </c>
      <c r="E604" s="149" t="s">
        <v>418</v>
      </c>
      <c r="F604" s="149">
        <v>-26.284722200000001</v>
      </c>
      <c r="G604" s="149">
        <v>136.09805556000001</v>
      </c>
      <c r="H604" s="149">
        <v>201</v>
      </c>
      <c r="I604" s="151">
        <v>42816</v>
      </c>
      <c r="J604" s="149" t="s">
        <v>36</v>
      </c>
      <c r="K604" s="149" t="s">
        <v>419</v>
      </c>
      <c r="L604" s="140" t="s">
        <v>2572</v>
      </c>
      <c r="M604" s="140" t="s">
        <v>2407</v>
      </c>
      <c r="N604" s="140" t="s">
        <v>36</v>
      </c>
      <c r="O604" s="140" t="s">
        <v>2215</v>
      </c>
      <c r="P604" s="140" t="s">
        <v>2215</v>
      </c>
      <c r="Q604" s="140" t="s">
        <v>2702</v>
      </c>
      <c r="R604" s="140" t="s">
        <v>2713</v>
      </c>
      <c r="S604" s="149">
        <f t="shared" si="24"/>
        <v>5.0000000000000001E-4</v>
      </c>
      <c r="T604" s="149">
        <v>0</v>
      </c>
      <c r="U604" s="157">
        <v>5.0000000000000001E-4</v>
      </c>
      <c r="V604" s="157">
        <v>1.3660000000000001</v>
      </c>
      <c r="W604" s="157">
        <v>7.06</v>
      </c>
      <c r="X604" s="149">
        <f t="shared" si="23"/>
        <v>9.6439599999999999</v>
      </c>
      <c r="Y604" s="149"/>
    </row>
    <row r="605" spans="1:25" ht="16">
      <c r="A605" s="117" t="s">
        <v>3570</v>
      </c>
      <c r="B605" s="150" t="s">
        <v>670</v>
      </c>
      <c r="C605" s="149" t="s">
        <v>1744</v>
      </c>
      <c r="D605" s="149" t="s">
        <v>3555</v>
      </c>
      <c r="E605" s="149" t="s">
        <v>593</v>
      </c>
      <c r="F605" s="149">
        <v>-26.365555560000001</v>
      </c>
      <c r="G605" s="149">
        <v>135.79</v>
      </c>
      <c r="H605" s="149">
        <v>201</v>
      </c>
      <c r="I605" s="151">
        <v>42816</v>
      </c>
      <c r="J605" s="149" t="s">
        <v>36</v>
      </c>
      <c r="K605" s="149" t="s">
        <v>419</v>
      </c>
      <c r="L605" s="140" t="s">
        <v>2572</v>
      </c>
      <c r="M605" s="140" t="s">
        <v>2407</v>
      </c>
      <c r="N605" s="140" t="s">
        <v>36</v>
      </c>
      <c r="O605" s="140" t="s">
        <v>2215</v>
      </c>
      <c r="P605" s="140" t="s">
        <v>2215</v>
      </c>
      <c r="Q605" s="140" t="s">
        <v>2702</v>
      </c>
      <c r="R605" s="140" t="s">
        <v>2713</v>
      </c>
      <c r="S605" s="149">
        <f t="shared" si="24"/>
        <v>4.0000000000000002E-4</v>
      </c>
      <c r="T605" s="149">
        <v>0</v>
      </c>
      <c r="U605" s="157">
        <v>4.0000000000000002E-4</v>
      </c>
      <c r="V605" s="157">
        <v>1.298</v>
      </c>
      <c r="W605" s="157">
        <v>6.7060000000000004</v>
      </c>
      <c r="X605" s="149">
        <f t="shared" si="23"/>
        <v>8.7043880000000016</v>
      </c>
      <c r="Y605" s="149"/>
    </row>
    <row r="606" spans="1:25" ht="16">
      <c r="A606" s="117" t="s">
        <v>3570</v>
      </c>
      <c r="B606" s="150" t="s">
        <v>671</v>
      </c>
      <c r="C606" s="149" t="s">
        <v>1744</v>
      </c>
      <c r="D606" s="149" t="s">
        <v>3555</v>
      </c>
      <c r="E606" s="149" t="s">
        <v>593</v>
      </c>
      <c r="F606" s="149">
        <v>-26.365555560000001</v>
      </c>
      <c r="G606" s="149">
        <v>135.79</v>
      </c>
      <c r="H606" s="149">
        <v>201</v>
      </c>
      <c r="I606" s="151">
        <v>42816</v>
      </c>
      <c r="J606" s="149" t="s">
        <v>36</v>
      </c>
      <c r="K606" s="149" t="s">
        <v>419</v>
      </c>
      <c r="L606" s="140" t="s">
        <v>2566</v>
      </c>
      <c r="M606" s="140" t="s">
        <v>2567</v>
      </c>
      <c r="N606" s="140" t="s">
        <v>2668</v>
      </c>
      <c r="O606" s="140" t="s">
        <v>2105</v>
      </c>
      <c r="P606" s="140" t="s">
        <v>2105</v>
      </c>
      <c r="Q606" s="140" t="s">
        <v>2387</v>
      </c>
      <c r="R606" s="140" t="s">
        <v>2713</v>
      </c>
      <c r="S606" s="149">
        <f t="shared" si="24"/>
        <v>1.1999999999999999E-3</v>
      </c>
      <c r="T606" s="149">
        <v>0</v>
      </c>
      <c r="U606" s="157">
        <v>1.1999999999999999E-3</v>
      </c>
      <c r="V606" s="157">
        <v>1.3540000000000001</v>
      </c>
      <c r="W606" s="157">
        <v>6.8609999999999998</v>
      </c>
      <c r="X606" s="149">
        <f t="shared" si="23"/>
        <v>9.2897940000000006</v>
      </c>
      <c r="Y606" s="149"/>
    </row>
    <row r="607" spans="1:25" ht="16">
      <c r="A607" s="117" t="s">
        <v>3570</v>
      </c>
      <c r="B607" s="150" t="s">
        <v>673</v>
      </c>
      <c r="C607" s="149" t="s">
        <v>1744</v>
      </c>
      <c r="D607" s="149" t="s">
        <v>3555</v>
      </c>
      <c r="E607" s="149" t="s">
        <v>593</v>
      </c>
      <c r="F607" s="149">
        <v>-26.365555560000001</v>
      </c>
      <c r="G607" s="149">
        <v>135.79</v>
      </c>
      <c r="H607" s="149">
        <v>201</v>
      </c>
      <c r="I607" s="151">
        <v>42816</v>
      </c>
      <c r="J607" s="149" t="s">
        <v>36</v>
      </c>
      <c r="K607" s="149" t="s">
        <v>419</v>
      </c>
      <c r="L607" s="140" t="s">
        <v>2566</v>
      </c>
      <c r="M607" s="140" t="s">
        <v>2567</v>
      </c>
      <c r="N607" s="140" t="s">
        <v>2668</v>
      </c>
      <c r="O607" s="140" t="s">
        <v>2105</v>
      </c>
      <c r="P607" s="140" t="s">
        <v>2105</v>
      </c>
      <c r="Q607" s="140" t="s">
        <v>2387</v>
      </c>
      <c r="R607" s="140" t="s">
        <v>2713</v>
      </c>
      <c r="S607" s="149">
        <f t="shared" si="24"/>
        <v>8.9999999999999998E-4</v>
      </c>
      <c r="T607" s="149">
        <v>0</v>
      </c>
      <c r="U607" s="157">
        <v>8.9999999999999998E-4</v>
      </c>
      <c r="V607" s="157">
        <v>1.575</v>
      </c>
      <c r="W607" s="157">
        <v>5.8239999999999998</v>
      </c>
      <c r="X607" s="149">
        <f t="shared" si="23"/>
        <v>9.1727999999999987</v>
      </c>
      <c r="Y607" s="149"/>
    </row>
    <row r="608" spans="1:25" ht="16">
      <c r="A608" s="117" t="s">
        <v>3570</v>
      </c>
      <c r="B608" s="150" t="s">
        <v>674</v>
      </c>
      <c r="C608" s="149" t="s">
        <v>1744</v>
      </c>
      <c r="D608" s="149" t="s">
        <v>3555</v>
      </c>
      <c r="E608" s="149" t="s">
        <v>593</v>
      </c>
      <c r="F608" s="149">
        <v>-26.365555560000001</v>
      </c>
      <c r="G608" s="149">
        <v>135.79</v>
      </c>
      <c r="H608" s="149">
        <v>201</v>
      </c>
      <c r="I608" s="151">
        <v>42816</v>
      </c>
      <c r="J608" s="149" t="s">
        <v>36</v>
      </c>
      <c r="K608" s="149" t="s">
        <v>419</v>
      </c>
      <c r="L608" s="140" t="s">
        <v>2572</v>
      </c>
      <c r="M608" s="140" t="s">
        <v>2407</v>
      </c>
      <c r="N608" s="140" t="s">
        <v>36</v>
      </c>
      <c r="O608" s="140" t="s">
        <v>2215</v>
      </c>
      <c r="P608" s="140" t="s">
        <v>2215</v>
      </c>
      <c r="Q608" s="140" t="s">
        <v>2702</v>
      </c>
      <c r="R608" s="140" t="s">
        <v>2712</v>
      </c>
      <c r="S608" s="149">
        <f t="shared" si="24"/>
        <v>5.0000000000000001E-4</v>
      </c>
      <c r="T608" s="149">
        <v>0</v>
      </c>
      <c r="U608" s="157">
        <v>5.0000000000000001E-4</v>
      </c>
      <c r="V608" s="157">
        <v>1.232</v>
      </c>
      <c r="W608" s="157">
        <v>5.1879999999999997</v>
      </c>
      <c r="X608" s="149">
        <f t="shared" si="23"/>
        <v>6.391616</v>
      </c>
      <c r="Y608" s="149"/>
    </row>
    <row r="609" spans="1:25" ht="16">
      <c r="A609" s="117" t="s">
        <v>3570</v>
      </c>
      <c r="B609" s="150" t="s">
        <v>675</v>
      </c>
      <c r="C609" s="149" t="s">
        <v>1744</v>
      </c>
      <c r="D609" s="149" t="s">
        <v>3555</v>
      </c>
      <c r="E609" s="149" t="s">
        <v>593</v>
      </c>
      <c r="F609" s="149">
        <v>-26.365555560000001</v>
      </c>
      <c r="G609" s="149">
        <v>135.79</v>
      </c>
      <c r="H609" s="149">
        <v>201</v>
      </c>
      <c r="I609" s="151">
        <v>42816</v>
      </c>
      <c r="J609" s="149" t="s">
        <v>36</v>
      </c>
      <c r="K609" s="149" t="s">
        <v>419</v>
      </c>
      <c r="L609" s="140" t="s">
        <v>2566</v>
      </c>
      <c r="M609" s="140" t="s">
        <v>2567</v>
      </c>
      <c r="N609" s="140" t="s">
        <v>2668</v>
      </c>
      <c r="O609" s="140" t="s">
        <v>2105</v>
      </c>
      <c r="P609" s="140" t="s">
        <v>2105</v>
      </c>
      <c r="Q609" s="140" t="s">
        <v>2387</v>
      </c>
      <c r="R609" s="140" t="s">
        <v>2713</v>
      </c>
      <c r="S609" s="149">
        <f t="shared" si="24"/>
        <v>5.9999999999999995E-4</v>
      </c>
      <c r="T609" s="149">
        <v>0</v>
      </c>
      <c r="U609" s="157">
        <v>5.9999999999999995E-4</v>
      </c>
      <c r="V609" s="157">
        <v>1.494</v>
      </c>
      <c r="W609" s="157">
        <v>6.5279999999999996</v>
      </c>
      <c r="X609" s="149">
        <f t="shared" si="23"/>
        <v>9.7528319999999997</v>
      </c>
      <c r="Y609" s="149"/>
    </row>
    <row r="610" spans="1:25" ht="16">
      <c r="A610" s="117" t="s">
        <v>3570</v>
      </c>
      <c r="B610" s="150" t="s">
        <v>676</v>
      </c>
      <c r="C610" s="149" t="s">
        <v>1744</v>
      </c>
      <c r="D610" s="149" t="s">
        <v>3555</v>
      </c>
      <c r="E610" s="149" t="s">
        <v>593</v>
      </c>
      <c r="F610" s="149">
        <v>-26.365555560000001</v>
      </c>
      <c r="G610" s="149">
        <v>135.79</v>
      </c>
      <c r="H610" s="149">
        <v>201</v>
      </c>
      <c r="I610" s="151">
        <v>42816</v>
      </c>
      <c r="J610" s="149" t="s">
        <v>36</v>
      </c>
      <c r="K610" s="149" t="s">
        <v>419</v>
      </c>
      <c r="L610" s="155" t="s">
        <v>2566</v>
      </c>
      <c r="M610" s="155" t="s">
        <v>2567</v>
      </c>
      <c r="N610" s="155" t="s">
        <v>2668</v>
      </c>
      <c r="O610" s="155" t="s">
        <v>2105</v>
      </c>
      <c r="P610" s="140" t="s">
        <v>2105</v>
      </c>
      <c r="Q610" s="140" t="s">
        <v>2387</v>
      </c>
      <c r="R610" s="155" t="s">
        <v>2713</v>
      </c>
      <c r="S610" s="149">
        <f t="shared" si="24"/>
        <v>8.0000000000000004E-4</v>
      </c>
      <c r="T610" s="149">
        <v>0</v>
      </c>
      <c r="U610" s="157">
        <v>8.0000000000000004E-4</v>
      </c>
      <c r="V610" s="157">
        <v>1.607</v>
      </c>
      <c r="W610" s="157">
        <f>3.118+0.81+1.045+1.461</f>
        <v>6.4340000000000002</v>
      </c>
      <c r="X610" s="149">
        <f t="shared" si="23"/>
        <v>10.339437999999999</v>
      </c>
      <c r="Y610" s="149"/>
    </row>
    <row r="611" spans="1:25" ht="16">
      <c r="A611" s="117" t="s">
        <v>3570</v>
      </c>
      <c r="B611" s="150" t="s">
        <v>677</v>
      </c>
      <c r="C611" s="149" t="s">
        <v>1744</v>
      </c>
      <c r="D611" s="149" t="s">
        <v>3555</v>
      </c>
      <c r="E611" s="149" t="s">
        <v>593</v>
      </c>
      <c r="F611" s="149">
        <v>-26.365555560000001</v>
      </c>
      <c r="G611" s="149">
        <v>135.79</v>
      </c>
      <c r="H611" s="149">
        <v>201</v>
      </c>
      <c r="I611" s="151">
        <v>42816</v>
      </c>
      <c r="J611" s="149" t="s">
        <v>36</v>
      </c>
      <c r="K611" s="149" t="s">
        <v>419</v>
      </c>
      <c r="L611" s="155" t="s">
        <v>2566</v>
      </c>
      <c r="M611" s="155" t="s">
        <v>2567</v>
      </c>
      <c r="N611" s="155" t="s">
        <v>2668</v>
      </c>
      <c r="O611" s="155" t="s">
        <v>2105</v>
      </c>
      <c r="P611" s="140" t="s">
        <v>2105</v>
      </c>
      <c r="Q611" s="140" t="s">
        <v>2387</v>
      </c>
      <c r="R611" s="155" t="s">
        <v>2712</v>
      </c>
      <c r="S611" s="149">
        <f t="shared" si="24"/>
        <v>2.9999999999999997E-4</v>
      </c>
      <c r="T611" s="149">
        <v>0</v>
      </c>
      <c r="U611" s="157">
        <v>2.9999999999999997E-4</v>
      </c>
      <c r="V611" s="157">
        <v>1.319</v>
      </c>
      <c r="W611" s="157">
        <f>2.677+0.553+0.998+0.953+0.525</f>
        <v>5.7060000000000004</v>
      </c>
      <c r="X611" s="149">
        <f t="shared" si="23"/>
        <v>7.5262140000000004</v>
      </c>
      <c r="Y611" s="149"/>
    </row>
    <row r="612" spans="1:25" ht="16">
      <c r="A612" s="117" t="s">
        <v>3570</v>
      </c>
      <c r="B612" s="150" t="s">
        <v>678</v>
      </c>
      <c r="C612" s="149" t="s">
        <v>1744</v>
      </c>
      <c r="D612" s="149" t="s">
        <v>3555</v>
      </c>
      <c r="E612" s="149" t="s">
        <v>593</v>
      </c>
      <c r="F612" s="149">
        <v>-26.365555560000001</v>
      </c>
      <c r="G612" s="149">
        <v>135.79</v>
      </c>
      <c r="H612" s="149">
        <v>201</v>
      </c>
      <c r="I612" s="151">
        <v>42816</v>
      </c>
      <c r="J612" s="149" t="s">
        <v>36</v>
      </c>
      <c r="K612" s="149" t="s">
        <v>419</v>
      </c>
      <c r="L612" s="155" t="s">
        <v>2566</v>
      </c>
      <c r="M612" s="155" t="s">
        <v>2567</v>
      </c>
      <c r="N612" s="155" t="s">
        <v>2668</v>
      </c>
      <c r="O612" s="155" t="s">
        <v>2105</v>
      </c>
      <c r="P612" s="140" t="s">
        <v>2105</v>
      </c>
      <c r="Q612" s="140" t="s">
        <v>2387</v>
      </c>
      <c r="R612" s="155" t="s">
        <v>2713</v>
      </c>
      <c r="S612" s="149">
        <f t="shared" si="24"/>
        <v>1.2999999999999999E-3</v>
      </c>
      <c r="T612" s="149">
        <v>0</v>
      </c>
      <c r="U612" s="157">
        <v>1.2999999999999999E-3</v>
      </c>
      <c r="V612" s="159">
        <v>1.77</v>
      </c>
      <c r="W612" s="157">
        <f>3.255+1.542+2.285</f>
        <v>7.0819999999999999</v>
      </c>
      <c r="X612" s="149">
        <f t="shared" si="23"/>
        <v>12.53514</v>
      </c>
      <c r="Y612" s="149"/>
    </row>
    <row r="613" spans="1:25" ht="16">
      <c r="A613" s="117" t="s">
        <v>3570</v>
      </c>
      <c r="B613" s="150" t="s">
        <v>679</v>
      </c>
      <c r="C613" s="149" t="s">
        <v>1744</v>
      </c>
      <c r="D613" s="149" t="s">
        <v>3555</v>
      </c>
      <c r="E613" s="149" t="s">
        <v>593</v>
      </c>
      <c r="F613" s="149">
        <v>-26.365555560000001</v>
      </c>
      <c r="G613" s="149">
        <v>135.79</v>
      </c>
      <c r="H613" s="149">
        <v>201</v>
      </c>
      <c r="I613" s="151">
        <v>42816</v>
      </c>
      <c r="J613" s="149" t="s">
        <v>36</v>
      </c>
      <c r="K613" s="149" t="s">
        <v>419</v>
      </c>
      <c r="L613" s="155" t="s">
        <v>2566</v>
      </c>
      <c r="M613" s="155" t="s">
        <v>2567</v>
      </c>
      <c r="N613" s="155" t="s">
        <v>2668</v>
      </c>
      <c r="O613" s="155" t="s">
        <v>2105</v>
      </c>
      <c r="P613" s="140" t="s">
        <v>2105</v>
      </c>
      <c r="Q613" s="140" t="s">
        <v>2387</v>
      </c>
      <c r="R613" s="155" t="s">
        <v>2713</v>
      </c>
      <c r="S613" s="149">
        <f t="shared" si="24"/>
        <v>8.0000000000000004E-4</v>
      </c>
      <c r="T613" s="149">
        <v>0</v>
      </c>
      <c r="U613" s="157">
        <v>8.0000000000000004E-4</v>
      </c>
      <c r="V613" s="157">
        <v>1.6</v>
      </c>
      <c r="W613" s="157">
        <f>3.141+1.95+1.31</f>
        <v>6.4009999999999998</v>
      </c>
      <c r="X613" s="149">
        <f t="shared" si="23"/>
        <v>10.2416</v>
      </c>
      <c r="Y613" s="149"/>
    </row>
    <row r="614" spans="1:25" ht="16">
      <c r="A614" s="117" t="s">
        <v>3570</v>
      </c>
      <c r="B614" s="150" t="s">
        <v>449</v>
      </c>
      <c r="C614" s="149" t="s">
        <v>1744</v>
      </c>
      <c r="D614" s="149" t="s">
        <v>3555</v>
      </c>
      <c r="E614" s="149" t="s">
        <v>418</v>
      </c>
      <c r="F614" s="149">
        <v>-26.284722200000001</v>
      </c>
      <c r="G614" s="149">
        <v>136.09805556000001</v>
      </c>
      <c r="H614" s="149">
        <v>201</v>
      </c>
      <c r="I614" s="151">
        <v>42816</v>
      </c>
      <c r="J614" s="149" t="s">
        <v>36</v>
      </c>
      <c r="K614" s="149" t="s">
        <v>419</v>
      </c>
      <c r="L614" s="140" t="s">
        <v>2566</v>
      </c>
      <c r="M614" s="140" t="s">
        <v>2574</v>
      </c>
      <c r="N614" s="140" t="s">
        <v>3191</v>
      </c>
      <c r="O614" s="149" t="s">
        <v>2111</v>
      </c>
      <c r="P614" s="149" t="s">
        <v>2739</v>
      </c>
      <c r="Q614" s="140" t="s">
        <v>2692</v>
      </c>
      <c r="R614" s="140" t="s">
        <v>2713</v>
      </c>
      <c r="S614" s="149">
        <f t="shared" si="24"/>
        <v>2.3E-3</v>
      </c>
      <c r="T614" s="149">
        <v>0</v>
      </c>
      <c r="U614" s="157">
        <v>2.3E-3</v>
      </c>
      <c r="V614" s="157">
        <v>2.052</v>
      </c>
      <c r="W614" s="157">
        <v>8.4420000000000002</v>
      </c>
      <c r="X614" s="149">
        <f t="shared" si="23"/>
        <v>17.322984000000002</v>
      </c>
      <c r="Y614" s="149"/>
    </row>
    <row r="615" spans="1:25" ht="16">
      <c r="A615" s="117" t="s">
        <v>3570</v>
      </c>
      <c r="B615" s="150" t="s">
        <v>680</v>
      </c>
      <c r="C615" s="149" t="s">
        <v>1744</v>
      </c>
      <c r="D615" s="149" t="s">
        <v>3555</v>
      </c>
      <c r="E615" s="149" t="s">
        <v>593</v>
      </c>
      <c r="F615" s="149">
        <v>-26.365555560000001</v>
      </c>
      <c r="G615" s="149">
        <v>135.79</v>
      </c>
      <c r="H615" s="149">
        <v>201</v>
      </c>
      <c r="I615" s="151">
        <v>42816</v>
      </c>
      <c r="J615" s="149" t="s">
        <v>36</v>
      </c>
      <c r="K615" s="149" t="s">
        <v>419</v>
      </c>
      <c r="L615" s="155" t="s">
        <v>2566</v>
      </c>
      <c r="M615" s="155" t="s">
        <v>2567</v>
      </c>
      <c r="N615" s="155" t="s">
        <v>2668</v>
      </c>
      <c r="O615" s="155" t="s">
        <v>2105</v>
      </c>
      <c r="P615" s="140" t="s">
        <v>2105</v>
      </c>
      <c r="Q615" s="140" t="s">
        <v>2387</v>
      </c>
      <c r="R615" s="155" t="s">
        <v>2713</v>
      </c>
      <c r="S615" s="149">
        <f t="shared" si="24"/>
        <v>8.0000000000000004E-4</v>
      </c>
      <c r="T615" s="149">
        <v>0</v>
      </c>
      <c r="U615" s="157">
        <v>8.0000000000000004E-4</v>
      </c>
      <c r="V615" s="157">
        <f>0.84*2</f>
        <v>1.68</v>
      </c>
      <c r="W615" s="157">
        <f>3.023+0.74+0.937+1.647</f>
        <v>6.3470000000000004</v>
      </c>
      <c r="X615" s="149">
        <f t="shared" si="23"/>
        <v>10.66296</v>
      </c>
      <c r="Y615" s="149"/>
    </row>
    <row r="616" spans="1:25" ht="16">
      <c r="A616" s="117" t="s">
        <v>3570</v>
      </c>
      <c r="B616" s="150" t="s">
        <v>681</v>
      </c>
      <c r="C616" s="149" t="s">
        <v>1744</v>
      </c>
      <c r="D616" s="149" t="s">
        <v>3555</v>
      </c>
      <c r="E616" s="149" t="s">
        <v>593</v>
      </c>
      <c r="F616" s="149">
        <v>-26.365555560000001</v>
      </c>
      <c r="G616" s="149">
        <v>135.79</v>
      </c>
      <c r="H616" s="149">
        <v>201</v>
      </c>
      <c r="I616" s="151">
        <v>42816</v>
      </c>
      <c r="J616" s="149" t="s">
        <v>36</v>
      </c>
      <c r="K616" s="149" t="s">
        <v>419</v>
      </c>
      <c r="L616" s="155" t="s">
        <v>2566</v>
      </c>
      <c r="M616" s="155" t="s">
        <v>2567</v>
      </c>
      <c r="N616" s="155" t="s">
        <v>2668</v>
      </c>
      <c r="O616" s="155" t="s">
        <v>2105</v>
      </c>
      <c r="P616" s="140" t="s">
        <v>2105</v>
      </c>
      <c r="Q616" s="140" t="s">
        <v>2387</v>
      </c>
      <c r="R616" s="155" t="s">
        <v>2712</v>
      </c>
      <c r="S616" s="149">
        <f t="shared" si="24"/>
        <v>4.0000000000000002E-4</v>
      </c>
      <c r="T616" s="149">
        <v>0</v>
      </c>
      <c r="U616" s="157">
        <v>4.0000000000000002E-4</v>
      </c>
      <c r="V616" s="157">
        <v>1.2470000000000001</v>
      </c>
      <c r="W616" s="157">
        <f>2.684+0.59+1.867</f>
        <v>5.141</v>
      </c>
      <c r="X616" s="149">
        <f t="shared" si="23"/>
        <v>6.4108270000000003</v>
      </c>
      <c r="Y616" s="149"/>
    </row>
    <row r="617" spans="1:25" ht="16">
      <c r="A617" s="117" t="s">
        <v>3570</v>
      </c>
      <c r="B617" s="150" t="s">
        <v>682</v>
      </c>
      <c r="C617" s="149" t="s">
        <v>1744</v>
      </c>
      <c r="D617" s="149" t="s">
        <v>3555</v>
      </c>
      <c r="E617" s="149" t="s">
        <v>593</v>
      </c>
      <c r="F617" s="149">
        <v>-26.365555560000001</v>
      </c>
      <c r="G617" s="149">
        <v>135.79</v>
      </c>
      <c r="H617" s="149">
        <v>201</v>
      </c>
      <c r="I617" s="151">
        <v>42816</v>
      </c>
      <c r="J617" s="149" t="s">
        <v>36</v>
      </c>
      <c r="K617" s="149" t="s">
        <v>419</v>
      </c>
      <c r="L617" s="155" t="s">
        <v>2566</v>
      </c>
      <c r="M617" s="155" t="s">
        <v>2567</v>
      </c>
      <c r="N617" s="155" t="s">
        <v>2668</v>
      </c>
      <c r="O617" s="155" t="s">
        <v>2105</v>
      </c>
      <c r="P617" s="140" t="s">
        <v>2105</v>
      </c>
      <c r="Q617" s="140" t="s">
        <v>2387</v>
      </c>
      <c r="R617" s="155" t="s">
        <v>2713</v>
      </c>
      <c r="S617" s="149">
        <f t="shared" si="24"/>
        <v>5.0000000000000001E-4</v>
      </c>
      <c r="T617" s="140">
        <v>0</v>
      </c>
      <c r="U617" s="157">
        <v>5.0000000000000001E-4</v>
      </c>
      <c r="V617" s="157">
        <v>1.4930000000000001</v>
      </c>
      <c r="W617" s="157">
        <f>2.779+0.75+1.026+1.323</f>
        <v>5.8780000000000001</v>
      </c>
      <c r="X617" s="149">
        <f t="shared" si="23"/>
        <v>8.7758540000000007</v>
      </c>
      <c r="Y617" s="149"/>
    </row>
    <row r="618" spans="1:25" ht="16">
      <c r="A618" s="117" t="s">
        <v>3570</v>
      </c>
      <c r="B618" s="150" t="s">
        <v>683</v>
      </c>
      <c r="C618" s="149" t="s">
        <v>1744</v>
      </c>
      <c r="D618" s="149" t="s">
        <v>3555</v>
      </c>
      <c r="E618" s="149" t="s">
        <v>593</v>
      </c>
      <c r="F618" s="149">
        <v>-26.365555560000001</v>
      </c>
      <c r="G618" s="149">
        <v>135.79</v>
      </c>
      <c r="H618" s="149">
        <v>201</v>
      </c>
      <c r="I618" s="151">
        <v>42816</v>
      </c>
      <c r="J618" s="149" t="s">
        <v>36</v>
      </c>
      <c r="K618" s="149" t="s">
        <v>419</v>
      </c>
      <c r="L618" s="155" t="s">
        <v>2566</v>
      </c>
      <c r="M618" s="155" t="s">
        <v>2567</v>
      </c>
      <c r="N618" s="155" t="s">
        <v>2668</v>
      </c>
      <c r="O618" s="155" t="s">
        <v>2105</v>
      </c>
      <c r="P618" s="140" t="s">
        <v>2105</v>
      </c>
      <c r="Q618" s="140" t="s">
        <v>2387</v>
      </c>
      <c r="R618" s="155" t="s">
        <v>2713</v>
      </c>
      <c r="S618" s="149">
        <f t="shared" si="24"/>
        <v>5.9999999999999995E-4</v>
      </c>
      <c r="T618" s="140">
        <v>0</v>
      </c>
      <c r="U618" s="157">
        <v>5.9999999999999995E-4</v>
      </c>
      <c r="V618" s="157">
        <v>1.444</v>
      </c>
      <c r="W618" s="157">
        <f>2.931+1.433+0.635+0.609</f>
        <v>5.6079999999999997</v>
      </c>
      <c r="X618" s="149">
        <f t="shared" si="23"/>
        <v>8.0979519999999994</v>
      </c>
      <c r="Y618" s="149"/>
    </row>
    <row r="619" spans="1:25" ht="16">
      <c r="A619" s="117" t="s">
        <v>3570</v>
      </c>
      <c r="B619" s="150" t="s">
        <v>685</v>
      </c>
      <c r="C619" s="149" t="s">
        <v>1744</v>
      </c>
      <c r="D619" s="149" t="s">
        <v>3555</v>
      </c>
      <c r="E619" s="149" t="s">
        <v>593</v>
      </c>
      <c r="F619" s="149">
        <v>-26.365555560000001</v>
      </c>
      <c r="G619" s="149">
        <v>135.79</v>
      </c>
      <c r="H619" s="149">
        <v>201</v>
      </c>
      <c r="I619" s="151">
        <v>42816</v>
      </c>
      <c r="J619" s="149" t="s">
        <v>36</v>
      </c>
      <c r="K619" s="149" t="s">
        <v>419</v>
      </c>
      <c r="L619" s="155" t="s">
        <v>2566</v>
      </c>
      <c r="M619" s="155" t="s">
        <v>2567</v>
      </c>
      <c r="N619" s="155" t="s">
        <v>2668</v>
      </c>
      <c r="O619" s="155" t="s">
        <v>2105</v>
      </c>
      <c r="P619" s="140" t="s">
        <v>2105</v>
      </c>
      <c r="Q619" s="140" t="s">
        <v>2387</v>
      </c>
      <c r="R619" s="155" t="s">
        <v>2713</v>
      </c>
      <c r="S619" s="149">
        <f t="shared" si="24"/>
        <v>5.9999999999999995E-4</v>
      </c>
      <c r="T619" s="140">
        <v>0</v>
      </c>
      <c r="U619" s="157">
        <v>5.9999999999999995E-4</v>
      </c>
      <c r="V619" s="157">
        <v>1.4139999999999999</v>
      </c>
      <c r="W619" s="157">
        <f>3.024+1.229+1.903</f>
        <v>6.1560000000000006</v>
      </c>
      <c r="X619" s="149">
        <f t="shared" si="23"/>
        <v>8.7045840000000005</v>
      </c>
      <c r="Y619" s="149"/>
    </row>
    <row r="620" spans="1:25" ht="16">
      <c r="A620" s="117" t="s">
        <v>3570</v>
      </c>
      <c r="B620" s="150" t="s">
        <v>686</v>
      </c>
      <c r="C620" s="149" t="s">
        <v>1744</v>
      </c>
      <c r="D620" s="149" t="s">
        <v>3555</v>
      </c>
      <c r="E620" s="149" t="s">
        <v>593</v>
      </c>
      <c r="F620" s="149">
        <v>-26.365555560000001</v>
      </c>
      <c r="G620" s="149">
        <v>135.79</v>
      </c>
      <c r="H620" s="149">
        <v>201</v>
      </c>
      <c r="I620" s="151">
        <v>42816</v>
      </c>
      <c r="J620" s="149" t="s">
        <v>36</v>
      </c>
      <c r="K620" s="149" t="s">
        <v>419</v>
      </c>
      <c r="L620" s="155" t="s">
        <v>2566</v>
      </c>
      <c r="M620" s="155" t="s">
        <v>2567</v>
      </c>
      <c r="N620" s="155" t="s">
        <v>2668</v>
      </c>
      <c r="O620" s="140" t="s">
        <v>2600</v>
      </c>
      <c r="P620" s="149" t="s">
        <v>2735</v>
      </c>
      <c r="Q620" s="140" t="s">
        <v>2774</v>
      </c>
      <c r="R620" s="158" t="s">
        <v>2713</v>
      </c>
      <c r="S620" s="149">
        <f t="shared" si="24"/>
        <v>6.9999999999999999E-4</v>
      </c>
      <c r="T620" s="140">
        <v>0</v>
      </c>
      <c r="U620" s="157">
        <v>6.9999999999999999E-4</v>
      </c>
      <c r="V620" s="157">
        <v>1.514</v>
      </c>
      <c r="W620" s="157">
        <f>2.855+1.237+1.996</f>
        <v>6.088000000000001</v>
      </c>
      <c r="X620" s="149">
        <f t="shared" si="23"/>
        <v>9.217232000000001</v>
      </c>
      <c r="Y620" s="149"/>
    </row>
    <row r="621" spans="1:25" ht="16">
      <c r="A621" s="117" t="s">
        <v>3570</v>
      </c>
      <c r="B621" s="150" t="s">
        <v>687</v>
      </c>
      <c r="C621" s="149" t="s">
        <v>1744</v>
      </c>
      <c r="D621" s="149" t="s">
        <v>3555</v>
      </c>
      <c r="E621" s="149" t="s">
        <v>593</v>
      </c>
      <c r="F621" s="149">
        <v>-26.365555560000001</v>
      </c>
      <c r="G621" s="149">
        <v>135.79</v>
      </c>
      <c r="H621" s="149">
        <v>201</v>
      </c>
      <c r="I621" s="151">
        <v>42816</v>
      </c>
      <c r="J621" s="149" t="s">
        <v>36</v>
      </c>
      <c r="K621" s="149" t="s">
        <v>419</v>
      </c>
      <c r="L621" s="155" t="s">
        <v>2566</v>
      </c>
      <c r="M621" s="155" t="s">
        <v>2567</v>
      </c>
      <c r="N621" s="155" t="s">
        <v>2668</v>
      </c>
      <c r="O621" s="155" t="s">
        <v>2105</v>
      </c>
      <c r="P621" s="140" t="s">
        <v>2105</v>
      </c>
      <c r="Q621" s="140" t="s">
        <v>2387</v>
      </c>
      <c r="R621" s="155" t="s">
        <v>2713</v>
      </c>
      <c r="S621" s="149">
        <f t="shared" si="24"/>
        <v>1E-3</v>
      </c>
      <c r="T621" s="140">
        <v>0</v>
      </c>
      <c r="U621" s="157">
        <v>1E-3</v>
      </c>
      <c r="V621" s="157">
        <v>1.6259999999999999</v>
      </c>
      <c r="W621" s="157">
        <f>3.224+1.003+0.904+0.927</f>
        <v>6.0579999999999998</v>
      </c>
      <c r="X621" s="149">
        <f t="shared" si="23"/>
        <v>9.8503079999999983</v>
      </c>
      <c r="Y621" s="149"/>
    </row>
    <row r="622" spans="1:25" ht="16">
      <c r="A622" s="117" t="s">
        <v>3570</v>
      </c>
      <c r="B622" s="150" t="s">
        <v>688</v>
      </c>
      <c r="C622" s="149" t="s">
        <v>1744</v>
      </c>
      <c r="D622" s="149" t="s">
        <v>3555</v>
      </c>
      <c r="E622" s="149" t="s">
        <v>593</v>
      </c>
      <c r="F622" s="149">
        <v>-26.365555560000001</v>
      </c>
      <c r="G622" s="149">
        <v>135.79</v>
      </c>
      <c r="H622" s="149">
        <v>201</v>
      </c>
      <c r="I622" s="151">
        <v>42816</v>
      </c>
      <c r="J622" s="149" t="s">
        <v>36</v>
      </c>
      <c r="K622" s="149" t="s">
        <v>419</v>
      </c>
      <c r="L622" s="155" t="s">
        <v>2566</v>
      </c>
      <c r="M622" s="155" t="s">
        <v>2567</v>
      </c>
      <c r="N622" s="155" t="s">
        <v>2668</v>
      </c>
      <c r="O622" s="155" t="s">
        <v>2105</v>
      </c>
      <c r="P622" s="140" t="s">
        <v>2105</v>
      </c>
      <c r="Q622" s="140" t="s">
        <v>2387</v>
      </c>
      <c r="R622" s="155" t="s">
        <v>2713</v>
      </c>
      <c r="S622" s="149">
        <f t="shared" si="24"/>
        <v>6.9999999999999999E-4</v>
      </c>
      <c r="T622" s="140">
        <v>0</v>
      </c>
      <c r="U622" s="157">
        <v>6.9999999999999999E-4</v>
      </c>
      <c r="V622" s="157">
        <v>1.583</v>
      </c>
      <c r="W622" s="157">
        <f>3.032+1.162+0.636+0.871</f>
        <v>5.7010000000000005</v>
      </c>
      <c r="X622" s="149">
        <f t="shared" si="23"/>
        <v>9.0246830000000013</v>
      </c>
      <c r="Y622" s="149"/>
    </row>
    <row r="623" spans="1:25" ht="16">
      <c r="A623" s="117" t="s">
        <v>3570</v>
      </c>
      <c r="B623" s="150" t="s">
        <v>689</v>
      </c>
      <c r="C623" s="149" t="s">
        <v>1744</v>
      </c>
      <c r="D623" s="149" t="s">
        <v>3555</v>
      </c>
      <c r="E623" s="149" t="s">
        <v>593</v>
      </c>
      <c r="F623" s="149">
        <v>-26.365555560000001</v>
      </c>
      <c r="G623" s="149">
        <v>135.79</v>
      </c>
      <c r="H623" s="149">
        <v>201</v>
      </c>
      <c r="I623" s="151">
        <v>42816</v>
      </c>
      <c r="J623" s="149" t="s">
        <v>36</v>
      </c>
      <c r="K623" s="149" t="s">
        <v>419</v>
      </c>
      <c r="L623" s="155" t="s">
        <v>2566</v>
      </c>
      <c r="M623" s="155" t="s">
        <v>2567</v>
      </c>
      <c r="N623" s="155" t="s">
        <v>2668</v>
      </c>
      <c r="O623" s="155" t="s">
        <v>2105</v>
      </c>
      <c r="P623" s="140" t="s">
        <v>2105</v>
      </c>
      <c r="Q623" s="140" t="s">
        <v>2387</v>
      </c>
      <c r="R623" s="155" t="s">
        <v>2713</v>
      </c>
      <c r="S623" s="149">
        <f t="shared" si="24"/>
        <v>1E-3</v>
      </c>
      <c r="T623" s="140">
        <v>0</v>
      </c>
      <c r="U623" s="157">
        <v>1E-3</v>
      </c>
      <c r="V623" s="157">
        <v>1.57</v>
      </c>
      <c r="W623" s="157">
        <f>3.081+1.266+1.723+1.314</f>
        <v>7.3839999999999995</v>
      </c>
      <c r="X623" s="149">
        <f t="shared" si="23"/>
        <v>11.592879999999999</v>
      </c>
      <c r="Y623" s="149"/>
    </row>
    <row r="624" spans="1:25" ht="16">
      <c r="A624" s="117" t="s">
        <v>3570</v>
      </c>
      <c r="B624" s="150" t="s">
        <v>690</v>
      </c>
      <c r="C624" s="149" t="s">
        <v>1744</v>
      </c>
      <c r="D624" s="149" t="s">
        <v>3555</v>
      </c>
      <c r="E624" s="149" t="s">
        <v>593</v>
      </c>
      <c r="F624" s="149">
        <v>-26.365555560000001</v>
      </c>
      <c r="G624" s="149">
        <v>135.79</v>
      </c>
      <c r="H624" s="149">
        <v>201</v>
      </c>
      <c r="I624" s="151">
        <v>42816</v>
      </c>
      <c r="J624" s="149" t="s">
        <v>36</v>
      </c>
      <c r="K624" s="149" t="s">
        <v>419</v>
      </c>
      <c r="L624" s="155" t="s">
        <v>2566</v>
      </c>
      <c r="M624" s="155" t="s">
        <v>2567</v>
      </c>
      <c r="N624" s="155" t="s">
        <v>2668</v>
      </c>
      <c r="O624" s="155" t="s">
        <v>2105</v>
      </c>
      <c r="P624" s="140" t="s">
        <v>2105</v>
      </c>
      <c r="Q624" s="140" t="s">
        <v>2387</v>
      </c>
      <c r="R624" s="155" t="s">
        <v>2713</v>
      </c>
      <c r="S624" s="149">
        <f t="shared" si="24"/>
        <v>1E-3</v>
      </c>
      <c r="T624" s="140">
        <v>0</v>
      </c>
      <c r="U624" s="157">
        <v>1E-3</v>
      </c>
      <c r="V624" s="157">
        <v>1.645</v>
      </c>
      <c r="W624" s="157">
        <f>2.536+1.077+2.991</f>
        <v>6.6040000000000001</v>
      </c>
      <c r="X624" s="149">
        <f t="shared" ref="X624:X687" si="25">V624*W624</f>
        <v>10.863580000000001</v>
      </c>
      <c r="Y624" s="149"/>
    </row>
    <row r="625" spans="1:25" ht="16">
      <c r="A625" s="117" t="s">
        <v>3570</v>
      </c>
      <c r="B625" s="150" t="s">
        <v>691</v>
      </c>
      <c r="C625" s="149" t="s">
        <v>1744</v>
      </c>
      <c r="D625" s="149" t="s">
        <v>3555</v>
      </c>
      <c r="E625" s="149" t="s">
        <v>593</v>
      </c>
      <c r="F625" s="149">
        <v>-26.365555560000001</v>
      </c>
      <c r="G625" s="149">
        <v>135.79</v>
      </c>
      <c r="H625" s="149">
        <v>201</v>
      </c>
      <c r="I625" s="151">
        <v>42816</v>
      </c>
      <c r="J625" s="149" t="s">
        <v>36</v>
      </c>
      <c r="K625" s="149" t="s">
        <v>419</v>
      </c>
      <c r="L625" s="155" t="s">
        <v>2566</v>
      </c>
      <c r="M625" s="155" t="s">
        <v>2567</v>
      </c>
      <c r="N625" s="155" t="s">
        <v>2668</v>
      </c>
      <c r="O625" s="155" t="s">
        <v>2105</v>
      </c>
      <c r="P625" s="140" t="s">
        <v>2105</v>
      </c>
      <c r="Q625" s="140" t="s">
        <v>2387</v>
      </c>
      <c r="R625" s="155" t="s">
        <v>2712</v>
      </c>
      <c r="S625" s="149">
        <f t="shared" si="24"/>
        <v>2.9999999999999997E-4</v>
      </c>
      <c r="T625" s="149">
        <v>0</v>
      </c>
      <c r="U625" s="157">
        <v>2.9999999999999997E-4</v>
      </c>
      <c r="V625" s="157">
        <v>1.21</v>
      </c>
      <c r="W625" s="157">
        <f>2.48+0.562+1.322+0.637</f>
        <v>5.0009999999999994</v>
      </c>
      <c r="X625" s="149">
        <f t="shared" si="25"/>
        <v>6.0512099999999993</v>
      </c>
      <c r="Y625" s="149"/>
    </row>
    <row r="626" spans="1:25" ht="16">
      <c r="A626" s="117" t="s">
        <v>3570</v>
      </c>
      <c r="B626" s="150" t="s">
        <v>692</v>
      </c>
      <c r="C626" s="149" t="s">
        <v>1744</v>
      </c>
      <c r="D626" s="149" t="s">
        <v>3555</v>
      </c>
      <c r="E626" s="149" t="s">
        <v>593</v>
      </c>
      <c r="F626" s="149">
        <v>-26.365555560000001</v>
      </c>
      <c r="G626" s="149">
        <v>135.79</v>
      </c>
      <c r="H626" s="149">
        <v>201</v>
      </c>
      <c r="I626" s="151">
        <v>42816</v>
      </c>
      <c r="J626" s="149" t="s">
        <v>36</v>
      </c>
      <c r="K626" s="149" t="s">
        <v>419</v>
      </c>
      <c r="L626" s="155" t="s">
        <v>2566</v>
      </c>
      <c r="M626" s="155" t="s">
        <v>2567</v>
      </c>
      <c r="N626" s="155" t="s">
        <v>2668</v>
      </c>
      <c r="O626" s="140" t="s">
        <v>2600</v>
      </c>
      <c r="P626" s="149" t="s">
        <v>2735</v>
      </c>
      <c r="Q626" s="140" t="s">
        <v>2709</v>
      </c>
      <c r="R626" s="155" t="s">
        <v>2712</v>
      </c>
      <c r="S626" s="149">
        <f t="shared" si="24"/>
        <v>5.9999999999999995E-4</v>
      </c>
      <c r="T626" s="149">
        <v>0</v>
      </c>
      <c r="U626" s="157">
        <v>5.9999999999999995E-4</v>
      </c>
      <c r="V626" s="157">
        <v>1.3280000000000001</v>
      </c>
      <c r="W626" s="157">
        <f>1.672+1.403+2.893</f>
        <v>5.968</v>
      </c>
      <c r="X626" s="149">
        <f t="shared" si="25"/>
        <v>7.9255040000000001</v>
      </c>
      <c r="Y626" s="149"/>
    </row>
    <row r="627" spans="1:25" ht="16">
      <c r="A627" s="117" t="s">
        <v>3570</v>
      </c>
      <c r="B627" s="150" t="s">
        <v>693</v>
      </c>
      <c r="C627" s="149" t="s">
        <v>1744</v>
      </c>
      <c r="D627" s="149" t="s">
        <v>3555</v>
      </c>
      <c r="E627" s="149" t="s">
        <v>593</v>
      </c>
      <c r="F627" s="149">
        <v>-26.365555560000001</v>
      </c>
      <c r="G627" s="149">
        <v>135.79</v>
      </c>
      <c r="H627" s="149">
        <v>201</v>
      </c>
      <c r="I627" s="151">
        <v>42816</v>
      </c>
      <c r="J627" s="149" t="s">
        <v>36</v>
      </c>
      <c r="K627" s="149" t="s">
        <v>419</v>
      </c>
      <c r="L627" s="155" t="s">
        <v>2566</v>
      </c>
      <c r="M627" s="155" t="s">
        <v>2567</v>
      </c>
      <c r="N627" s="155" t="s">
        <v>2668</v>
      </c>
      <c r="O627" s="155" t="s">
        <v>2105</v>
      </c>
      <c r="P627" s="140" t="s">
        <v>2105</v>
      </c>
      <c r="Q627" s="140" t="s">
        <v>2387</v>
      </c>
      <c r="R627" s="155" t="s">
        <v>2713</v>
      </c>
      <c r="S627" s="149">
        <f t="shared" si="24"/>
        <v>1E-3</v>
      </c>
      <c r="T627" s="149">
        <v>0</v>
      </c>
      <c r="U627" s="157">
        <v>1E-3</v>
      </c>
      <c r="V627" s="157">
        <v>1.6859999999999999</v>
      </c>
      <c r="W627" s="157">
        <f>3.212+1.108+2.719</f>
        <v>7.0389999999999997</v>
      </c>
      <c r="X627" s="149">
        <f t="shared" si="25"/>
        <v>11.867754</v>
      </c>
      <c r="Y627" s="149"/>
    </row>
    <row r="628" spans="1:25" ht="16">
      <c r="A628" s="117" t="s">
        <v>3570</v>
      </c>
      <c r="B628" s="150" t="s">
        <v>694</v>
      </c>
      <c r="C628" s="149" t="s">
        <v>1744</v>
      </c>
      <c r="D628" s="149" t="s">
        <v>3555</v>
      </c>
      <c r="E628" s="149" t="s">
        <v>593</v>
      </c>
      <c r="F628" s="149">
        <v>-26.365555560000001</v>
      </c>
      <c r="G628" s="149">
        <v>135.79</v>
      </c>
      <c r="H628" s="149">
        <v>201</v>
      </c>
      <c r="I628" s="151">
        <v>42816</v>
      </c>
      <c r="J628" s="149" t="s">
        <v>36</v>
      </c>
      <c r="K628" s="149" t="s">
        <v>419</v>
      </c>
      <c r="L628" s="155" t="s">
        <v>2566</v>
      </c>
      <c r="M628" s="155" t="s">
        <v>2567</v>
      </c>
      <c r="N628" s="155" t="s">
        <v>2668</v>
      </c>
      <c r="O628" s="155" t="s">
        <v>2105</v>
      </c>
      <c r="P628" s="140" t="s">
        <v>2105</v>
      </c>
      <c r="Q628" s="140" t="s">
        <v>2387</v>
      </c>
      <c r="R628" s="155" t="s">
        <v>2713</v>
      </c>
      <c r="S628" s="149">
        <f t="shared" si="24"/>
        <v>5.9999999999999995E-4</v>
      </c>
      <c r="T628" s="149">
        <v>0</v>
      </c>
      <c r="U628" s="157">
        <v>5.9999999999999995E-4</v>
      </c>
      <c r="V628" s="157">
        <v>1.4490000000000001</v>
      </c>
      <c r="W628" s="157">
        <f>3.666+2.668</f>
        <v>6.3339999999999996</v>
      </c>
      <c r="X628" s="149">
        <f t="shared" si="25"/>
        <v>9.1779659999999996</v>
      </c>
      <c r="Y628" s="149"/>
    </row>
    <row r="629" spans="1:25" ht="16">
      <c r="A629" s="117" t="s">
        <v>3570</v>
      </c>
      <c r="B629" s="150" t="s">
        <v>695</v>
      </c>
      <c r="C629" s="149" t="s">
        <v>1744</v>
      </c>
      <c r="D629" s="149" t="s">
        <v>3555</v>
      </c>
      <c r="E629" s="149" t="s">
        <v>593</v>
      </c>
      <c r="F629" s="149">
        <v>-26.365555560000001</v>
      </c>
      <c r="G629" s="149">
        <v>135.79</v>
      </c>
      <c r="H629" s="149">
        <v>201</v>
      </c>
      <c r="I629" s="151">
        <v>42816</v>
      </c>
      <c r="J629" s="149" t="s">
        <v>36</v>
      </c>
      <c r="K629" s="149" t="s">
        <v>419</v>
      </c>
      <c r="L629" s="155" t="s">
        <v>2566</v>
      </c>
      <c r="M629" s="155" t="s">
        <v>2567</v>
      </c>
      <c r="N629" s="155" t="s">
        <v>2668</v>
      </c>
      <c r="O629" s="155" t="s">
        <v>2105</v>
      </c>
      <c r="P629" s="140" t="s">
        <v>2105</v>
      </c>
      <c r="Q629" s="140" t="s">
        <v>2387</v>
      </c>
      <c r="R629" s="155" t="s">
        <v>2713</v>
      </c>
      <c r="S629" s="149">
        <f t="shared" si="24"/>
        <v>5.0000000000000001E-4</v>
      </c>
      <c r="T629" s="149">
        <v>0</v>
      </c>
      <c r="U629" s="157">
        <v>5.0000000000000001E-4</v>
      </c>
      <c r="V629" s="157">
        <v>1.56</v>
      </c>
      <c r="W629" s="157">
        <f>2.572+0.759+2.32</f>
        <v>5.6509999999999998</v>
      </c>
      <c r="X629" s="149">
        <f t="shared" si="25"/>
        <v>8.8155599999999996</v>
      </c>
      <c r="Y629" s="149"/>
    </row>
    <row r="630" spans="1:25" ht="16">
      <c r="A630" s="117" t="s">
        <v>3570</v>
      </c>
      <c r="B630" s="150" t="s">
        <v>696</v>
      </c>
      <c r="C630" s="149" t="s">
        <v>1744</v>
      </c>
      <c r="D630" s="149" t="s">
        <v>3555</v>
      </c>
      <c r="E630" s="149" t="s">
        <v>593</v>
      </c>
      <c r="F630" s="149">
        <v>-26.365555560000001</v>
      </c>
      <c r="G630" s="149">
        <v>135.79</v>
      </c>
      <c r="H630" s="149">
        <v>201</v>
      </c>
      <c r="I630" s="151">
        <v>42816</v>
      </c>
      <c r="J630" s="149" t="s">
        <v>36</v>
      </c>
      <c r="K630" s="149" t="s">
        <v>419</v>
      </c>
      <c r="L630" s="155" t="s">
        <v>2566</v>
      </c>
      <c r="M630" s="155" t="s">
        <v>2567</v>
      </c>
      <c r="N630" s="155" t="s">
        <v>2668</v>
      </c>
      <c r="O630" s="155" t="s">
        <v>2105</v>
      </c>
      <c r="P630" s="140" t="s">
        <v>2105</v>
      </c>
      <c r="Q630" s="140" t="s">
        <v>2387</v>
      </c>
      <c r="R630" s="155" t="s">
        <v>2713</v>
      </c>
      <c r="S630" s="149">
        <f t="shared" si="24"/>
        <v>8.9999999999999998E-4</v>
      </c>
      <c r="T630" s="149">
        <v>0</v>
      </c>
      <c r="U630" s="157">
        <v>8.9999999999999998E-4</v>
      </c>
      <c r="V630" s="157">
        <v>1.7070000000000001</v>
      </c>
      <c r="W630" s="157">
        <f>4.087+1.329+1.101</f>
        <v>6.5169999999999995</v>
      </c>
      <c r="X630" s="149">
        <f t="shared" si="25"/>
        <v>11.124518999999999</v>
      </c>
      <c r="Y630" s="149"/>
    </row>
    <row r="631" spans="1:25" ht="16">
      <c r="A631" s="117" t="s">
        <v>3570</v>
      </c>
      <c r="B631" s="150" t="s">
        <v>697</v>
      </c>
      <c r="C631" s="149" t="s">
        <v>1744</v>
      </c>
      <c r="D631" s="149" t="s">
        <v>3555</v>
      </c>
      <c r="E631" s="149" t="s">
        <v>593</v>
      </c>
      <c r="F631" s="149">
        <v>-26.365555560000001</v>
      </c>
      <c r="G631" s="149">
        <v>135.79</v>
      </c>
      <c r="H631" s="149">
        <v>201</v>
      </c>
      <c r="I631" s="151">
        <v>42816</v>
      </c>
      <c r="J631" s="149" t="s">
        <v>36</v>
      </c>
      <c r="K631" s="149" t="s">
        <v>419</v>
      </c>
      <c r="L631" s="155" t="s">
        <v>2566</v>
      </c>
      <c r="M631" s="155" t="s">
        <v>2567</v>
      </c>
      <c r="N631" s="155" t="s">
        <v>2668</v>
      </c>
      <c r="O631" s="155" t="s">
        <v>2105</v>
      </c>
      <c r="P631" s="140" t="s">
        <v>2105</v>
      </c>
      <c r="Q631" s="140" t="s">
        <v>2387</v>
      </c>
      <c r="R631" s="155" t="s">
        <v>2713</v>
      </c>
      <c r="S631" s="149">
        <f t="shared" si="24"/>
        <v>6.9999999999999999E-4</v>
      </c>
      <c r="T631" s="149">
        <v>0</v>
      </c>
      <c r="U631" s="157">
        <v>6.9999999999999999E-4</v>
      </c>
      <c r="V631" s="157">
        <v>1.5269999999999999</v>
      </c>
      <c r="W631" s="157">
        <f>3.088+0.799+1.342+0.994</f>
        <v>6.2229999999999999</v>
      </c>
      <c r="X631" s="149">
        <f t="shared" si="25"/>
        <v>9.5025209999999998</v>
      </c>
      <c r="Y631" s="149"/>
    </row>
    <row r="632" spans="1:25" ht="16">
      <c r="A632" s="117" t="s">
        <v>3570</v>
      </c>
      <c r="B632" s="150" t="s">
        <v>698</v>
      </c>
      <c r="C632" s="149" t="s">
        <v>1744</v>
      </c>
      <c r="D632" s="149" t="s">
        <v>3555</v>
      </c>
      <c r="E632" s="149" t="s">
        <v>593</v>
      </c>
      <c r="F632" s="149">
        <v>-26.365555560000001</v>
      </c>
      <c r="G632" s="149">
        <v>135.79</v>
      </c>
      <c r="H632" s="149">
        <v>201</v>
      </c>
      <c r="I632" s="151">
        <v>42816</v>
      </c>
      <c r="J632" s="149" t="s">
        <v>36</v>
      </c>
      <c r="K632" s="149" t="s">
        <v>419</v>
      </c>
      <c r="L632" s="155" t="s">
        <v>2566</v>
      </c>
      <c r="M632" s="155" t="s">
        <v>2567</v>
      </c>
      <c r="N632" s="155" t="s">
        <v>2668</v>
      </c>
      <c r="O632" s="155" t="s">
        <v>2105</v>
      </c>
      <c r="P632" s="140" t="s">
        <v>2105</v>
      </c>
      <c r="Q632" s="140" t="s">
        <v>2387</v>
      </c>
      <c r="R632" s="155" t="s">
        <v>2713</v>
      </c>
      <c r="S632" s="149">
        <f t="shared" si="24"/>
        <v>8.9999999999999998E-4</v>
      </c>
      <c r="T632" s="149">
        <v>0</v>
      </c>
      <c r="U632" s="157">
        <v>8.9999999999999998E-4</v>
      </c>
      <c r="V632" s="157">
        <v>1.5580000000000001</v>
      </c>
      <c r="W632" s="157">
        <f>3.008+1.183+1.832+1.036</f>
        <v>7.0589999999999993</v>
      </c>
      <c r="X632" s="149">
        <f t="shared" si="25"/>
        <v>10.997921999999999</v>
      </c>
      <c r="Y632" s="149"/>
    </row>
    <row r="633" spans="1:25" ht="16">
      <c r="A633" s="117" t="s">
        <v>3570</v>
      </c>
      <c r="B633" s="150" t="s">
        <v>699</v>
      </c>
      <c r="C633" s="149" t="s">
        <v>1744</v>
      </c>
      <c r="D633" s="149" t="s">
        <v>3555</v>
      </c>
      <c r="E633" s="149" t="s">
        <v>593</v>
      </c>
      <c r="F633" s="149">
        <v>-26.365555560000001</v>
      </c>
      <c r="G633" s="149">
        <v>135.79</v>
      </c>
      <c r="H633" s="149">
        <v>201</v>
      </c>
      <c r="I633" s="151">
        <v>42816</v>
      </c>
      <c r="J633" s="149" t="s">
        <v>36</v>
      </c>
      <c r="K633" s="149" t="s">
        <v>419</v>
      </c>
      <c r="L633" s="155" t="s">
        <v>2566</v>
      </c>
      <c r="M633" s="155" t="s">
        <v>2567</v>
      </c>
      <c r="N633" s="155" t="s">
        <v>2668</v>
      </c>
      <c r="O633" s="155" t="s">
        <v>2105</v>
      </c>
      <c r="P633" s="140" t="s">
        <v>2105</v>
      </c>
      <c r="Q633" s="140" t="s">
        <v>2387</v>
      </c>
      <c r="R633" s="155" t="s">
        <v>2713</v>
      </c>
      <c r="S633" s="149">
        <f t="shared" si="24"/>
        <v>8.0000000000000004E-4</v>
      </c>
      <c r="T633" s="149">
        <v>0</v>
      </c>
      <c r="U633" s="157">
        <v>8.0000000000000004E-4</v>
      </c>
      <c r="V633" s="157">
        <v>1.6180000000000001</v>
      </c>
      <c r="W633" s="157">
        <f>2.224+0.726+2.886</f>
        <v>5.8360000000000003</v>
      </c>
      <c r="X633" s="149">
        <f t="shared" si="25"/>
        <v>9.4426480000000019</v>
      </c>
      <c r="Y633" s="149"/>
    </row>
    <row r="634" spans="1:25" ht="16">
      <c r="A634" s="117" t="s">
        <v>3570</v>
      </c>
      <c r="B634" s="150" t="s">
        <v>451</v>
      </c>
      <c r="C634" s="149" t="s">
        <v>1744</v>
      </c>
      <c r="D634" s="149" t="s">
        <v>3555</v>
      </c>
      <c r="E634" s="149" t="s">
        <v>418</v>
      </c>
      <c r="F634" s="149">
        <v>-26.284722200000001</v>
      </c>
      <c r="G634" s="149">
        <v>136.09805556000001</v>
      </c>
      <c r="H634" s="149">
        <v>201</v>
      </c>
      <c r="I634" s="151">
        <v>42816</v>
      </c>
      <c r="J634" s="149" t="s">
        <v>36</v>
      </c>
      <c r="K634" s="149" t="s">
        <v>419</v>
      </c>
      <c r="L634" s="140" t="s">
        <v>2569</v>
      </c>
      <c r="M634" s="140" t="s">
        <v>2570</v>
      </c>
      <c r="N634" s="140" t="s">
        <v>2571</v>
      </c>
      <c r="O634" s="140" t="s">
        <v>2369</v>
      </c>
      <c r="P634" s="140" t="s">
        <v>3556</v>
      </c>
      <c r="Q634" s="140" t="s">
        <v>2675</v>
      </c>
      <c r="R634" s="140" t="s">
        <v>2712</v>
      </c>
      <c r="S634" s="149">
        <f t="shared" si="24"/>
        <v>3.0000000000000001E-3</v>
      </c>
      <c r="T634" s="149">
        <v>0</v>
      </c>
      <c r="U634" s="157">
        <v>3.0000000000000001E-3</v>
      </c>
      <c r="V634" s="157">
        <v>2.2770000000000001</v>
      </c>
      <c r="W634" s="157">
        <v>8.9209999999999994</v>
      </c>
      <c r="X634" s="149">
        <f t="shared" si="25"/>
        <v>20.313116999999998</v>
      </c>
      <c r="Y634" s="149"/>
    </row>
    <row r="635" spans="1:25" ht="16">
      <c r="A635" s="117" t="s">
        <v>3570</v>
      </c>
      <c r="B635" s="150" t="s">
        <v>700</v>
      </c>
      <c r="C635" s="149" t="s">
        <v>1744</v>
      </c>
      <c r="D635" s="149" t="s">
        <v>3555</v>
      </c>
      <c r="E635" s="149" t="s">
        <v>593</v>
      </c>
      <c r="F635" s="149">
        <v>-26.365555560000001</v>
      </c>
      <c r="G635" s="149">
        <v>135.79</v>
      </c>
      <c r="H635" s="149">
        <v>201</v>
      </c>
      <c r="I635" s="151">
        <v>42816</v>
      </c>
      <c r="J635" s="149" t="s">
        <v>36</v>
      </c>
      <c r="K635" s="149" t="s">
        <v>419</v>
      </c>
      <c r="L635" s="155" t="s">
        <v>2566</v>
      </c>
      <c r="M635" s="155" t="s">
        <v>2567</v>
      </c>
      <c r="N635" s="155" t="s">
        <v>2668</v>
      </c>
      <c r="O635" s="155" t="s">
        <v>2105</v>
      </c>
      <c r="P635" s="140" t="s">
        <v>2105</v>
      </c>
      <c r="Q635" s="140" t="s">
        <v>2387</v>
      </c>
      <c r="R635" s="155" t="s">
        <v>2713</v>
      </c>
      <c r="S635" s="149">
        <f t="shared" si="24"/>
        <v>6.9999999999999999E-4</v>
      </c>
      <c r="T635" s="149">
        <v>0</v>
      </c>
      <c r="U635" s="157">
        <v>6.9999999999999999E-4</v>
      </c>
      <c r="V635" s="157">
        <v>1.4910000000000001</v>
      </c>
      <c r="W635" s="157">
        <f>2.764+0.979+2.271</f>
        <v>6.0139999999999993</v>
      </c>
      <c r="X635" s="149">
        <f t="shared" si="25"/>
        <v>8.9668739999999989</v>
      </c>
      <c r="Y635" s="149"/>
    </row>
    <row r="636" spans="1:25" ht="16">
      <c r="A636" s="117" t="s">
        <v>3570</v>
      </c>
      <c r="B636" s="150" t="s">
        <v>701</v>
      </c>
      <c r="C636" s="149" t="s">
        <v>1744</v>
      </c>
      <c r="D636" s="149" t="s">
        <v>3555</v>
      </c>
      <c r="E636" s="149" t="s">
        <v>593</v>
      </c>
      <c r="F636" s="149">
        <v>-26.365555560000001</v>
      </c>
      <c r="G636" s="149">
        <v>135.79</v>
      </c>
      <c r="H636" s="149">
        <v>201</v>
      </c>
      <c r="I636" s="151">
        <v>42816</v>
      </c>
      <c r="J636" s="149" t="s">
        <v>36</v>
      </c>
      <c r="K636" s="149" t="s">
        <v>419</v>
      </c>
      <c r="L636" s="155" t="s">
        <v>2566</v>
      </c>
      <c r="M636" s="155" t="s">
        <v>2567</v>
      </c>
      <c r="N636" s="155" t="s">
        <v>2668</v>
      </c>
      <c r="O636" s="155" t="s">
        <v>2105</v>
      </c>
      <c r="P636" s="140" t="s">
        <v>2105</v>
      </c>
      <c r="Q636" s="140" t="s">
        <v>2387</v>
      </c>
      <c r="R636" s="155" t="s">
        <v>2713</v>
      </c>
      <c r="S636" s="149">
        <f t="shared" si="24"/>
        <v>8.9999999999999998E-4</v>
      </c>
      <c r="T636" s="149">
        <v>0</v>
      </c>
      <c r="U636" s="157">
        <v>8.9999999999999998E-4</v>
      </c>
      <c r="V636" s="157">
        <v>1.488</v>
      </c>
      <c r="W636" s="157">
        <f>2.855+0.971+0.948+1.51</f>
        <v>6.2839999999999998</v>
      </c>
      <c r="X636" s="149">
        <f t="shared" si="25"/>
        <v>9.3505919999999989</v>
      </c>
      <c r="Y636" s="149"/>
    </row>
    <row r="637" spans="1:25" ht="16">
      <c r="A637" s="117" t="s">
        <v>3570</v>
      </c>
      <c r="B637" s="150" t="s">
        <v>702</v>
      </c>
      <c r="C637" s="149" t="s">
        <v>1744</v>
      </c>
      <c r="D637" s="149" t="s">
        <v>3555</v>
      </c>
      <c r="E637" s="149" t="s">
        <v>593</v>
      </c>
      <c r="F637" s="149">
        <v>-26.365555560000001</v>
      </c>
      <c r="G637" s="149">
        <v>135.79</v>
      </c>
      <c r="H637" s="149">
        <v>201</v>
      </c>
      <c r="I637" s="151">
        <v>42816</v>
      </c>
      <c r="J637" s="149" t="s">
        <v>36</v>
      </c>
      <c r="K637" s="149" t="s">
        <v>419</v>
      </c>
      <c r="L637" s="155" t="s">
        <v>2566</v>
      </c>
      <c r="M637" s="155" t="s">
        <v>2567</v>
      </c>
      <c r="N637" s="155" t="s">
        <v>2668</v>
      </c>
      <c r="O637" s="155" t="s">
        <v>2105</v>
      </c>
      <c r="P637" s="140" t="s">
        <v>2105</v>
      </c>
      <c r="Q637" s="140" t="s">
        <v>2387</v>
      </c>
      <c r="R637" s="155" t="s">
        <v>2713</v>
      </c>
      <c r="S637" s="149">
        <f t="shared" si="24"/>
        <v>6.9999999999999999E-4</v>
      </c>
      <c r="T637" s="149">
        <v>0</v>
      </c>
      <c r="U637" s="157">
        <v>6.9999999999999999E-4</v>
      </c>
      <c r="V637" s="157">
        <v>1.4690000000000001</v>
      </c>
      <c r="W637" s="157">
        <f>2.797+0.794+0.763+1.848</f>
        <v>6.202</v>
      </c>
      <c r="X637" s="149">
        <f t="shared" si="25"/>
        <v>9.1107380000000013</v>
      </c>
      <c r="Y637" s="149"/>
    </row>
    <row r="638" spans="1:25" ht="16">
      <c r="A638" s="117" t="s">
        <v>3570</v>
      </c>
      <c r="B638" s="150" t="s">
        <v>703</v>
      </c>
      <c r="C638" s="149" t="s">
        <v>1744</v>
      </c>
      <c r="D638" s="149" t="s">
        <v>3555</v>
      </c>
      <c r="E638" s="149" t="s">
        <v>593</v>
      </c>
      <c r="F638" s="149">
        <v>-26.365555560000001</v>
      </c>
      <c r="G638" s="149">
        <v>135.79</v>
      </c>
      <c r="H638" s="149">
        <v>201</v>
      </c>
      <c r="I638" s="151">
        <v>42816</v>
      </c>
      <c r="J638" s="149" t="s">
        <v>36</v>
      </c>
      <c r="K638" s="149" t="s">
        <v>419</v>
      </c>
      <c r="L638" s="155" t="s">
        <v>2566</v>
      </c>
      <c r="M638" s="155" t="s">
        <v>2567</v>
      </c>
      <c r="N638" s="155" t="s">
        <v>2668</v>
      </c>
      <c r="O638" s="155" t="s">
        <v>2105</v>
      </c>
      <c r="P638" s="140" t="s">
        <v>2105</v>
      </c>
      <c r="Q638" s="140" t="s">
        <v>2387</v>
      </c>
      <c r="R638" s="155" t="s">
        <v>2713</v>
      </c>
      <c r="S638" s="149">
        <f t="shared" si="24"/>
        <v>8.0000000000000004E-4</v>
      </c>
      <c r="T638" s="149">
        <v>0</v>
      </c>
      <c r="U638" s="157">
        <v>8.0000000000000004E-4</v>
      </c>
      <c r="V638" s="157">
        <v>1.49</v>
      </c>
      <c r="W638" s="157">
        <f>1.307+0.961+0.713+2.848</f>
        <v>5.8289999999999997</v>
      </c>
      <c r="X638" s="149">
        <f t="shared" si="25"/>
        <v>8.6852099999999997</v>
      </c>
      <c r="Y638" s="149"/>
    </row>
    <row r="639" spans="1:25" ht="16">
      <c r="A639" s="117" t="s">
        <v>3570</v>
      </c>
      <c r="B639" s="150" t="s">
        <v>704</v>
      </c>
      <c r="C639" s="149" t="s">
        <v>1744</v>
      </c>
      <c r="D639" s="149" t="s">
        <v>3555</v>
      </c>
      <c r="E639" s="149" t="s">
        <v>593</v>
      </c>
      <c r="F639" s="149">
        <v>-26.365555560000001</v>
      </c>
      <c r="G639" s="149">
        <v>135.79</v>
      </c>
      <c r="H639" s="149">
        <v>201</v>
      </c>
      <c r="I639" s="151">
        <v>42816</v>
      </c>
      <c r="J639" s="149" t="s">
        <v>36</v>
      </c>
      <c r="K639" s="149" t="s">
        <v>419</v>
      </c>
      <c r="L639" s="155" t="s">
        <v>2566</v>
      </c>
      <c r="M639" s="155" t="s">
        <v>2567</v>
      </c>
      <c r="N639" s="155" t="s">
        <v>2668</v>
      </c>
      <c r="O639" s="155" t="s">
        <v>2105</v>
      </c>
      <c r="P639" s="140" t="s">
        <v>2105</v>
      </c>
      <c r="Q639" s="140" t="s">
        <v>2387</v>
      </c>
      <c r="R639" s="155" t="s">
        <v>2713</v>
      </c>
      <c r="S639" s="149">
        <f t="shared" si="24"/>
        <v>6.9999999999999999E-4</v>
      </c>
      <c r="T639" s="149">
        <v>0</v>
      </c>
      <c r="U639" s="157">
        <v>6.9999999999999999E-4</v>
      </c>
      <c r="V639" s="157">
        <v>1.4910000000000001</v>
      </c>
      <c r="W639" s="157">
        <f>3.009+0.88+1.347+1.245</f>
        <v>6.4809999999999999</v>
      </c>
      <c r="X639" s="149">
        <f t="shared" si="25"/>
        <v>9.6631710000000002</v>
      </c>
      <c r="Y639" s="149"/>
    </row>
    <row r="640" spans="1:25" ht="16">
      <c r="A640" s="117" t="s">
        <v>3570</v>
      </c>
      <c r="B640" s="150" t="s">
        <v>705</v>
      </c>
      <c r="C640" s="149" t="s">
        <v>1744</v>
      </c>
      <c r="D640" s="149" t="s">
        <v>3555</v>
      </c>
      <c r="E640" s="149" t="s">
        <v>593</v>
      </c>
      <c r="F640" s="149">
        <v>-26.365555560000001</v>
      </c>
      <c r="G640" s="149">
        <v>135.79</v>
      </c>
      <c r="H640" s="149">
        <v>201</v>
      </c>
      <c r="I640" s="151">
        <v>42816</v>
      </c>
      <c r="J640" s="149" t="s">
        <v>36</v>
      </c>
      <c r="K640" s="149" t="s">
        <v>419</v>
      </c>
      <c r="L640" s="155" t="s">
        <v>2566</v>
      </c>
      <c r="M640" s="155" t="s">
        <v>2567</v>
      </c>
      <c r="N640" s="155" t="s">
        <v>2668</v>
      </c>
      <c r="O640" s="140" t="s">
        <v>2600</v>
      </c>
      <c r="P640" s="149" t="s">
        <v>2735</v>
      </c>
      <c r="Q640" s="140" t="s">
        <v>2709</v>
      </c>
      <c r="R640" s="155" t="s">
        <v>2712</v>
      </c>
      <c r="S640" s="149">
        <f t="shared" si="24"/>
        <v>4.0000000000000002E-4</v>
      </c>
      <c r="T640" s="149">
        <v>0</v>
      </c>
      <c r="U640" s="157">
        <v>4.0000000000000002E-4</v>
      </c>
      <c r="V640" s="157">
        <v>1.2989999999999999</v>
      </c>
      <c r="W640" s="157">
        <f>2.539+0.873+1.455</f>
        <v>4.867</v>
      </c>
      <c r="X640" s="149">
        <f t="shared" si="25"/>
        <v>6.3222329999999998</v>
      </c>
      <c r="Y640" s="149"/>
    </row>
    <row r="641" spans="1:25" ht="16">
      <c r="A641" s="117" t="s">
        <v>3570</v>
      </c>
      <c r="B641" s="150" t="s">
        <v>706</v>
      </c>
      <c r="C641" s="149" t="s">
        <v>1744</v>
      </c>
      <c r="D641" s="149" t="s">
        <v>3555</v>
      </c>
      <c r="E641" s="149" t="s">
        <v>593</v>
      </c>
      <c r="F641" s="149">
        <v>-26.365555560000001</v>
      </c>
      <c r="G641" s="149">
        <v>135.79</v>
      </c>
      <c r="H641" s="149">
        <v>201</v>
      </c>
      <c r="I641" s="151">
        <v>42816</v>
      </c>
      <c r="J641" s="149" t="s">
        <v>36</v>
      </c>
      <c r="K641" s="149" t="s">
        <v>419</v>
      </c>
      <c r="L641" s="140" t="s">
        <v>2572</v>
      </c>
      <c r="M641" s="140" t="s">
        <v>2407</v>
      </c>
      <c r="N641" s="140" t="s">
        <v>36</v>
      </c>
      <c r="O641" s="140" t="s">
        <v>2215</v>
      </c>
      <c r="P641" s="140" t="s">
        <v>2215</v>
      </c>
      <c r="Q641" s="140" t="s">
        <v>2702</v>
      </c>
      <c r="R641" s="140" t="s">
        <v>2713</v>
      </c>
      <c r="S641" s="149">
        <f t="shared" si="24"/>
        <v>5.0000000000000001E-4</v>
      </c>
      <c r="T641" s="149">
        <v>0</v>
      </c>
      <c r="U641" s="157">
        <v>5.0000000000000001E-4</v>
      </c>
      <c r="V641" s="157">
        <v>1.2370000000000001</v>
      </c>
      <c r="W641" s="157">
        <f>2.472+3.513</f>
        <v>5.9849999999999994</v>
      </c>
      <c r="X641" s="149">
        <f t="shared" si="25"/>
        <v>7.4034449999999996</v>
      </c>
      <c r="Y641" s="149"/>
    </row>
    <row r="642" spans="1:25" ht="16">
      <c r="A642" s="117" t="s">
        <v>3570</v>
      </c>
      <c r="B642" s="150" t="s">
        <v>707</v>
      </c>
      <c r="C642" s="149" t="s">
        <v>1744</v>
      </c>
      <c r="D642" s="149" t="s">
        <v>3555</v>
      </c>
      <c r="E642" s="149" t="s">
        <v>593</v>
      </c>
      <c r="F642" s="149">
        <v>-26.365555560000001</v>
      </c>
      <c r="G642" s="149">
        <v>135.79</v>
      </c>
      <c r="H642" s="149">
        <v>201</v>
      </c>
      <c r="I642" s="151">
        <v>42816</v>
      </c>
      <c r="J642" s="149" t="s">
        <v>36</v>
      </c>
      <c r="K642" s="149" t="s">
        <v>419</v>
      </c>
      <c r="L642" s="155" t="s">
        <v>2566</v>
      </c>
      <c r="M642" s="155" t="s">
        <v>2567</v>
      </c>
      <c r="N642" s="155" t="s">
        <v>2668</v>
      </c>
      <c r="O642" s="155" t="s">
        <v>2105</v>
      </c>
      <c r="P642" s="140" t="s">
        <v>2105</v>
      </c>
      <c r="Q642" s="140" t="s">
        <v>2387</v>
      </c>
      <c r="R642" s="155" t="s">
        <v>2713</v>
      </c>
      <c r="S642" s="149">
        <f t="shared" si="24"/>
        <v>8.9999999999999998E-4</v>
      </c>
      <c r="T642" s="149">
        <v>0</v>
      </c>
      <c r="U642" s="157">
        <v>8.9999999999999998E-4</v>
      </c>
      <c r="V642" s="157">
        <v>1.5980000000000001</v>
      </c>
      <c r="W642" s="157">
        <f>3.084+0.73+2.601</f>
        <v>6.415</v>
      </c>
      <c r="X642" s="149">
        <f t="shared" si="25"/>
        <v>10.25117</v>
      </c>
      <c r="Y642" s="149"/>
    </row>
    <row r="643" spans="1:25" ht="16">
      <c r="A643" s="117" t="s">
        <v>3570</v>
      </c>
      <c r="B643" s="150" t="s">
        <v>708</v>
      </c>
      <c r="C643" s="149" t="s">
        <v>1744</v>
      </c>
      <c r="D643" s="149" t="s">
        <v>3555</v>
      </c>
      <c r="E643" s="149" t="s">
        <v>593</v>
      </c>
      <c r="F643" s="149">
        <v>-26.365555560000001</v>
      </c>
      <c r="G643" s="149">
        <v>135.79</v>
      </c>
      <c r="H643" s="149">
        <v>201</v>
      </c>
      <c r="I643" s="151">
        <v>42816</v>
      </c>
      <c r="J643" s="149" t="s">
        <v>36</v>
      </c>
      <c r="K643" s="149" t="s">
        <v>419</v>
      </c>
      <c r="L643" s="155" t="s">
        <v>2566</v>
      </c>
      <c r="M643" s="155" t="s">
        <v>2567</v>
      </c>
      <c r="N643" s="155" t="s">
        <v>2668</v>
      </c>
      <c r="O643" s="155" t="s">
        <v>2105</v>
      </c>
      <c r="P643" s="140" t="s">
        <v>2105</v>
      </c>
      <c r="Q643" s="140" t="s">
        <v>2387</v>
      </c>
      <c r="R643" s="155" t="s">
        <v>2713</v>
      </c>
      <c r="S643" s="149">
        <f t="shared" si="24"/>
        <v>5.9999999999999995E-4</v>
      </c>
      <c r="T643" s="149">
        <v>0</v>
      </c>
      <c r="U643" s="157">
        <v>5.9999999999999995E-4</v>
      </c>
      <c r="V643" s="157">
        <v>1.538</v>
      </c>
      <c r="W643" s="157">
        <f>2.9+1.448+1.801</f>
        <v>6.149</v>
      </c>
      <c r="X643" s="149">
        <f t="shared" si="25"/>
        <v>9.4571620000000003</v>
      </c>
      <c r="Y643" s="149"/>
    </row>
    <row r="644" spans="1:25" ht="16">
      <c r="A644" s="117" t="s">
        <v>3570</v>
      </c>
      <c r="B644" s="150" t="s">
        <v>709</v>
      </c>
      <c r="C644" s="149" t="s">
        <v>1744</v>
      </c>
      <c r="D644" s="149" t="s">
        <v>3555</v>
      </c>
      <c r="E644" s="149" t="s">
        <v>593</v>
      </c>
      <c r="F644" s="149">
        <v>-26.365555560000001</v>
      </c>
      <c r="G644" s="149">
        <v>135.79</v>
      </c>
      <c r="H644" s="149">
        <v>201</v>
      </c>
      <c r="I644" s="151">
        <v>42816</v>
      </c>
      <c r="J644" s="149" t="s">
        <v>36</v>
      </c>
      <c r="K644" s="149" t="s">
        <v>419</v>
      </c>
      <c r="L644" s="155" t="s">
        <v>2566</v>
      </c>
      <c r="M644" s="155" t="s">
        <v>2567</v>
      </c>
      <c r="N644" s="155" t="s">
        <v>2668</v>
      </c>
      <c r="O644" s="155" t="s">
        <v>2105</v>
      </c>
      <c r="P644" s="140" t="s">
        <v>2105</v>
      </c>
      <c r="Q644" s="140" t="s">
        <v>2387</v>
      </c>
      <c r="R644" s="155" t="s">
        <v>2713</v>
      </c>
      <c r="S644" s="149">
        <f t="shared" si="24"/>
        <v>6.9999999999999999E-4</v>
      </c>
      <c r="T644" s="149">
        <v>0</v>
      </c>
      <c r="U644" s="157">
        <v>6.9999999999999999E-4</v>
      </c>
      <c r="V644" s="157">
        <v>1.5880000000000001</v>
      </c>
      <c r="W644" s="157">
        <f>3.231+1.481+0.763+1.43</f>
        <v>6.9049999999999994</v>
      </c>
      <c r="X644" s="149">
        <f t="shared" si="25"/>
        <v>10.96514</v>
      </c>
      <c r="Y644" s="149"/>
    </row>
    <row r="645" spans="1:25" ht="16">
      <c r="A645" s="117" t="s">
        <v>3570</v>
      </c>
      <c r="B645" s="150" t="s">
        <v>452</v>
      </c>
      <c r="C645" s="149" t="s">
        <v>1744</v>
      </c>
      <c r="D645" s="149" t="s">
        <v>3555</v>
      </c>
      <c r="E645" s="149" t="s">
        <v>418</v>
      </c>
      <c r="F645" s="149">
        <v>-26.284722200000001</v>
      </c>
      <c r="G645" s="149">
        <v>136.09805556000001</v>
      </c>
      <c r="H645" s="149">
        <v>201</v>
      </c>
      <c r="I645" s="151">
        <v>42816</v>
      </c>
      <c r="J645" s="149" t="s">
        <v>36</v>
      </c>
      <c r="K645" s="149" t="s">
        <v>419</v>
      </c>
      <c r="L645" s="140" t="s">
        <v>2569</v>
      </c>
      <c r="M645" s="140" t="s">
        <v>2570</v>
      </c>
      <c r="N645" s="140" t="s">
        <v>2571</v>
      </c>
      <c r="O645" s="140" t="s">
        <v>2369</v>
      </c>
      <c r="P645" s="140" t="s">
        <v>3556</v>
      </c>
      <c r="Q645" s="140" t="s">
        <v>2669</v>
      </c>
      <c r="R645" s="140" t="s">
        <v>2713</v>
      </c>
      <c r="S645" s="149">
        <f t="shared" si="24"/>
        <v>5.8999999999999999E-3</v>
      </c>
      <c r="T645" s="149">
        <v>0</v>
      </c>
      <c r="U645" s="157">
        <v>5.8999999999999999E-3</v>
      </c>
      <c r="V645" s="157">
        <v>2.8439999999999999</v>
      </c>
      <c r="W645" s="157">
        <v>11.071999999999999</v>
      </c>
      <c r="X645" s="149">
        <f t="shared" si="25"/>
        <v>31.488767999999997</v>
      </c>
      <c r="Y645" s="149"/>
    </row>
    <row r="646" spans="1:25" ht="16">
      <c r="A646" s="117" t="s">
        <v>3570</v>
      </c>
      <c r="B646" s="150" t="s">
        <v>711</v>
      </c>
      <c r="C646" s="149" t="s">
        <v>1744</v>
      </c>
      <c r="D646" s="149" t="s">
        <v>3555</v>
      </c>
      <c r="E646" s="149" t="s">
        <v>593</v>
      </c>
      <c r="F646" s="149">
        <v>-26.365555560000001</v>
      </c>
      <c r="G646" s="149">
        <v>135.79</v>
      </c>
      <c r="H646" s="149">
        <v>201</v>
      </c>
      <c r="I646" s="151">
        <v>42816</v>
      </c>
      <c r="J646" s="149" t="s">
        <v>36</v>
      </c>
      <c r="K646" s="149" t="s">
        <v>419</v>
      </c>
      <c r="L646" s="155" t="s">
        <v>2566</v>
      </c>
      <c r="M646" s="155" t="s">
        <v>2567</v>
      </c>
      <c r="N646" s="155" t="s">
        <v>2668</v>
      </c>
      <c r="O646" s="155" t="s">
        <v>2105</v>
      </c>
      <c r="P646" s="140" t="s">
        <v>2105</v>
      </c>
      <c r="Q646" s="140" t="s">
        <v>2387</v>
      </c>
      <c r="R646" s="155" t="s">
        <v>2713</v>
      </c>
      <c r="S646" s="149">
        <f t="shared" si="24"/>
        <v>1.1999999999999999E-3</v>
      </c>
      <c r="T646" s="149">
        <v>0</v>
      </c>
      <c r="U646" s="157">
        <v>1.1999999999999999E-3</v>
      </c>
      <c r="V646" s="157">
        <v>1.623</v>
      </c>
      <c r="W646" s="157">
        <f>3.088+1.286+1.236+1.53</f>
        <v>7.1400000000000006</v>
      </c>
      <c r="X646" s="149">
        <f t="shared" si="25"/>
        <v>11.588220000000002</v>
      </c>
      <c r="Y646" s="149"/>
    </row>
    <row r="647" spans="1:25" ht="16">
      <c r="A647" s="117" t="s">
        <v>3570</v>
      </c>
      <c r="B647" s="150" t="s">
        <v>712</v>
      </c>
      <c r="C647" s="149" t="s">
        <v>1744</v>
      </c>
      <c r="D647" s="149" t="s">
        <v>3555</v>
      </c>
      <c r="E647" s="149" t="s">
        <v>593</v>
      </c>
      <c r="F647" s="149">
        <v>-26.365555560000001</v>
      </c>
      <c r="G647" s="149">
        <v>135.79</v>
      </c>
      <c r="H647" s="149">
        <v>201</v>
      </c>
      <c r="I647" s="151">
        <v>42816</v>
      </c>
      <c r="J647" s="149" t="s">
        <v>36</v>
      </c>
      <c r="K647" s="149" t="s">
        <v>419</v>
      </c>
      <c r="L647" s="155" t="s">
        <v>2566</v>
      </c>
      <c r="M647" s="155" t="s">
        <v>2567</v>
      </c>
      <c r="N647" s="155" t="s">
        <v>2668</v>
      </c>
      <c r="O647" s="155" t="s">
        <v>2105</v>
      </c>
      <c r="P647" s="140" t="s">
        <v>2105</v>
      </c>
      <c r="Q647" s="140" t="s">
        <v>2387</v>
      </c>
      <c r="R647" s="155" t="s">
        <v>2713</v>
      </c>
      <c r="S647" s="149">
        <f t="shared" si="24"/>
        <v>6.9999999999999999E-4</v>
      </c>
      <c r="T647" s="149">
        <v>0</v>
      </c>
      <c r="U647" s="157">
        <v>6.9999999999999999E-4</v>
      </c>
      <c r="V647" s="157">
        <v>1.508</v>
      </c>
      <c r="W647" s="157">
        <f>2.92+0.716+1.401+1.26</f>
        <v>6.2969999999999997</v>
      </c>
      <c r="X647" s="149">
        <f t="shared" si="25"/>
        <v>9.4958759999999991</v>
      </c>
      <c r="Y647" s="149"/>
    </row>
    <row r="648" spans="1:25" ht="16">
      <c r="A648" s="117" t="s">
        <v>3570</v>
      </c>
      <c r="B648" s="150" t="s">
        <v>713</v>
      </c>
      <c r="C648" s="149" t="s">
        <v>1744</v>
      </c>
      <c r="D648" s="149" t="s">
        <v>3555</v>
      </c>
      <c r="E648" s="149" t="s">
        <v>593</v>
      </c>
      <c r="F648" s="149">
        <v>-26.365555560000001</v>
      </c>
      <c r="G648" s="149">
        <v>135.79</v>
      </c>
      <c r="H648" s="149">
        <v>201</v>
      </c>
      <c r="I648" s="151">
        <v>42816</v>
      </c>
      <c r="J648" s="149" t="s">
        <v>36</v>
      </c>
      <c r="K648" s="149" t="s">
        <v>419</v>
      </c>
      <c r="L648" s="155" t="s">
        <v>2566</v>
      </c>
      <c r="M648" s="155" t="s">
        <v>2567</v>
      </c>
      <c r="N648" s="155" t="s">
        <v>2668</v>
      </c>
      <c r="O648" s="155" t="s">
        <v>2105</v>
      </c>
      <c r="P648" s="140" t="s">
        <v>2105</v>
      </c>
      <c r="Q648" s="140" t="s">
        <v>2387</v>
      </c>
      <c r="R648" s="155" t="s">
        <v>2713</v>
      </c>
      <c r="S648" s="149">
        <f t="shared" si="24"/>
        <v>8.9999999999999998E-4</v>
      </c>
      <c r="T648" s="149">
        <v>0</v>
      </c>
      <c r="U648" s="157">
        <v>8.9999999999999998E-4</v>
      </c>
      <c r="V648" s="157">
        <v>1.5289999999999999</v>
      </c>
      <c r="W648" s="157">
        <f>2.863+1.243+0.626+1.285</f>
        <v>6.0170000000000003</v>
      </c>
      <c r="X648" s="149">
        <f t="shared" si="25"/>
        <v>9.1999929999999992</v>
      </c>
      <c r="Y648" s="149"/>
    </row>
    <row r="649" spans="1:25" ht="16">
      <c r="A649" s="117" t="s">
        <v>3570</v>
      </c>
      <c r="B649" s="150" t="s">
        <v>714</v>
      </c>
      <c r="C649" s="149" t="s">
        <v>1744</v>
      </c>
      <c r="D649" s="149" t="s">
        <v>3555</v>
      </c>
      <c r="E649" s="149" t="s">
        <v>593</v>
      </c>
      <c r="F649" s="149">
        <v>-26.365555560000001</v>
      </c>
      <c r="G649" s="149">
        <v>135.79</v>
      </c>
      <c r="H649" s="149">
        <v>201</v>
      </c>
      <c r="I649" s="151">
        <v>42816</v>
      </c>
      <c r="J649" s="149" t="s">
        <v>36</v>
      </c>
      <c r="K649" s="149" t="s">
        <v>419</v>
      </c>
      <c r="L649" s="155" t="s">
        <v>2566</v>
      </c>
      <c r="M649" s="155" t="s">
        <v>2567</v>
      </c>
      <c r="N649" s="155" t="s">
        <v>2668</v>
      </c>
      <c r="O649" s="155" t="s">
        <v>2105</v>
      </c>
      <c r="P649" s="140" t="s">
        <v>2105</v>
      </c>
      <c r="Q649" s="140" t="s">
        <v>2387</v>
      </c>
      <c r="R649" s="155" t="s">
        <v>2713</v>
      </c>
      <c r="S649" s="149">
        <f t="shared" si="24"/>
        <v>6.9999999999999999E-4</v>
      </c>
      <c r="T649" s="149">
        <v>0</v>
      </c>
      <c r="U649" s="157">
        <v>6.9999999999999999E-4</v>
      </c>
      <c r="V649" s="157">
        <v>1.5629999999999999</v>
      </c>
      <c r="W649" s="157">
        <f>3.445+3.049</f>
        <v>6.4939999999999998</v>
      </c>
      <c r="X649" s="149">
        <f t="shared" si="25"/>
        <v>10.150122</v>
      </c>
      <c r="Y649" s="149"/>
    </row>
    <row r="650" spans="1:25" ht="16">
      <c r="A650" s="117" t="s">
        <v>3570</v>
      </c>
      <c r="B650" s="150" t="s">
        <v>715</v>
      </c>
      <c r="C650" s="149" t="s">
        <v>1744</v>
      </c>
      <c r="D650" s="149" t="s">
        <v>3555</v>
      </c>
      <c r="E650" s="149" t="s">
        <v>593</v>
      </c>
      <c r="F650" s="149">
        <v>-26.365555560000001</v>
      </c>
      <c r="G650" s="149">
        <v>135.79</v>
      </c>
      <c r="H650" s="149">
        <v>201</v>
      </c>
      <c r="I650" s="151">
        <v>42816</v>
      </c>
      <c r="J650" s="149" t="s">
        <v>36</v>
      </c>
      <c r="K650" s="149" t="s">
        <v>419</v>
      </c>
      <c r="L650" s="155" t="s">
        <v>2566</v>
      </c>
      <c r="M650" s="155" t="s">
        <v>2567</v>
      </c>
      <c r="N650" s="155" t="s">
        <v>2668</v>
      </c>
      <c r="O650" s="155" t="s">
        <v>2105</v>
      </c>
      <c r="P650" s="140" t="s">
        <v>2105</v>
      </c>
      <c r="Q650" s="140" t="s">
        <v>2387</v>
      </c>
      <c r="R650" s="155" t="s">
        <v>2713</v>
      </c>
      <c r="S650" s="149">
        <f t="shared" si="24"/>
        <v>8.0000000000000004E-4</v>
      </c>
      <c r="T650" s="149">
        <v>0</v>
      </c>
      <c r="U650" s="157">
        <v>8.0000000000000004E-4</v>
      </c>
      <c r="V650" s="157">
        <v>1.575</v>
      </c>
      <c r="W650" s="157">
        <f>0.958+1.104+1.198+3.035</f>
        <v>6.2949999999999999</v>
      </c>
      <c r="X650" s="149">
        <f t="shared" si="25"/>
        <v>9.9146249999999991</v>
      </c>
      <c r="Y650" s="149"/>
    </row>
    <row r="651" spans="1:25" ht="16">
      <c r="A651" s="117" t="s">
        <v>3570</v>
      </c>
      <c r="B651" s="150" t="s">
        <v>716</v>
      </c>
      <c r="C651" s="149" t="s">
        <v>1744</v>
      </c>
      <c r="D651" s="149" t="s">
        <v>3555</v>
      </c>
      <c r="E651" s="149" t="s">
        <v>593</v>
      </c>
      <c r="F651" s="149">
        <v>-26.365555560000001</v>
      </c>
      <c r="G651" s="149">
        <v>135.79</v>
      </c>
      <c r="H651" s="149">
        <v>201</v>
      </c>
      <c r="I651" s="151">
        <v>42816</v>
      </c>
      <c r="J651" s="149" t="s">
        <v>36</v>
      </c>
      <c r="K651" s="149" t="s">
        <v>419</v>
      </c>
      <c r="L651" s="155" t="s">
        <v>2566</v>
      </c>
      <c r="M651" s="155" t="s">
        <v>2567</v>
      </c>
      <c r="N651" s="155" t="s">
        <v>2668</v>
      </c>
      <c r="O651" s="155" t="s">
        <v>2105</v>
      </c>
      <c r="P651" s="140" t="s">
        <v>2105</v>
      </c>
      <c r="Q651" s="140" t="s">
        <v>2387</v>
      </c>
      <c r="R651" s="155" t="s">
        <v>2713</v>
      </c>
      <c r="S651" s="149">
        <f t="shared" si="24"/>
        <v>8.9999999999999998E-4</v>
      </c>
      <c r="T651" s="149">
        <v>0</v>
      </c>
      <c r="U651" s="157">
        <v>8.9999999999999998E-4</v>
      </c>
      <c r="V651" s="157">
        <v>1.706</v>
      </c>
      <c r="W651" s="157">
        <f>3.293+1.975+0.979+1.021</f>
        <v>7.2680000000000007</v>
      </c>
      <c r="X651" s="149">
        <f t="shared" si="25"/>
        <v>12.399208000000002</v>
      </c>
      <c r="Y651" s="149"/>
    </row>
    <row r="652" spans="1:25" ht="16">
      <c r="A652" s="117" t="s">
        <v>3570</v>
      </c>
      <c r="B652" s="150" t="s">
        <v>717</v>
      </c>
      <c r="C652" s="149" t="s">
        <v>1744</v>
      </c>
      <c r="D652" s="149" t="s">
        <v>3555</v>
      </c>
      <c r="E652" s="149" t="s">
        <v>593</v>
      </c>
      <c r="F652" s="149">
        <v>-26.365555560000001</v>
      </c>
      <c r="G652" s="149">
        <v>135.79</v>
      </c>
      <c r="H652" s="149">
        <v>201</v>
      </c>
      <c r="I652" s="151">
        <v>42816</v>
      </c>
      <c r="J652" s="149" t="s">
        <v>36</v>
      </c>
      <c r="K652" s="149" t="s">
        <v>419</v>
      </c>
      <c r="L652" s="155" t="s">
        <v>2566</v>
      </c>
      <c r="M652" s="155" t="s">
        <v>2567</v>
      </c>
      <c r="N652" s="155" t="s">
        <v>2668</v>
      </c>
      <c r="O652" s="155" t="s">
        <v>2105</v>
      </c>
      <c r="P652" s="140" t="s">
        <v>2105</v>
      </c>
      <c r="Q652" s="140" t="s">
        <v>2387</v>
      </c>
      <c r="R652" s="155" t="s">
        <v>2713</v>
      </c>
      <c r="S652" s="149">
        <f t="shared" si="24"/>
        <v>6.9999999999999999E-4</v>
      </c>
      <c r="T652" s="149">
        <v>0</v>
      </c>
      <c r="U652" s="157">
        <v>6.9999999999999999E-4</v>
      </c>
      <c r="V652" s="157">
        <v>1.488</v>
      </c>
      <c r="W652" s="157">
        <f>1.239+1.336+1.136+2.869</f>
        <v>6.58</v>
      </c>
      <c r="X652" s="149">
        <f t="shared" si="25"/>
        <v>9.7910400000000006</v>
      </c>
      <c r="Y652" s="149"/>
    </row>
    <row r="653" spans="1:25" ht="16">
      <c r="A653" s="117" t="s">
        <v>3570</v>
      </c>
      <c r="B653" s="150" t="s">
        <v>718</v>
      </c>
      <c r="C653" s="149" t="s">
        <v>1744</v>
      </c>
      <c r="D653" s="149" t="s">
        <v>3555</v>
      </c>
      <c r="E653" s="149" t="s">
        <v>593</v>
      </c>
      <c r="F653" s="149">
        <v>-26.365555560000001</v>
      </c>
      <c r="G653" s="149">
        <v>135.79</v>
      </c>
      <c r="H653" s="149">
        <v>201</v>
      </c>
      <c r="I653" s="151">
        <v>42816</v>
      </c>
      <c r="J653" s="149" t="s">
        <v>36</v>
      </c>
      <c r="K653" s="149" t="s">
        <v>419</v>
      </c>
      <c r="L653" s="155" t="s">
        <v>2566</v>
      </c>
      <c r="M653" s="155" t="s">
        <v>2567</v>
      </c>
      <c r="N653" s="155" t="s">
        <v>2668</v>
      </c>
      <c r="O653" s="155" t="s">
        <v>2105</v>
      </c>
      <c r="P653" s="140" t="s">
        <v>2105</v>
      </c>
      <c r="Q653" s="140" t="s">
        <v>2387</v>
      </c>
      <c r="R653" s="155" t="s">
        <v>2713</v>
      </c>
      <c r="S653" s="149">
        <f t="shared" si="24"/>
        <v>6.9999999999999999E-4</v>
      </c>
      <c r="T653" s="149">
        <v>0</v>
      </c>
      <c r="U653" s="157">
        <v>6.9999999999999999E-4</v>
      </c>
      <c r="V653" s="157">
        <v>1.6279999999999999</v>
      </c>
      <c r="W653" s="157">
        <f>2.814+0.91+2.202</f>
        <v>5.9260000000000002</v>
      </c>
      <c r="X653" s="149">
        <f t="shared" si="25"/>
        <v>9.6475279999999994</v>
      </c>
      <c r="Y653" s="149"/>
    </row>
    <row r="654" spans="1:25" ht="16">
      <c r="A654" s="117" t="s">
        <v>3570</v>
      </c>
      <c r="B654" s="150" t="s">
        <v>719</v>
      </c>
      <c r="C654" s="149" t="s">
        <v>1744</v>
      </c>
      <c r="D654" s="149" t="s">
        <v>3555</v>
      </c>
      <c r="E654" s="149" t="s">
        <v>593</v>
      </c>
      <c r="F654" s="149">
        <v>-26.365555560000001</v>
      </c>
      <c r="G654" s="149">
        <v>135.79</v>
      </c>
      <c r="H654" s="149">
        <v>201</v>
      </c>
      <c r="I654" s="151">
        <v>42816</v>
      </c>
      <c r="J654" s="149" t="s">
        <v>36</v>
      </c>
      <c r="K654" s="149" t="s">
        <v>419</v>
      </c>
      <c r="L654" s="155" t="s">
        <v>2566</v>
      </c>
      <c r="M654" s="155" t="s">
        <v>2567</v>
      </c>
      <c r="N654" s="155" t="s">
        <v>2668</v>
      </c>
      <c r="O654" s="155" t="s">
        <v>2105</v>
      </c>
      <c r="P654" s="140" t="s">
        <v>2105</v>
      </c>
      <c r="Q654" s="140" t="s">
        <v>2387</v>
      </c>
      <c r="R654" s="155" t="s">
        <v>2713</v>
      </c>
      <c r="S654" s="149">
        <f t="shared" si="24"/>
        <v>1.1000000000000001E-3</v>
      </c>
      <c r="T654" s="149">
        <v>0</v>
      </c>
      <c r="U654" s="157">
        <v>1.1000000000000001E-3</v>
      </c>
      <c r="V654" s="157">
        <v>1.587</v>
      </c>
      <c r="W654" s="157">
        <f>3.107+0.86+1.413+1.043</f>
        <v>6.423</v>
      </c>
      <c r="X654" s="149">
        <f t="shared" si="25"/>
        <v>10.193301</v>
      </c>
      <c r="Y654" s="149"/>
    </row>
    <row r="655" spans="1:25" ht="16">
      <c r="A655" s="117" t="s">
        <v>3570</v>
      </c>
      <c r="B655" s="150" t="s">
        <v>423</v>
      </c>
      <c r="C655" s="149" t="s">
        <v>1744</v>
      </c>
      <c r="D655" s="149" t="s">
        <v>3555</v>
      </c>
      <c r="E655" s="149" t="s">
        <v>418</v>
      </c>
      <c r="F655" s="149">
        <v>-26.284722200000001</v>
      </c>
      <c r="G655" s="149">
        <v>136.09805556000001</v>
      </c>
      <c r="H655" s="149">
        <v>201</v>
      </c>
      <c r="I655" s="151">
        <v>42816</v>
      </c>
      <c r="J655" s="149" t="s">
        <v>36</v>
      </c>
      <c r="K655" s="149" t="s">
        <v>419</v>
      </c>
      <c r="L655" s="140" t="s">
        <v>2566</v>
      </c>
      <c r="M655" s="140" t="s">
        <v>2574</v>
      </c>
      <c r="N655" s="140" t="s">
        <v>3191</v>
      </c>
      <c r="O655" s="149" t="s">
        <v>2111</v>
      </c>
      <c r="P655" s="149" t="s">
        <v>2739</v>
      </c>
      <c r="Q655" s="140" t="s">
        <v>2692</v>
      </c>
      <c r="R655" s="140" t="s">
        <v>2713</v>
      </c>
      <c r="S655" s="149">
        <f t="shared" si="24"/>
        <v>4.1700000000000001E-2</v>
      </c>
      <c r="T655" s="140">
        <v>3.8671999999999998E-2</v>
      </c>
      <c r="U655" s="157">
        <v>3.0280000000000029E-3</v>
      </c>
      <c r="V655" s="157">
        <v>2.1949999999999998</v>
      </c>
      <c r="W655" s="157">
        <v>9.6440000000000001</v>
      </c>
      <c r="X655" s="149">
        <f t="shared" si="25"/>
        <v>21.168579999999999</v>
      </c>
      <c r="Y655" s="149"/>
    </row>
    <row r="656" spans="1:25" ht="16">
      <c r="A656" s="117" t="s">
        <v>3570</v>
      </c>
      <c r="B656" s="150" t="s">
        <v>453</v>
      </c>
      <c r="C656" s="149" t="s">
        <v>1744</v>
      </c>
      <c r="D656" s="149" t="s">
        <v>3555</v>
      </c>
      <c r="E656" s="149" t="s">
        <v>418</v>
      </c>
      <c r="F656" s="149">
        <v>-26.284722200000001</v>
      </c>
      <c r="G656" s="149">
        <v>136.09805556000001</v>
      </c>
      <c r="H656" s="149">
        <v>201</v>
      </c>
      <c r="I656" s="151">
        <v>42816</v>
      </c>
      <c r="J656" s="149" t="s">
        <v>36</v>
      </c>
      <c r="K656" s="149" t="s">
        <v>419</v>
      </c>
      <c r="L656" s="140" t="s">
        <v>2566</v>
      </c>
      <c r="M656" s="140" t="s">
        <v>2567</v>
      </c>
      <c r="N656" s="140" t="s">
        <v>2668</v>
      </c>
      <c r="O656" s="140" t="s">
        <v>2105</v>
      </c>
      <c r="P656" s="140" t="s">
        <v>2105</v>
      </c>
      <c r="Q656" s="140" t="s">
        <v>2387</v>
      </c>
      <c r="R656" s="140" t="s">
        <v>2712</v>
      </c>
      <c r="S656" s="149">
        <f t="shared" si="24"/>
        <v>5.9999999999999995E-4</v>
      </c>
      <c r="T656" s="149">
        <v>0</v>
      </c>
      <c r="U656" s="157">
        <v>5.9999999999999995E-4</v>
      </c>
      <c r="V656" s="157">
        <v>1.244</v>
      </c>
      <c r="W656" s="157">
        <v>5.17</v>
      </c>
      <c r="X656" s="149">
        <f t="shared" si="25"/>
        <v>6.4314799999999996</v>
      </c>
      <c r="Y656" s="149"/>
    </row>
    <row r="657" spans="1:25" ht="16">
      <c r="A657" s="117" t="s">
        <v>3570</v>
      </c>
      <c r="B657" s="150" t="s">
        <v>720</v>
      </c>
      <c r="C657" s="149" t="s">
        <v>1744</v>
      </c>
      <c r="D657" s="149" t="s">
        <v>3555</v>
      </c>
      <c r="E657" s="149" t="s">
        <v>593</v>
      </c>
      <c r="F657" s="149">
        <v>-26.365555560000001</v>
      </c>
      <c r="G657" s="149">
        <v>135.79</v>
      </c>
      <c r="H657" s="149">
        <v>201</v>
      </c>
      <c r="I657" s="151">
        <v>42816</v>
      </c>
      <c r="J657" s="149" t="s">
        <v>36</v>
      </c>
      <c r="K657" s="149" t="s">
        <v>419</v>
      </c>
      <c r="L657" s="155" t="s">
        <v>2566</v>
      </c>
      <c r="M657" s="155" t="s">
        <v>2567</v>
      </c>
      <c r="N657" s="155" t="s">
        <v>2668</v>
      </c>
      <c r="O657" s="155" t="s">
        <v>2105</v>
      </c>
      <c r="P657" s="140" t="s">
        <v>2105</v>
      </c>
      <c r="Q657" s="140" t="s">
        <v>2387</v>
      </c>
      <c r="R657" s="155" t="s">
        <v>2713</v>
      </c>
      <c r="S657" s="149">
        <f t="shared" si="24"/>
        <v>8.9999999999999998E-4</v>
      </c>
      <c r="T657" s="149">
        <v>0</v>
      </c>
      <c r="U657" s="157">
        <v>8.9999999999999998E-4</v>
      </c>
      <c r="V657" s="157">
        <v>1.6020000000000001</v>
      </c>
      <c r="W657" s="157">
        <f>2.757+0.895+2.629</f>
        <v>6.2810000000000006</v>
      </c>
      <c r="X657" s="149">
        <f t="shared" si="25"/>
        <v>10.062162000000001</v>
      </c>
      <c r="Y657" s="149"/>
    </row>
    <row r="658" spans="1:25" ht="16">
      <c r="A658" s="117" t="s">
        <v>3570</v>
      </c>
      <c r="B658" s="150" t="s">
        <v>721</v>
      </c>
      <c r="C658" s="149" t="s">
        <v>1744</v>
      </c>
      <c r="D658" s="149" t="s">
        <v>3555</v>
      </c>
      <c r="E658" s="149" t="s">
        <v>593</v>
      </c>
      <c r="F658" s="149">
        <v>-26.365555560000001</v>
      </c>
      <c r="G658" s="149">
        <v>135.79</v>
      </c>
      <c r="H658" s="149">
        <v>201</v>
      </c>
      <c r="I658" s="151">
        <v>42816</v>
      </c>
      <c r="J658" s="149" t="s">
        <v>36</v>
      </c>
      <c r="K658" s="149" t="s">
        <v>419</v>
      </c>
      <c r="L658" s="155" t="s">
        <v>2566</v>
      </c>
      <c r="M658" s="155" t="s">
        <v>2567</v>
      </c>
      <c r="N658" s="155" t="s">
        <v>2668</v>
      </c>
      <c r="O658" s="155" t="s">
        <v>2105</v>
      </c>
      <c r="P658" s="140" t="s">
        <v>2105</v>
      </c>
      <c r="Q658" s="140" t="s">
        <v>2387</v>
      </c>
      <c r="R658" s="155" t="s">
        <v>2713</v>
      </c>
      <c r="S658" s="149">
        <f t="shared" si="24"/>
        <v>8.0000000000000004E-4</v>
      </c>
      <c r="T658" s="149">
        <v>0</v>
      </c>
      <c r="U658" s="157">
        <v>8.0000000000000004E-4</v>
      </c>
      <c r="V658" s="157">
        <v>1.5740000000000001</v>
      </c>
      <c r="W658" s="157">
        <f>3.057+1.059+2.265</f>
        <v>6.3810000000000002</v>
      </c>
      <c r="X658" s="149">
        <f t="shared" si="25"/>
        <v>10.043694</v>
      </c>
      <c r="Y658" s="149"/>
    </row>
    <row r="659" spans="1:25" ht="16">
      <c r="A659" s="117" t="s">
        <v>3570</v>
      </c>
      <c r="B659" s="150" t="s">
        <v>722</v>
      </c>
      <c r="C659" s="149" t="s">
        <v>1744</v>
      </c>
      <c r="D659" s="149" t="s">
        <v>3555</v>
      </c>
      <c r="E659" s="149" t="s">
        <v>593</v>
      </c>
      <c r="F659" s="149">
        <v>-26.365555560000001</v>
      </c>
      <c r="G659" s="149">
        <v>135.79</v>
      </c>
      <c r="H659" s="149">
        <v>201</v>
      </c>
      <c r="I659" s="151">
        <v>42816</v>
      </c>
      <c r="J659" s="149" t="s">
        <v>36</v>
      </c>
      <c r="K659" s="149" t="s">
        <v>419</v>
      </c>
      <c r="L659" s="155" t="s">
        <v>2566</v>
      </c>
      <c r="M659" s="155" t="s">
        <v>2567</v>
      </c>
      <c r="N659" s="155" t="s">
        <v>2668</v>
      </c>
      <c r="O659" s="140" t="s">
        <v>2600</v>
      </c>
      <c r="P659" s="149" t="s">
        <v>2735</v>
      </c>
      <c r="Q659" s="140" t="s">
        <v>2709</v>
      </c>
      <c r="R659" s="155" t="s">
        <v>2712</v>
      </c>
      <c r="S659" s="149">
        <f t="shared" si="24"/>
        <v>4.0000000000000002E-4</v>
      </c>
      <c r="T659" s="149">
        <v>0</v>
      </c>
      <c r="U659" s="157">
        <v>4.0000000000000002E-4</v>
      </c>
      <c r="V659" s="157">
        <v>1.3440000000000001</v>
      </c>
      <c r="W659" s="157">
        <f>2.691+1.105+0.652+0.869</f>
        <v>5.3169999999999993</v>
      </c>
      <c r="X659" s="149">
        <f t="shared" si="25"/>
        <v>7.1460479999999995</v>
      </c>
      <c r="Y659" s="149"/>
    </row>
    <row r="660" spans="1:25" ht="16">
      <c r="A660" s="117" t="s">
        <v>3570</v>
      </c>
      <c r="B660" s="150" t="s">
        <v>723</v>
      </c>
      <c r="C660" s="149" t="s">
        <v>1744</v>
      </c>
      <c r="D660" s="149" t="s">
        <v>3555</v>
      </c>
      <c r="E660" s="149" t="s">
        <v>593</v>
      </c>
      <c r="F660" s="149">
        <v>-26.365555560000001</v>
      </c>
      <c r="G660" s="149">
        <v>135.79</v>
      </c>
      <c r="H660" s="149">
        <v>201</v>
      </c>
      <c r="I660" s="151">
        <v>42816</v>
      </c>
      <c r="J660" s="149" t="s">
        <v>36</v>
      </c>
      <c r="K660" s="149" t="s">
        <v>419</v>
      </c>
      <c r="L660" s="155" t="s">
        <v>2566</v>
      </c>
      <c r="M660" s="155" t="s">
        <v>2567</v>
      </c>
      <c r="N660" s="155" t="s">
        <v>2668</v>
      </c>
      <c r="O660" s="155" t="s">
        <v>2105</v>
      </c>
      <c r="P660" s="140" t="s">
        <v>2105</v>
      </c>
      <c r="Q660" s="140" t="s">
        <v>2387</v>
      </c>
      <c r="R660" s="155" t="s">
        <v>2713</v>
      </c>
      <c r="S660" s="149">
        <f t="shared" si="24"/>
        <v>8.0000000000000004E-4</v>
      </c>
      <c r="T660" s="149">
        <v>0</v>
      </c>
      <c r="U660" s="157">
        <v>8.0000000000000004E-4</v>
      </c>
      <c r="V660" s="157">
        <v>1.66</v>
      </c>
      <c r="W660" s="157">
        <f>2.86+0.887+0.814+2.13</f>
        <v>6.6909999999999998</v>
      </c>
      <c r="X660" s="149">
        <f t="shared" si="25"/>
        <v>11.107059999999999</v>
      </c>
      <c r="Y660" s="149"/>
    </row>
    <row r="661" spans="1:25" ht="16">
      <c r="A661" s="117" t="s">
        <v>3570</v>
      </c>
      <c r="B661" s="150" t="s">
        <v>724</v>
      </c>
      <c r="C661" s="149" t="s">
        <v>1744</v>
      </c>
      <c r="D661" s="149" t="s">
        <v>3555</v>
      </c>
      <c r="E661" s="149" t="s">
        <v>593</v>
      </c>
      <c r="F661" s="149">
        <v>-26.365555560000001</v>
      </c>
      <c r="G661" s="149">
        <v>135.79</v>
      </c>
      <c r="H661" s="149">
        <v>201</v>
      </c>
      <c r="I661" s="151">
        <v>42816</v>
      </c>
      <c r="J661" s="149" t="s">
        <v>36</v>
      </c>
      <c r="K661" s="149" t="s">
        <v>419</v>
      </c>
      <c r="L661" s="155" t="s">
        <v>2566</v>
      </c>
      <c r="M661" s="155" t="s">
        <v>2567</v>
      </c>
      <c r="N661" s="155" t="s">
        <v>2668</v>
      </c>
      <c r="O661" s="155" t="s">
        <v>2105</v>
      </c>
      <c r="P661" s="140" t="s">
        <v>2105</v>
      </c>
      <c r="Q661" s="140" t="s">
        <v>2387</v>
      </c>
      <c r="R661" s="155" t="s">
        <v>2712</v>
      </c>
      <c r="S661" s="149">
        <f t="shared" si="24"/>
        <v>2.9999999999999997E-4</v>
      </c>
      <c r="T661" s="149">
        <v>0</v>
      </c>
      <c r="U661" s="157">
        <v>2.9999999999999997E-4</v>
      </c>
      <c r="V661" s="157">
        <v>1.071</v>
      </c>
      <c r="W661" s="157">
        <f>2.224+1.348+0.633+0.734</f>
        <v>4.9390000000000001</v>
      </c>
      <c r="X661" s="149">
        <f t="shared" si="25"/>
        <v>5.289669</v>
      </c>
      <c r="Y661" s="149"/>
    </row>
    <row r="662" spans="1:25" ht="16">
      <c r="A662" s="117" t="s">
        <v>3570</v>
      </c>
      <c r="B662" s="150" t="s">
        <v>725</v>
      </c>
      <c r="C662" s="149" t="s">
        <v>1744</v>
      </c>
      <c r="D662" s="149" t="s">
        <v>3555</v>
      </c>
      <c r="E662" s="149" t="s">
        <v>593</v>
      </c>
      <c r="F662" s="149">
        <v>-26.365555560000001</v>
      </c>
      <c r="G662" s="149">
        <v>135.79</v>
      </c>
      <c r="H662" s="149">
        <v>201</v>
      </c>
      <c r="I662" s="151">
        <v>42816</v>
      </c>
      <c r="J662" s="149" t="s">
        <v>36</v>
      </c>
      <c r="K662" s="149" t="s">
        <v>419</v>
      </c>
      <c r="L662" s="155" t="s">
        <v>2566</v>
      </c>
      <c r="M662" s="155" t="s">
        <v>2567</v>
      </c>
      <c r="N662" s="155" t="s">
        <v>2668</v>
      </c>
      <c r="O662" s="155" t="s">
        <v>2105</v>
      </c>
      <c r="P662" s="140" t="s">
        <v>2105</v>
      </c>
      <c r="Q662" s="140" t="s">
        <v>2387</v>
      </c>
      <c r="R662" s="155" t="s">
        <v>2713</v>
      </c>
      <c r="S662" s="149">
        <f t="shared" ref="S662:S725" si="26">T662+U662</f>
        <v>8.0000000000000004E-4</v>
      </c>
      <c r="T662" s="149">
        <v>0</v>
      </c>
      <c r="U662" s="157">
        <v>8.0000000000000004E-4</v>
      </c>
      <c r="V662" s="157">
        <f>0.848*2</f>
        <v>1.696</v>
      </c>
      <c r="W662" s="157">
        <f>3.064+0.982+2.562</f>
        <v>6.6080000000000005</v>
      </c>
      <c r="X662" s="149">
        <f t="shared" si="25"/>
        <v>11.207168000000001</v>
      </c>
      <c r="Y662" s="149"/>
    </row>
    <row r="663" spans="1:25" ht="16">
      <c r="A663" s="117" t="s">
        <v>3570</v>
      </c>
      <c r="B663" s="150" t="s">
        <v>726</v>
      </c>
      <c r="C663" s="149" t="s">
        <v>1744</v>
      </c>
      <c r="D663" s="149" t="s">
        <v>3555</v>
      </c>
      <c r="E663" s="149" t="s">
        <v>593</v>
      </c>
      <c r="F663" s="149">
        <v>-26.365555560000001</v>
      </c>
      <c r="G663" s="149">
        <v>135.79</v>
      </c>
      <c r="H663" s="149">
        <v>201</v>
      </c>
      <c r="I663" s="151">
        <v>42816</v>
      </c>
      <c r="J663" s="149" t="s">
        <v>36</v>
      </c>
      <c r="K663" s="149" t="s">
        <v>419</v>
      </c>
      <c r="L663" s="155" t="s">
        <v>2566</v>
      </c>
      <c r="M663" s="155" t="s">
        <v>2567</v>
      </c>
      <c r="N663" s="155" t="s">
        <v>2668</v>
      </c>
      <c r="O663" s="155" t="s">
        <v>2105</v>
      </c>
      <c r="P663" s="140" t="s">
        <v>2105</v>
      </c>
      <c r="Q663" s="140" t="s">
        <v>2387</v>
      </c>
      <c r="R663" s="155" t="s">
        <v>2713</v>
      </c>
      <c r="S663" s="149">
        <f t="shared" si="26"/>
        <v>8.0000000000000004E-4</v>
      </c>
      <c r="T663" s="149">
        <v>0</v>
      </c>
      <c r="U663" s="157">
        <v>8.0000000000000004E-4</v>
      </c>
      <c r="V663" s="157">
        <v>1.5840000000000001</v>
      </c>
      <c r="W663" s="157">
        <f>3.306+0.704+2.444</f>
        <v>6.4539999999999997</v>
      </c>
      <c r="X663" s="149">
        <f t="shared" si="25"/>
        <v>10.223136</v>
      </c>
      <c r="Y663" s="149"/>
    </row>
    <row r="664" spans="1:25" ht="16">
      <c r="A664" s="117" t="s">
        <v>3570</v>
      </c>
      <c r="B664" s="150" t="s">
        <v>727</v>
      </c>
      <c r="C664" s="149" t="s">
        <v>1744</v>
      </c>
      <c r="D664" s="149" t="s">
        <v>3555</v>
      </c>
      <c r="E664" s="149" t="s">
        <v>593</v>
      </c>
      <c r="F664" s="149">
        <v>-26.365555560000001</v>
      </c>
      <c r="G664" s="149">
        <v>135.79</v>
      </c>
      <c r="H664" s="149">
        <v>201</v>
      </c>
      <c r="I664" s="151">
        <v>42816</v>
      </c>
      <c r="J664" s="149" t="s">
        <v>36</v>
      </c>
      <c r="K664" s="149" t="s">
        <v>419</v>
      </c>
      <c r="L664" s="155" t="s">
        <v>2566</v>
      </c>
      <c r="M664" s="155" t="s">
        <v>2567</v>
      </c>
      <c r="N664" s="155" t="s">
        <v>2668</v>
      </c>
      <c r="O664" s="155" t="s">
        <v>2105</v>
      </c>
      <c r="P664" s="140" t="s">
        <v>2105</v>
      </c>
      <c r="Q664" s="140" t="s">
        <v>2387</v>
      </c>
      <c r="R664" s="155" t="s">
        <v>2713</v>
      </c>
      <c r="S664" s="149">
        <f t="shared" si="26"/>
        <v>8.9999999999999998E-4</v>
      </c>
      <c r="T664" s="149">
        <v>0</v>
      </c>
      <c r="U664" s="157">
        <v>8.9999999999999998E-4</v>
      </c>
      <c r="V664" s="157">
        <v>1.627</v>
      </c>
      <c r="W664" s="157">
        <f>1.476+2.142+2.952</f>
        <v>6.57</v>
      </c>
      <c r="X664" s="149">
        <f t="shared" si="25"/>
        <v>10.689390000000001</v>
      </c>
      <c r="Y664" s="149"/>
    </row>
    <row r="665" spans="1:25" ht="16">
      <c r="A665" s="117" t="s">
        <v>3570</v>
      </c>
      <c r="B665" s="150" t="s">
        <v>728</v>
      </c>
      <c r="C665" s="149" t="s">
        <v>1744</v>
      </c>
      <c r="D665" s="149" t="s">
        <v>3555</v>
      </c>
      <c r="E665" s="149" t="s">
        <v>593</v>
      </c>
      <c r="F665" s="149">
        <v>-26.365555560000001</v>
      </c>
      <c r="G665" s="149">
        <v>135.79</v>
      </c>
      <c r="H665" s="149">
        <v>201</v>
      </c>
      <c r="I665" s="151">
        <v>42816</v>
      </c>
      <c r="J665" s="149" t="s">
        <v>36</v>
      </c>
      <c r="K665" s="149" t="s">
        <v>419</v>
      </c>
      <c r="L665" s="155" t="s">
        <v>2566</v>
      </c>
      <c r="M665" s="155" t="s">
        <v>2567</v>
      </c>
      <c r="N665" s="155" t="s">
        <v>2668</v>
      </c>
      <c r="O665" s="155" t="s">
        <v>2105</v>
      </c>
      <c r="P665" s="140" t="s">
        <v>2105</v>
      </c>
      <c r="Q665" s="140" t="s">
        <v>2387</v>
      </c>
      <c r="R665" s="155" t="s">
        <v>2713</v>
      </c>
      <c r="S665" s="149">
        <f t="shared" si="26"/>
        <v>8.9999999999999998E-4</v>
      </c>
      <c r="T665" s="149">
        <v>0</v>
      </c>
      <c r="U665" s="157">
        <v>8.9999999999999998E-4</v>
      </c>
      <c r="V665" s="157">
        <v>1.6020000000000001</v>
      </c>
      <c r="W665" s="157">
        <f>3.041+2.724+0.678</f>
        <v>6.4430000000000005</v>
      </c>
      <c r="X665" s="149">
        <f t="shared" si="25"/>
        <v>10.321686000000001</v>
      </c>
      <c r="Y665" s="149"/>
    </row>
    <row r="666" spans="1:25" ht="16">
      <c r="A666" s="117" t="s">
        <v>3570</v>
      </c>
      <c r="B666" s="150" t="s">
        <v>729</v>
      </c>
      <c r="C666" s="149" t="s">
        <v>1744</v>
      </c>
      <c r="D666" s="149" t="s">
        <v>3555</v>
      </c>
      <c r="E666" s="149" t="s">
        <v>593</v>
      </c>
      <c r="F666" s="149">
        <v>-26.365555560000001</v>
      </c>
      <c r="G666" s="149">
        <v>135.79</v>
      </c>
      <c r="H666" s="149">
        <v>201</v>
      </c>
      <c r="I666" s="151">
        <v>42816</v>
      </c>
      <c r="J666" s="149" t="s">
        <v>36</v>
      </c>
      <c r="K666" s="149" t="s">
        <v>419</v>
      </c>
      <c r="L666" s="155" t="s">
        <v>2566</v>
      </c>
      <c r="M666" s="155" t="s">
        <v>2567</v>
      </c>
      <c r="N666" s="155" t="s">
        <v>2668</v>
      </c>
      <c r="O666" s="140" t="s">
        <v>2600</v>
      </c>
      <c r="P666" s="149" t="s">
        <v>2735</v>
      </c>
      <c r="Q666" s="140" t="s">
        <v>2709</v>
      </c>
      <c r="R666" s="155" t="s">
        <v>2712</v>
      </c>
      <c r="S666" s="149">
        <f t="shared" si="26"/>
        <v>5.9999999999999995E-4</v>
      </c>
      <c r="T666" s="149">
        <v>0</v>
      </c>
      <c r="U666" s="157">
        <v>5.9999999999999995E-4</v>
      </c>
      <c r="V666" s="157">
        <v>1.3839999999999999</v>
      </c>
      <c r="W666" s="157">
        <f>2.918+0.923+1.009+1.207</f>
        <v>6.0569999999999995</v>
      </c>
      <c r="X666" s="149">
        <f t="shared" si="25"/>
        <v>8.3828879999999995</v>
      </c>
      <c r="Y666" s="149"/>
    </row>
    <row r="667" spans="1:25" ht="16">
      <c r="A667" s="117" t="s">
        <v>3570</v>
      </c>
      <c r="B667" s="150" t="s">
        <v>454</v>
      </c>
      <c r="C667" s="149" t="s">
        <v>1744</v>
      </c>
      <c r="D667" s="149" t="s">
        <v>3555</v>
      </c>
      <c r="E667" s="149" t="s">
        <v>418</v>
      </c>
      <c r="F667" s="149">
        <v>-26.284722200000001</v>
      </c>
      <c r="G667" s="149">
        <v>136.09805556000001</v>
      </c>
      <c r="H667" s="149">
        <v>201</v>
      </c>
      <c r="I667" s="151">
        <v>42816</v>
      </c>
      <c r="J667" s="149" t="s">
        <v>36</v>
      </c>
      <c r="K667" s="149" t="s">
        <v>419</v>
      </c>
      <c r="L667" s="140" t="s">
        <v>2566</v>
      </c>
      <c r="M667" s="140" t="s">
        <v>2567</v>
      </c>
      <c r="N667" s="140" t="s">
        <v>2668</v>
      </c>
      <c r="O667" s="140" t="s">
        <v>2105</v>
      </c>
      <c r="P667" s="140" t="s">
        <v>2105</v>
      </c>
      <c r="Q667" s="140" t="s">
        <v>2387</v>
      </c>
      <c r="R667" s="140" t="s">
        <v>2712</v>
      </c>
      <c r="S667" s="149">
        <f t="shared" si="26"/>
        <v>5.9999999999999995E-4</v>
      </c>
      <c r="T667" s="149">
        <v>0</v>
      </c>
      <c r="U667" s="157">
        <v>5.9999999999999995E-4</v>
      </c>
      <c r="V667" s="157">
        <v>1.268</v>
      </c>
      <c r="W667" s="157">
        <v>5.4459999999999997</v>
      </c>
      <c r="X667" s="149">
        <f t="shared" si="25"/>
        <v>6.9055279999999994</v>
      </c>
      <c r="Y667" s="149"/>
    </row>
    <row r="668" spans="1:25" ht="16">
      <c r="A668" s="117" t="s">
        <v>3570</v>
      </c>
      <c r="B668" s="150" t="s">
        <v>731</v>
      </c>
      <c r="C668" s="149" t="s">
        <v>1744</v>
      </c>
      <c r="D668" s="149" t="s">
        <v>3555</v>
      </c>
      <c r="E668" s="149" t="s">
        <v>593</v>
      </c>
      <c r="F668" s="149">
        <v>-26.365555560000001</v>
      </c>
      <c r="G668" s="149">
        <v>135.79</v>
      </c>
      <c r="H668" s="149">
        <v>201</v>
      </c>
      <c r="I668" s="151">
        <v>42816</v>
      </c>
      <c r="J668" s="149" t="s">
        <v>36</v>
      </c>
      <c r="K668" s="149" t="s">
        <v>419</v>
      </c>
      <c r="L668" s="155" t="s">
        <v>2566</v>
      </c>
      <c r="M668" s="155" t="s">
        <v>2567</v>
      </c>
      <c r="N668" s="155" t="s">
        <v>2668</v>
      </c>
      <c r="O668" s="155" t="s">
        <v>2105</v>
      </c>
      <c r="P668" s="140" t="s">
        <v>2105</v>
      </c>
      <c r="Q668" s="140" t="s">
        <v>2387</v>
      </c>
      <c r="R668" s="155" t="s">
        <v>2712</v>
      </c>
      <c r="S668" s="149">
        <f t="shared" si="26"/>
        <v>4.0000000000000002E-4</v>
      </c>
      <c r="T668" s="149">
        <v>0</v>
      </c>
      <c r="U668" s="157">
        <v>4.0000000000000002E-4</v>
      </c>
      <c r="V668" s="157">
        <v>1.2470000000000001</v>
      </c>
      <c r="W668" s="157">
        <f>2.253+0.666+0.622+0.622+0.835</f>
        <v>4.9980000000000002</v>
      </c>
      <c r="X668" s="149">
        <f t="shared" si="25"/>
        <v>6.2325060000000008</v>
      </c>
      <c r="Y668" s="149"/>
    </row>
    <row r="669" spans="1:25" ht="16">
      <c r="A669" s="117" t="s">
        <v>3570</v>
      </c>
      <c r="B669" s="150" t="s">
        <v>732</v>
      </c>
      <c r="C669" s="149" t="s">
        <v>1744</v>
      </c>
      <c r="D669" s="149" t="s">
        <v>3555</v>
      </c>
      <c r="E669" s="149" t="s">
        <v>593</v>
      </c>
      <c r="F669" s="149">
        <v>-26.365555560000001</v>
      </c>
      <c r="G669" s="149">
        <v>135.79</v>
      </c>
      <c r="H669" s="149">
        <v>201</v>
      </c>
      <c r="I669" s="151">
        <v>42816</v>
      </c>
      <c r="J669" s="149" t="s">
        <v>36</v>
      </c>
      <c r="K669" s="149" t="s">
        <v>419</v>
      </c>
      <c r="L669" s="155" t="s">
        <v>2566</v>
      </c>
      <c r="M669" s="155" t="s">
        <v>2567</v>
      </c>
      <c r="N669" s="155" t="s">
        <v>2668</v>
      </c>
      <c r="O669" s="155" t="s">
        <v>2105</v>
      </c>
      <c r="P669" s="140" t="s">
        <v>2105</v>
      </c>
      <c r="Q669" s="140" t="s">
        <v>2387</v>
      </c>
      <c r="R669" s="155" t="s">
        <v>2713</v>
      </c>
      <c r="S669" s="149">
        <f t="shared" si="26"/>
        <v>8.0000000000000004E-4</v>
      </c>
      <c r="T669" s="149">
        <v>0</v>
      </c>
      <c r="U669" s="157">
        <v>8.0000000000000004E-4</v>
      </c>
      <c r="V669" s="157">
        <v>1.605</v>
      </c>
      <c r="W669" s="157">
        <f>2.86+1.703+1.085+0.695</f>
        <v>6.343</v>
      </c>
      <c r="X669" s="149">
        <f t="shared" si="25"/>
        <v>10.180515</v>
      </c>
      <c r="Y669" s="149"/>
    </row>
    <row r="670" spans="1:25" ht="16">
      <c r="A670" s="117" t="s">
        <v>3570</v>
      </c>
      <c r="B670" s="150" t="s">
        <v>733</v>
      </c>
      <c r="C670" s="149" t="s">
        <v>1744</v>
      </c>
      <c r="D670" s="149" t="s">
        <v>3555</v>
      </c>
      <c r="E670" s="149" t="s">
        <v>593</v>
      </c>
      <c r="F670" s="149">
        <v>-26.365555560000001</v>
      </c>
      <c r="G670" s="149">
        <v>135.79</v>
      </c>
      <c r="H670" s="149">
        <v>201</v>
      </c>
      <c r="I670" s="151">
        <v>42816</v>
      </c>
      <c r="J670" s="149" t="s">
        <v>36</v>
      </c>
      <c r="K670" s="149" t="s">
        <v>419</v>
      </c>
      <c r="L670" s="155" t="s">
        <v>2566</v>
      </c>
      <c r="M670" s="155" t="s">
        <v>2567</v>
      </c>
      <c r="N670" s="155" t="s">
        <v>2668</v>
      </c>
      <c r="O670" s="155" t="s">
        <v>2105</v>
      </c>
      <c r="P670" s="140" t="s">
        <v>2105</v>
      </c>
      <c r="Q670" s="140" t="s">
        <v>2387</v>
      </c>
      <c r="R670" s="155" t="s">
        <v>2712</v>
      </c>
      <c r="S670" s="149">
        <f t="shared" si="26"/>
        <v>2.9999999999999997E-4</v>
      </c>
      <c r="T670" s="149">
        <v>0</v>
      </c>
      <c r="U670" s="157">
        <v>2.9999999999999997E-4</v>
      </c>
      <c r="V670" s="157">
        <v>1.0880000000000001</v>
      </c>
      <c r="W670" s="157">
        <f>2.179+0.594+1.181+0.552</f>
        <v>4.5060000000000002</v>
      </c>
      <c r="X670" s="149">
        <f t="shared" si="25"/>
        <v>4.9025280000000002</v>
      </c>
      <c r="Y670" s="149"/>
    </row>
    <row r="671" spans="1:25" ht="16">
      <c r="A671" s="117" t="s">
        <v>3570</v>
      </c>
      <c r="B671" s="150" t="s">
        <v>734</v>
      </c>
      <c r="C671" s="149" t="s">
        <v>1744</v>
      </c>
      <c r="D671" s="149" t="s">
        <v>3555</v>
      </c>
      <c r="E671" s="149" t="s">
        <v>593</v>
      </c>
      <c r="F671" s="149">
        <v>-26.365555560000001</v>
      </c>
      <c r="G671" s="149">
        <v>135.79</v>
      </c>
      <c r="H671" s="149">
        <v>201</v>
      </c>
      <c r="I671" s="151">
        <v>42816</v>
      </c>
      <c r="J671" s="149" t="s">
        <v>36</v>
      </c>
      <c r="K671" s="149" t="s">
        <v>419</v>
      </c>
      <c r="L671" s="155" t="s">
        <v>2566</v>
      </c>
      <c r="M671" s="155" t="s">
        <v>2567</v>
      </c>
      <c r="N671" s="155" t="s">
        <v>2668</v>
      </c>
      <c r="O671" s="155" t="s">
        <v>2105</v>
      </c>
      <c r="P671" s="140" t="s">
        <v>2105</v>
      </c>
      <c r="Q671" s="140" t="s">
        <v>2387</v>
      </c>
      <c r="R671" s="155" t="s">
        <v>2713</v>
      </c>
      <c r="S671" s="149">
        <f t="shared" si="26"/>
        <v>5.0000000000000001E-4</v>
      </c>
      <c r="T671" s="149">
        <v>0</v>
      </c>
      <c r="U671" s="157">
        <v>5.0000000000000001E-4</v>
      </c>
      <c r="V671" s="157">
        <v>1.464</v>
      </c>
      <c r="W671" s="157">
        <f>2.796+0.64+0.711+1.55</f>
        <v>5.6970000000000001</v>
      </c>
      <c r="X671" s="149">
        <f t="shared" si="25"/>
        <v>8.340408</v>
      </c>
      <c r="Y671" s="149"/>
    </row>
    <row r="672" spans="1:25" ht="16">
      <c r="A672" s="117" t="s">
        <v>3570</v>
      </c>
      <c r="B672" s="150" t="s">
        <v>735</v>
      </c>
      <c r="C672" s="149" t="s">
        <v>1744</v>
      </c>
      <c r="D672" s="149" t="s">
        <v>3555</v>
      </c>
      <c r="E672" s="149" t="s">
        <v>593</v>
      </c>
      <c r="F672" s="149">
        <v>-26.365555560000001</v>
      </c>
      <c r="G672" s="149">
        <v>135.79</v>
      </c>
      <c r="H672" s="149">
        <v>201</v>
      </c>
      <c r="I672" s="151">
        <v>42816</v>
      </c>
      <c r="J672" s="149" t="s">
        <v>36</v>
      </c>
      <c r="K672" s="149" t="s">
        <v>419</v>
      </c>
      <c r="L672" s="155" t="s">
        <v>2566</v>
      </c>
      <c r="M672" s="155" t="s">
        <v>2567</v>
      </c>
      <c r="N672" s="155" t="s">
        <v>2668</v>
      </c>
      <c r="O672" s="155" t="s">
        <v>2105</v>
      </c>
      <c r="P672" s="140" t="s">
        <v>2105</v>
      </c>
      <c r="Q672" s="140" t="s">
        <v>2387</v>
      </c>
      <c r="R672" s="155" t="s">
        <v>2713</v>
      </c>
      <c r="S672" s="149">
        <f t="shared" si="26"/>
        <v>8.0000000000000004E-4</v>
      </c>
      <c r="T672" s="149">
        <v>0</v>
      </c>
      <c r="U672" s="157">
        <v>8.0000000000000004E-4</v>
      </c>
      <c r="V672" s="157">
        <v>1.6020000000000001</v>
      </c>
      <c r="W672" s="157">
        <f>3.09+1.041+0.885+1.047</f>
        <v>6.0629999999999997</v>
      </c>
      <c r="X672" s="149">
        <f t="shared" si="25"/>
        <v>9.7129259999999995</v>
      </c>
      <c r="Y672" s="149"/>
    </row>
    <row r="673" spans="1:25" ht="16">
      <c r="A673" s="117" t="s">
        <v>3570</v>
      </c>
      <c r="B673" s="150" t="s">
        <v>736</v>
      </c>
      <c r="C673" s="149" t="s">
        <v>1744</v>
      </c>
      <c r="D673" s="149" t="s">
        <v>3555</v>
      </c>
      <c r="E673" s="149" t="s">
        <v>593</v>
      </c>
      <c r="F673" s="149">
        <v>-26.365555560000001</v>
      </c>
      <c r="G673" s="149">
        <v>135.79</v>
      </c>
      <c r="H673" s="149">
        <v>201</v>
      </c>
      <c r="I673" s="151">
        <v>42816</v>
      </c>
      <c r="J673" s="149" t="s">
        <v>36</v>
      </c>
      <c r="K673" s="149" t="s">
        <v>419</v>
      </c>
      <c r="L673" s="155" t="s">
        <v>2566</v>
      </c>
      <c r="M673" s="155" t="s">
        <v>2567</v>
      </c>
      <c r="N673" s="155" t="s">
        <v>2668</v>
      </c>
      <c r="O673" s="155" t="s">
        <v>2105</v>
      </c>
      <c r="P673" s="140" t="s">
        <v>2105</v>
      </c>
      <c r="Q673" s="140" t="s">
        <v>2387</v>
      </c>
      <c r="R673" s="155" t="s">
        <v>2713</v>
      </c>
      <c r="S673" s="149">
        <f t="shared" si="26"/>
        <v>1E-3</v>
      </c>
      <c r="T673" s="149">
        <v>0</v>
      </c>
      <c r="U673" s="157">
        <v>1E-3</v>
      </c>
      <c r="V673" s="157">
        <v>1.6850000000000001</v>
      </c>
      <c r="W673" s="157">
        <f>3.151+0.897+1.318+1.43</f>
        <v>6.7959999999999994</v>
      </c>
      <c r="X673" s="149">
        <f t="shared" si="25"/>
        <v>11.45126</v>
      </c>
      <c r="Y673" s="149"/>
    </row>
    <row r="674" spans="1:25" ht="16">
      <c r="A674" s="117" t="s">
        <v>3570</v>
      </c>
      <c r="B674" s="150" t="s">
        <v>737</v>
      </c>
      <c r="C674" s="149" t="s">
        <v>1744</v>
      </c>
      <c r="D674" s="149" t="s">
        <v>3555</v>
      </c>
      <c r="E674" s="149" t="s">
        <v>593</v>
      </c>
      <c r="F674" s="149">
        <v>-26.365555560000001</v>
      </c>
      <c r="G674" s="149">
        <v>135.79</v>
      </c>
      <c r="H674" s="149">
        <v>201</v>
      </c>
      <c r="I674" s="151">
        <v>42816</v>
      </c>
      <c r="J674" s="149" t="s">
        <v>36</v>
      </c>
      <c r="K674" s="149" t="s">
        <v>419</v>
      </c>
      <c r="L674" s="155" t="s">
        <v>2566</v>
      </c>
      <c r="M674" s="155" t="s">
        <v>2567</v>
      </c>
      <c r="N674" s="155" t="s">
        <v>2668</v>
      </c>
      <c r="O674" s="155" t="s">
        <v>2105</v>
      </c>
      <c r="P674" s="140" t="s">
        <v>2105</v>
      </c>
      <c r="Q674" s="140" t="s">
        <v>2387</v>
      </c>
      <c r="R674" s="155" t="s">
        <v>2712</v>
      </c>
      <c r="S674" s="149">
        <f t="shared" si="26"/>
        <v>4.0000000000000002E-4</v>
      </c>
      <c r="T674" s="149">
        <v>0</v>
      </c>
      <c r="U674" s="157">
        <v>4.0000000000000002E-4</v>
      </c>
      <c r="V674" s="157">
        <v>1.175</v>
      </c>
      <c r="W674" s="157">
        <f>2.58+0.806+1.667</f>
        <v>5.0529999999999999</v>
      </c>
      <c r="X674" s="149">
        <f t="shared" si="25"/>
        <v>5.9372750000000005</v>
      </c>
      <c r="Y674" s="149"/>
    </row>
    <row r="675" spans="1:25" ht="16">
      <c r="A675" s="117" t="s">
        <v>3570</v>
      </c>
      <c r="B675" s="150" t="s">
        <v>738</v>
      </c>
      <c r="C675" s="149" t="s">
        <v>1744</v>
      </c>
      <c r="D675" s="149" t="s">
        <v>3555</v>
      </c>
      <c r="E675" s="149" t="s">
        <v>593</v>
      </c>
      <c r="F675" s="149">
        <v>-26.365555560000001</v>
      </c>
      <c r="G675" s="149">
        <v>135.79</v>
      </c>
      <c r="H675" s="149">
        <v>201</v>
      </c>
      <c r="I675" s="151">
        <v>42816</v>
      </c>
      <c r="J675" s="149" t="s">
        <v>36</v>
      </c>
      <c r="K675" s="149" t="s">
        <v>419</v>
      </c>
      <c r="L675" s="155" t="s">
        <v>2566</v>
      </c>
      <c r="M675" s="155" t="s">
        <v>2567</v>
      </c>
      <c r="N675" s="155" t="s">
        <v>2668</v>
      </c>
      <c r="O675" s="155" t="s">
        <v>2105</v>
      </c>
      <c r="P675" s="140" t="s">
        <v>2105</v>
      </c>
      <c r="Q675" s="140" t="s">
        <v>2387</v>
      </c>
      <c r="R675" s="155" t="s">
        <v>2713</v>
      </c>
      <c r="S675" s="149">
        <f t="shared" si="26"/>
        <v>8.0000000000000004E-4</v>
      </c>
      <c r="T675" s="149">
        <v>0</v>
      </c>
      <c r="U675" s="157">
        <v>8.0000000000000004E-4</v>
      </c>
      <c r="V675" s="157">
        <v>1.5309999999999999</v>
      </c>
      <c r="W675" s="157">
        <f>2.163+0.934+0.833+3.059</f>
        <v>6.9889999999999999</v>
      </c>
      <c r="X675" s="149">
        <f t="shared" si="25"/>
        <v>10.700158999999999</v>
      </c>
      <c r="Y675" s="149"/>
    </row>
    <row r="676" spans="1:25" ht="16">
      <c r="A676" s="117" t="s">
        <v>3570</v>
      </c>
      <c r="B676" s="150" t="s">
        <v>739</v>
      </c>
      <c r="C676" s="149" t="s">
        <v>1744</v>
      </c>
      <c r="D676" s="149" t="s">
        <v>3555</v>
      </c>
      <c r="E676" s="149" t="s">
        <v>593</v>
      </c>
      <c r="F676" s="149">
        <v>-26.365555560000001</v>
      </c>
      <c r="G676" s="149">
        <v>135.79</v>
      </c>
      <c r="H676" s="149">
        <v>201</v>
      </c>
      <c r="I676" s="151">
        <v>42816</v>
      </c>
      <c r="J676" s="149" t="s">
        <v>36</v>
      </c>
      <c r="K676" s="149" t="s">
        <v>419</v>
      </c>
      <c r="L676" s="155" t="s">
        <v>2566</v>
      </c>
      <c r="M676" s="155" t="s">
        <v>2567</v>
      </c>
      <c r="N676" s="155" t="s">
        <v>2668</v>
      </c>
      <c r="O676" s="155" t="s">
        <v>2105</v>
      </c>
      <c r="P676" s="140" t="s">
        <v>2105</v>
      </c>
      <c r="Q676" s="140" t="s">
        <v>2387</v>
      </c>
      <c r="R676" s="155" t="s">
        <v>2713</v>
      </c>
      <c r="S676" s="149">
        <f t="shared" si="26"/>
        <v>8.0000000000000004E-4</v>
      </c>
      <c r="T676" s="149">
        <v>0</v>
      </c>
      <c r="U676" s="157">
        <v>8.0000000000000004E-4</v>
      </c>
      <c r="V676" s="157">
        <v>1.577</v>
      </c>
      <c r="W676" s="157">
        <f>2.916+1.454+2.286</f>
        <v>6.6560000000000006</v>
      </c>
      <c r="X676" s="149">
        <f t="shared" si="25"/>
        <v>10.496512000000001</v>
      </c>
      <c r="Y676" s="149"/>
    </row>
    <row r="677" spans="1:25" ht="16">
      <c r="A677" s="117" t="s">
        <v>3570</v>
      </c>
      <c r="B677" s="150" t="s">
        <v>455</v>
      </c>
      <c r="C677" s="149" t="s">
        <v>1744</v>
      </c>
      <c r="D677" s="149" t="s">
        <v>3555</v>
      </c>
      <c r="E677" s="149" t="s">
        <v>418</v>
      </c>
      <c r="F677" s="149">
        <v>-26.284722200000001</v>
      </c>
      <c r="G677" s="149">
        <v>136.09805556000001</v>
      </c>
      <c r="H677" s="149">
        <v>201</v>
      </c>
      <c r="I677" s="151">
        <v>42816</v>
      </c>
      <c r="J677" s="149" t="s">
        <v>36</v>
      </c>
      <c r="K677" s="149" t="s">
        <v>419</v>
      </c>
      <c r="L677" s="140" t="s">
        <v>2569</v>
      </c>
      <c r="M677" s="140" t="s">
        <v>2570</v>
      </c>
      <c r="N677" s="140" t="s">
        <v>2571</v>
      </c>
      <c r="O677" s="140" t="s">
        <v>2369</v>
      </c>
      <c r="P677" s="140" t="s">
        <v>3556</v>
      </c>
      <c r="Q677" s="140" t="s">
        <v>2678</v>
      </c>
      <c r="R677" s="140" t="s">
        <v>2712</v>
      </c>
      <c r="S677" s="149">
        <f t="shared" si="26"/>
        <v>3.3E-3</v>
      </c>
      <c r="T677" s="149">
        <v>0</v>
      </c>
      <c r="U677" s="157">
        <v>3.3E-3</v>
      </c>
      <c r="V677" s="157">
        <v>2.4710000000000001</v>
      </c>
      <c r="W677" s="157">
        <v>8.0830000000000002</v>
      </c>
      <c r="X677" s="149">
        <f t="shared" si="25"/>
        <v>19.973093000000002</v>
      </c>
      <c r="Y677" s="149"/>
    </row>
    <row r="678" spans="1:25" ht="16">
      <c r="A678" s="117" t="s">
        <v>3570</v>
      </c>
      <c r="B678" s="150" t="s">
        <v>740</v>
      </c>
      <c r="C678" s="149" t="s">
        <v>1744</v>
      </c>
      <c r="D678" s="149" t="s">
        <v>3555</v>
      </c>
      <c r="E678" s="149" t="s">
        <v>593</v>
      </c>
      <c r="F678" s="149">
        <v>-26.365555560000001</v>
      </c>
      <c r="G678" s="149">
        <v>135.79</v>
      </c>
      <c r="H678" s="149">
        <v>201</v>
      </c>
      <c r="I678" s="151">
        <v>42816</v>
      </c>
      <c r="J678" s="149" t="s">
        <v>36</v>
      </c>
      <c r="K678" s="149" t="s">
        <v>419</v>
      </c>
      <c r="L678" s="155" t="s">
        <v>2566</v>
      </c>
      <c r="M678" s="155" t="s">
        <v>2567</v>
      </c>
      <c r="N678" s="155" t="s">
        <v>2668</v>
      </c>
      <c r="O678" s="155" t="s">
        <v>2105</v>
      </c>
      <c r="P678" s="140" t="s">
        <v>2105</v>
      </c>
      <c r="Q678" s="140" t="s">
        <v>2387</v>
      </c>
      <c r="R678" s="155" t="s">
        <v>2713</v>
      </c>
      <c r="S678" s="149">
        <f t="shared" si="26"/>
        <v>6.9999999999999999E-4</v>
      </c>
      <c r="T678" s="149">
        <v>0</v>
      </c>
      <c r="U678" s="157">
        <v>6.9999999999999999E-4</v>
      </c>
      <c r="V678" s="157">
        <v>1.583</v>
      </c>
      <c r="W678" s="157">
        <f>2.942+0.935+2.205</f>
        <v>6.0820000000000007</v>
      </c>
      <c r="X678" s="149">
        <f t="shared" si="25"/>
        <v>9.6278060000000014</v>
      </c>
      <c r="Y678" s="149"/>
    </row>
    <row r="679" spans="1:25" ht="16">
      <c r="A679" s="117" t="s">
        <v>3570</v>
      </c>
      <c r="B679" s="150" t="s">
        <v>741</v>
      </c>
      <c r="C679" s="149" t="s">
        <v>1744</v>
      </c>
      <c r="D679" s="149" t="s">
        <v>3555</v>
      </c>
      <c r="E679" s="149" t="s">
        <v>593</v>
      </c>
      <c r="F679" s="149">
        <v>-26.365555560000001</v>
      </c>
      <c r="G679" s="149">
        <v>135.79</v>
      </c>
      <c r="H679" s="149">
        <v>201</v>
      </c>
      <c r="I679" s="151">
        <v>42816</v>
      </c>
      <c r="J679" s="149" t="s">
        <v>36</v>
      </c>
      <c r="K679" s="149" t="s">
        <v>419</v>
      </c>
      <c r="L679" s="155" t="s">
        <v>2566</v>
      </c>
      <c r="M679" s="155" t="s">
        <v>2567</v>
      </c>
      <c r="N679" s="155" t="s">
        <v>2668</v>
      </c>
      <c r="O679" s="155" t="s">
        <v>2105</v>
      </c>
      <c r="P679" s="140" t="s">
        <v>2105</v>
      </c>
      <c r="Q679" s="140" t="s">
        <v>2387</v>
      </c>
      <c r="R679" s="155" t="s">
        <v>2713</v>
      </c>
      <c r="S679" s="149">
        <f t="shared" si="26"/>
        <v>8.9999999999999998E-4</v>
      </c>
      <c r="T679" s="149">
        <v>0</v>
      </c>
      <c r="U679" s="157">
        <v>8.9999999999999998E-4</v>
      </c>
      <c r="V679" s="157">
        <v>1.607</v>
      </c>
      <c r="W679" s="157">
        <f>3.125+1.053+1.403+1.3767</f>
        <v>6.9576999999999991</v>
      </c>
      <c r="X679" s="149">
        <f t="shared" si="25"/>
        <v>11.181023899999998</v>
      </c>
      <c r="Y679" s="149"/>
    </row>
    <row r="680" spans="1:25" ht="16">
      <c r="A680" s="117" t="s">
        <v>3570</v>
      </c>
      <c r="B680" s="150" t="s">
        <v>742</v>
      </c>
      <c r="C680" s="149" t="s">
        <v>1744</v>
      </c>
      <c r="D680" s="149" t="s">
        <v>3555</v>
      </c>
      <c r="E680" s="149" t="s">
        <v>593</v>
      </c>
      <c r="F680" s="149">
        <v>-26.365555560000001</v>
      </c>
      <c r="G680" s="149">
        <v>135.79</v>
      </c>
      <c r="H680" s="149">
        <v>201</v>
      </c>
      <c r="I680" s="151">
        <v>42816</v>
      </c>
      <c r="J680" s="149" t="s">
        <v>36</v>
      </c>
      <c r="K680" s="149" t="s">
        <v>419</v>
      </c>
      <c r="L680" s="155" t="s">
        <v>2566</v>
      </c>
      <c r="M680" s="155" t="s">
        <v>2567</v>
      </c>
      <c r="N680" s="155" t="s">
        <v>2668</v>
      </c>
      <c r="O680" s="155" t="s">
        <v>2105</v>
      </c>
      <c r="P680" s="140" t="s">
        <v>2105</v>
      </c>
      <c r="Q680" s="140" t="s">
        <v>2387</v>
      </c>
      <c r="R680" s="155" t="s">
        <v>2713</v>
      </c>
      <c r="S680" s="149">
        <f t="shared" si="26"/>
        <v>1E-3</v>
      </c>
      <c r="T680" s="149">
        <v>0</v>
      </c>
      <c r="U680" s="157">
        <v>1E-3</v>
      </c>
      <c r="V680" s="157">
        <v>1.696</v>
      </c>
      <c r="W680" s="140">
        <f>2.926+1.779+0.989+1.101</f>
        <v>6.7949999999999999</v>
      </c>
      <c r="X680" s="149">
        <f t="shared" si="25"/>
        <v>11.524319999999999</v>
      </c>
      <c r="Y680" s="149"/>
    </row>
    <row r="681" spans="1:25" ht="16">
      <c r="A681" s="117" t="s">
        <v>3570</v>
      </c>
      <c r="B681" s="150" t="s">
        <v>743</v>
      </c>
      <c r="C681" s="149" t="s">
        <v>1744</v>
      </c>
      <c r="D681" s="149" t="s">
        <v>3555</v>
      </c>
      <c r="E681" s="149" t="s">
        <v>593</v>
      </c>
      <c r="F681" s="149">
        <v>-26.365555560000001</v>
      </c>
      <c r="G681" s="149">
        <v>135.79</v>
      </c>
      <c r="H681" s="149">
        <v>201</v>
      </c>
      <c r="I681" s="151">
        <v>42816</v>
      </c>
      <c r="J681" s="149" t="s">
        <v>36</v>
      </c>
      <c r="K681" s="149" t="s">
        <v>419</v>
      </c>
      <c r="L681" s="140" t="s">
        <v>2572</v>
      </c>
      <c r="M681" s="140" t="s">
        <v>2407</v>
      </c>
      <c r="N681" s="140" t="s">
        <v>36</v>
      </c>
      <c r="O681" s="140" t="s">
        <v>2215</v>
      </c>
      <c r="P681" s="140" t="s">
        <v>2215</v>
      </c>
      <c r="Q681" s="140" t="s">
        <v>2702</v>
      </c>
      <c r="R681" s="140" t="s">
        <v>2712</v>
      </c>
      <c r="S681" s="149">
        <f t="shared" si="26"/>
        <v>5.9999999999999995E-4</v>
      </c>
      <c r="T681" s="149">
        <v>0</v>
      </c>
      <c r="U681" s="157">
        <v>5.9999999999999995E-4</v>
      </c>
      <c r="V681" s="157">
        <v>1.331</v>
      </c>
      <c r="W681" s="157">
        <f>2.847+0.935+1.55+1.034</f>
        <v>6.3659999999999997</v>
      </c>
      <c r="X681" s="149">
        <f t="shared" si="25"/>
        <v>8.4731459999999998</v>
      </c>
      <c r="Y681" s="149"/>
    </row>
    <row r="682" spans="1:25" ht="16">
      <c r="A682" s="117" t="s">
        <v>3570</v>
      </c>
      <c r="B682" s="150" t="s">
        <v>744</v>
      </c>
      <c r="C682" s="149" t="s">
        <v>1744</v>
      </c>
      <c r="D682" s="149" t="s">
        <v>3555</v>
      </c>
      <c r="E682" s="149" t="s">
        <v>593</v>
      </c>
      <c r="F682" s="149">
        <v>-26.365555560000001</v>
      </c>
      <c r="G682" s="149">
        <v>135.79</v>
      </c>
      <c r="H682" s="149">
        <v>201</v>
      </c>
      <c r="I682" s="151">
        <v>42816</v>
      </c>
      <c r="J682" s="149" t="s">
        <v>36</v>
      </c>
      <c r="K682" s="149" t="s">
        <v>419</v>
      </c>
      <c r="L682" s="155" t="s">
        <v>2566</v>
      </c>
      <c r="M682" s="155" t="s">
        <v>2567</v>
      </c>
      <c r="N682" s="155" t="s">
        <v>2668</v>
      </c>
      <c r="O682" s="155" t="s">
        <v>2105</v>
      </c>
      <c r="P682" s="140" t="s">
        <v>2105</v>
      </c>
      <c r="Q682" s="140" t="s">
        <v>2387</v>
      </c>
      <c r="R682" s="155" t="s">
        <v>2713</v>
      </c>
      <c r="S682" s="149">
        <f t="shared" si="26"/>
        <v>8.9999999999999998E-4</v>
      </c>
      <c r="T682" s="149">
        <v>0</v>
      </c>
      <c r="U682" s="157">
        <v>8.9999999999999998E-4</v>
      </c>
      <c r="V682" s="157">
        <v>1.554</v>
      </c>
      <c r="W682" s="157">
        <f>3.002+1.208+1.066+1.177</f>
        <v>6.4529999999999994</v>
      </c>
      <c r="X682" s="149">
        <f t="shared" si="25"/>
        <v>10.027961999999999</v>
      </c>
      <c r="Y682" s="149"/>
    </row>
    <row r="683" spans="1:25" ht="16">
      <c r="A683" s="117" t="s">
        <v>3570</v>
      </c>
      <c r="B683" s="150" t="s">
        <v>745</v>
      </c>
      <c r="C683" s="149" t="s">
        <v>1744</v>
      </c>
      <c r="D683" s="149" t="s">
        <v>3555</v>
      </c>
      <c r="E683" s="149" t="s">
        <v>593</v>
      </c>
      <c r="F683" s="149">
        <v>-26.365555560000001</v>
      </c>
      <c r="G683" s="149">
        <v>135.79</v>
      </c>
      <c r="H683" s="149">
        <v>201</v>
      </c>
      <c r="I683" s="151">
        <v>42816</v>
      </c>
      <c r="J683" s="149" t="s">
        <v>36</v>
      </c>
      <c r="K683" s="149" t="s">
        <v>419</v>
      </c>
      <c r="L683" s="155" t="s">
        <v>2566</v>
      </c>
      <c r="M683" s="155" t="s">
        <v>2567</v>
      </c>
      <c r="N683" s="155" t="s">
        <v>2668</v>
      </c>
      <c r="O683" s="155" t="s">
        <v>2105</v>
      </c>
      <c r="P683" s="140" t="s">
        <v>2105</v>
      </c>
      <c r="Q683" s="140" t="s">
        <v>2387</v>
      </c>
      <c r="R683" s="155" t="s">
        <v>2713</v>
      </c>
      <c r="S683" s="149">
        <f t="shared" si="26"/>
        <v>5.9999999999999995E-4</v>
      </c>
      <c r="T683" s="149">
        <v>0</v>
      </c>
      <c r="U683" s="157">
        <v>5.9999999999999995E-4</v>
      </c>
      <c r="V683" s="157">
        <v>1.47</v>
      </c>
      <c r="W683" s="157">
        <f>2.863+1.06+1.07+1.201</f>
        <v>6.1940000000000008</v>
      </c>
      <c r="X683" s="149">
        <f t="shared" si="25"/>
        <v>9.1051800000000007</v>
      </c>
      <c r="Y683" s="149"/>
    </row>
    <row r="684" spans="1:25" ht="16">
      <c r="A684" s="117" t="s">
        <v>3570</v>
      </c>
      <c r="B684" s="150" t="s">
        <v>746</v>
      </c>
      <c r="C684" s="149" t="s">
        <v>1744</v>
      </c>
      <c r="D684" s="149" t="s">
        <v>3555</v>
      </c>
      <c r="E684" s="149" t="s">
        <v>593</v>
      </c>
      <c r="F684" s="149">
        <v>-26.365555560000001</v>
      </c>
      <c r="G684" s="149">
        <v>135.79</v>
      </c>
      <c r="H684" s="149">
        <v>201</v>
      </c>
      <c r="I684" s="151">
        <v>42816</v>
      </c>
      <c r="J684" s="149" t="s">
        <v>36</v>
      </c>
      <c r="K684" s="149" t="s">
        <v>419</v>
      </c>
      <c r="L684" s="155" t="s">
        <v>2566</v>
      </c>
      <c r="M684" s="155" t="s">
        <v>2567</v>
      </c>
      <c r="N684" s="155" t="s">
        <v>2668</v>
      </c>
      <c r="O684" s="155" t="s">
        <v>2105</v>
      </c>
      <c r="P684" s="140" t="s">
        <v>2105</v>
      </c>
      <c r="Q684" s="140" t="s">
        <v>2387</v>
      </c>
      <c r="R684" s="155" t="s">
        <v>2713</v>
      </c>
      <c r="S684" s="149">
        <f t="shared" si="26"/>
        <v>5.9999999999999995E-4</v>
      </c>
      <c r="T684" s="149">
        <v>0</v>
      </c>
      <c r="U684" s="157">
        <v>5.9999999999999995E-4</v>
      </c>
      <c r="V684" s="157">
        <v>1.3740000000000001</v>
      </c>
      <c r="W684" s="157">
        <f>2.945+0.999+2.54</f>
        <v>6.484</v>
      </c>
      <c r="X684" s="149">
        <f t="shared" si="25"/>
        <v>8.9090160000000012</v>
      </c>
      <c r="Y684" s="149"/>
    </row>
    <row r="685" spans="1:25" ht="16">
      <c r="A685" s="117" t="s">
        <v>3570</v>
      </c>
      <c r="B685" s="150" t="s">
        <v>747</v>
      </c>
      <c r="C685" s="149" t="s">
        <v>1744</v>
      </c>
      <c r="D685" s="149" t="s">
        <v>3555</v>
      </c>
      <c r="E685" s="149" t="s">
        <v>593</v>
      </c>
      <c r="F685" s="149">
        <v>-26.365555560000001</v>
      </c>
      <c r="G685" s="149">
        <v>135.79</v>
      </c>
      <c r="H685" s="149">
        <v>201</v>
      </c>
      <c r="I685" s="151">
        <v>42816</v>
      </c>
      <c r="J685" s="149" t="s">
        <v>36</v>
      </c>
      <c r="K685" s="149" t="s">
        <v>419</v>
      </c>
      <c r="L685" s="155" t="s">
        <v>2566</v>
      </c>
      <c r="M685" s="155" t="s">
        <v>2567</v>
      </c>
      <c r="N685" s="155" t="s">
        <v>2668</v>
      </c>
      <c r="O685" s="140" t="s">
        <v>2600</v>
      </c>
      <c r="P685" s="149" t="s">
        <v>2735</v>
      </c>
      <c r="Q685" s="140" t="s">
        <v>2709</v>
      </c>
      <c r="R685" s="155" t="s">
        <v>2712</v>
      </c>
      <c r="S685" s="149">
        <f t="shared" si="26"/>
        <v>5.0000000000000001E-4</v>
      </c>
      <c r="T685" s="149">
        <v>0</v>
      </c>
      <c r="U685" s="157">
        <v>5.0000000000000001E-4</v>
      </c>
      <c r="V685" s="157">
        <v>1.345</v>
      </c>
      <c r="W685" s="157">
        <f>2.749+1.348+1.133</f>
        <v>5.23</v>
      </c>
      <c r="X685" s="149">
        <f t="shared" si="25"/>
        <v>7.0343500000000008</v>
      </c>
      <c r="Y685" s="149"/>
    </row>
    <row r="686" spans="1:25" ht="16">
      <c r="A686" s="117" t="s">
        <v>3570</v>
      </c>
      <c r="B686" s="150" t="s">
        <v>748</v>
      </c>
      <c r="C686" s="149" t="s">
        <v>1744</v>
      </c>
      <c r="D686" s="149" t="s">
        <v>3555</v>
      </c>
      <c r="E686" s="149" t="s">
        <v>593</v>
      </c>
      <c r="F686" s="149">
        <v>-26.365555560000001</v>
      </c>
      <c r="G686" s="149">
        <v>135.79</v>
      </c>
      <c r="H686" s="149">
        <v>201</v>
      </c>
      <c r="I686" s="151">
        <v>42816</v>
      </c>
      <c r="J686" s="149" t="s">
        <v>36</v>
      </c>
      <c r="K686" s="149" t="s">
        <v>419</v>
      </c>
      <c r="L686" s="155" t="s">
        <v>2566</v>
      </c>
      <c r="M686" s="155" t="s">
        <v>2567</v>
      </c>
      <c r="N686" s="155" t="s">
        <v>2668</v>
      </c>
      <c r="O686" s="155" t="s">
        <v>2105</v>
      </c>
      <c r="P686" s="140" t="s">
        <v>2105</v>
      </c>
      <c r="Q686" s="140" t="s">
        <v>2387</v>
      </c>
      <c r="R686" s="155" t="s">
        <v>2712</v>
      </c>
      <c r="S686" s="149">
        <f t="shared" si="26"/>
        <v>4.0000000000000002E-4</v>
      </c>
      <c r="T686" s="149">
        <v>0</v>
      </c>
      <c r="U686" s="157">
        <v>4.0000000000000002E-4</v>
      </c>
      <c r="V686" s="157">
        <v>1.2410000000000001</v>
      </c>
      <c r="W686" s="157">
        <f>2.526+0.951+0.874+0.976</f>
        <v>5.327</v>
      </c>
      <c r="X686" s="149">
        <f t="shared" si="25"/>
        <v>6.6108070000000003</v>
      </c>
      <c r="Y686" s="149"/>
    </row>
    <row r="687" spans="1:25" ht="16">
      <c r="A687" s="117" t="s">
        <v>3570</v>
      </c>
      <c r="B687" s="150" t="s">
        <v>749</v>
      </c>
      <c r="C687" s="149" t="s">
        <v>1744</v>
      </c>
      <c r="D687" s="149" t="s">
        <v>3555</v>
      </c>
      <c r="E687" s="149" t="s">
        <v>593</v>
      </c>
      <c r="F687" s="149">
        <v>-26.365555560000001</v>
      </c>
      <c r="G687" s="149">
        <v>135.79</v>
      </c>
      <c r="H687" s="149">
        <v>201</v>
      </c>
      <c r="I687" s="151">
        <v>42816</v>
      </c>
      <c r="J687" s="149" t="s">
        <v>36</v>
      </c>
      <c r="K687" s="149" t="s">
        <v>419</v>
      </c>
      <c r="L687" s="155" t="s">
        <v>2566</v>
      </c>
      <c r="M687" s="155" t="s">
        <v>2567</v>
      </c>
      <c r="N687" s="155" t="s">
        <v>2668</v>
      </c>
      <c r="O687" s="155" t="s">
        <v>2105</v>
      </c>
      <c r="P687" s="140" t="s">
        <v>2105</v>
      </c>
      <c r="Q687" s="140" t="s">
        <v>2387</v>
      </c>
      <c r="R687" s="155" t="s">
        <v>2712</v>
      </c>
      <c r="S687" s="149">
        <f t="shared" si="26"/>
        <v>4.0000000000000002E-4</v>
      </c>
      <c r="T687" s="149">
        <v>0</v>
      </c>
      <c r="U687" s="157">
        <v>4.0000000000000002E-4</v>
      </c>
      <c r="V687" s="157">
        <v>1.2430000000000001</v>
      </c>
      <c r="W687" s="157">
        <f>2.354+1.246+1.239</f>
        <v>4.8390000000000004</v>
      </c>
      <c r="X687" s="149">
        <f t="shared" si="25"/>
        <v>6.0148770000000011</v>
      </c>
      <c r="Y687" s="149"/>
    </row>
    <row r="688" spans="1:25" ht="16">
      <c r="A688" s="117" t="s">
        <v>3570</v>
      </c>
      <c r="B688" s="150" t="s">
        <v>456</v>
      </c>
      <c r="C688" s="149" t="s">
        <v>1744</v>
      </c>
      <c r="D688" s="149" t="s">
        <v>3555</v>
      </c>
      <c r="E688" s="149" t="s">
        <v>418</v>
      </c>
      <c r="F688" s="149">
        <v>-26.284722200000001</v>
      </c>
      <c r="G688" s="149">
        <v>136.09805556000001</v>
      </c>
      <c r="H688" s="149">
        <v>201</v>
      </c>
      <c r="I688" s="151">
        <v>42816</v>
      </c>
      <c r="J688" s="149" t="s">
        <v>36</v>
      </c>
      <c r="K688" s="149" t="s">
        <v>419</v>
      </c>
      <c r="L688" s="140" t="s">
        <v>2569</v>
      </c>
      <c r="M688" s="140" t="s">
        <v>2570</v>
      </c>
      <c r="N688" s="140" t="s">
        <v>2571</v>
      </c>
      <c r="O688" s="140" t="s">
        <v>2369</v>
      </c>
      <c r="P688" s="140" t="s">
        <v>3556</v>
      </c>
      <c r="Q688" s="140" t="s">
        <v>2669</v>
      </c>
      <c r="R688" s="140" t="s">
        <v>2712</v>
      </c>
      <c r="S688" s="149">
        <f t="shared" si="26"/>
        <v>3.0999999999999999E-3</v>
      </c>
      <c r="T688" s="149">
        <v>0</v>
      </c>
      <c r="U688" s="157">
        <v>3.0999999999999999E-3</v>
      </c>
      <c r="V688" s="157">
        <v>2.1680000000000001</v>
      </c>
      <c r="W688" s="157">
        <v>8.4830000000000005</v>
      </c>
      <c r="X688" s="149">
        <f t="shared" ref="X688:X751" si="27">V688*W688</f>
        <v>18.391144000000004</v>
      </c>
      <c r="Y688" s="149"/>
    </row>
    <row r="689" spans="1:25" ht="16">
      <c r="A689" s="117" t="s">
        <v>3570</v>
      </c>
      <c r="B689" s="150" t="s">
        <v>750</v>
      </c>
      <c r="C689" s="149" t="s">
        <v>1744</v>
      </c>
      <c r="D689" s="149" t="s">
        <v>3555</v>
      </c>
      <c r="E689" s="149" t="s">
        <v>593</v>
      </c>
      <c r="F689" s="149">
        <v>-26.365555560000001</v>
      </c>
      <c r="G689" s="149">
        <v>135.79</v>
      </c>
      <c r="H689" s="149">
        <v>201</v>
      </c>
      <c r="I689" s="151">
        <v>42816</v>
      </c>
      <c r="J689" s="149" t="s">
        <v>36</v>
      </c>
      <c r="K689" s="149" t="s">
        <v>419</v>
      </c>
      <c r="L689" s="155" t="s">
        <v>2566</v>
      </c>
      <c r="M689" s="155" t="s">
        <v>2567</v>
      </c>
      <c r="N689" s="155" t="s">
        <v>2668</v>
      </c>
      <c r="O689" s="155" t="s">
        <v>2105</v>
      </c>
      <c r="P689" s="140" t="s">
        <v>2105</v>
      </c>
      <c r="Q689" s="140" t="s">
        <v>2387</v>
      </c>
      <c r="R689" s="155" t="s">
        <v>2713</v>
      </c>
      <c r="S689" s="149">
        <f t="shared" si="26"/>
        <v>5.9999999999999995E-4</v>
      </c>
      <c r="T689" s="149">
        <v>0</v>
      </c>
      <c r="U689" s="157">
        <v>5.9999999999999995E-4</v>
      </c>
      <c r="V689" s="157">
        <v>1.4339999999999999</v>
      </c>
      <c r="W689" s="157">
        <f>3.058+0.83+2.856</f>
        <v>6.7439999999999998</v>
      </c>
      <c r="X689" s="149">
        <f t="shared" si="27"/>
        <v>9.670895999999999</v>
      </c>
      <c r="Y689" s="149"/>
    </row>
    <row r="690" spans="1:25" ht="16">
      <c r="A690" s="117" t="s">
        <v>3570</v>
      </c>
      <c r="B690" s="150" t="s">
        <v>751</v>
      </c>
      <c r="C690" s="149" t="s">
        <v>1744</v>
      </c>
      <c r="D690" s="149" t="s">
        <v>3555</v>
      </c>
      <c r="E690" s="149" t="s">
        <v>593</v>
      </c>
      <c r="F690" s="149">
        <v>-26.365555560000001</v>
      </c>
      <c r="G690" s="149">
        <v>135.79</v>
      </c>
      <c r="H690" s="149">
        <v>201</v>
      </c>
      <c r="I690" s="151">
        <v>42816</v>
      </c>
      <c r="J690" s="149" t="s">
        <v>36</v>
      </c>
      <c r="K690" s="149" t="s">
        <v>419</v>
      </c>
      <c r="L690" s="155" t="s">
        <v>2566</v>
      </c>
      <c r="M690" s="155" t="s">
        <v>2567</v>
      </c>
      <c r="N690" s="155" t="s">
        <v>2668</v>
      </c>
      <c r="O690" s="155" t="s">
        <v>2105</v>
      </c>
      <c r="P690" s="140" t="s">
        <v>2105</v>
      </c>
      <c r="Q690" s="140" t="s">
        <v>2387</v>
      </c>
      <c r="R690" s="155" t="s">
        <v>2712</v>
      </c>
      <c r="S690" s="149">
        <f t="shared" si="26"/>
        <v>4.0000000000000002E-4</v>
      </c>
      <c r="T690" s="149">
        <v>0</v>
      </c>
      <c r="U690" s="157">
        <v>4.0000000000000002E-4</v>
      </c>
      <c r="V690" s="157">
        <v>1.3520000000000001</v>
      </c>
      <c r="W690" s="157">
        <f>2.745+0.967+0.928+1.544</f>
        <v>6.1840000000000011</v>
      </c>
      <c r="X690" s="149">
        <f t="shared" si="27"/>
        <v>8.360768000000002</v>
      </c>
      <c r="Y690" s="149"/>
    </row>
    <row r="691" spans="1:25" ht="16">
      <c r="A691" s="117" t="s">
        <v>3570</v>
      </c>
      <c r="B691" s="150" t="s">
        <v>752</v>
      </c>
      <c r="C691" s="149" t="s">
        <v>1744</v>
      </c>
      <c r="D691" s="149" t="s">
        <v>3555</v>
      </c>
      <c r="E691" s="149" t="s">
        <v>593</v>
      </c>
      <c r="F691" s="149">
        <v>-26.365555560000001</v>
      </c>
      <c r="G691" s="149">
        <v>135.79</v>
      </c>
      <c r="H691" s="149">
        <v>201</v>
      </c>
      <c r="I691" s="151">
        <v>42816</v>
      </c>
      <c r="J691" s="149" t="s">
        <v>36</v>
      </c>
      <c r="K691" s="149" t="s">
        <v>419</v>
      </c>
      <c r="L691" s="155" t="s">
        <v>2566</v>
      </c>
      <c r="M691" s="155" t="s">
        <v>2567</v>
      </c>
      <c r="N691" s="155" t="s">
        <v>2668</v>
      </c>
      <c r="O691" s="155" t="s">
        <v>2105</v>
      </c>
      <c r="P691" s="140" t="s">
        <v>2105</v>
      </c>
      <c r="Q691" s="140" t="s">
        <v>2387</v>
      </c>
      <c r="R691" s="155" t="s">
        <v>2713</v>
      </c>
      <c r="S691" s="149">
        <f t="shared" si="26"/>
        <v>8.9999999999999998E-4</v>
      </c>
      <c r="T691" s="149">
        <v>0</v>
      </c>
      <c r="U691" s="157">
        <v>8.9999999999999998E-4</v>
      </c>
      <c r="V691" s="157">
        <v>1.5589999999999999</v>
      </c>
      <c r="W691" s="157">
        <f>2.949+0.741+2.968</f>
        <v>6.6579999999999995</v>
      </c>
      <c r="X691" s="149">
        <f t="shared" si="27"/>
        <v>10.379821999999999</v>
      </c>
      <c r="Y691" s="149"/>
    </row>
    <row r="692" spans="1:25" ht="16">
      <c r="A692" s="117" t="s">
        <v>3570</v>
      </c>
      <c r="B692" s="150" t="s">
        <v>753</v>
      </c>
      <c r="C692" s="149" t="s">
        <v>1744</v>
      </c>
      <c r="D692" s="149" t="s">
        <v>3555</v>
      </c>
      <c r="E692" s="149" t="s">
        <v>593</v>
      </c>
      <c r="F692" s="149">
        <v>-26.365555560000001</v>
      </c>
      <c r="G692" s="149">
        <v>135.79</v>
      </c>
      <c r="H692" s="149">
        <v>201</v>
      </c>
      <c r="I692" s="151">
        <v>42816</v>
      </c>
      <c r="J692" s="149" t="s">
        <v>36</v>
      </c>
      <c r="K692" s="149" t="s">
        <v>419</v>
      </c>
      <c r="L692" s="155" t="s">
        <v>2566</v>
      </c>
      <c r="M692" s="155" t="s">
        <v>2567</v>
      </c>
      <c r="N692" s="155" t="s">
        <v>2668</v>
      </c>
      <c r="O692" s="155" t="s">
        <v>2105</v>
      </c>
      <c r="P692" s="140" t="s">
        <v>2105</v>
      </c>
      <c r="Q692" s="140" t="s">
        <v>2387</v>
      </c>
      <c r="R692" s="155" t="s">
        <v>2713</v>
      </c>
      <c r="S692" s="149">
        <f t="shared" si="26"/>
        <v>8.0000000000000004E-4</v>
      </c>
      <c r="T692" s="149">
        <v>0</v>
      </c>
      <c r="U692" s="157">
        <v>8.0000000000000004E-4</v>
      </c>
      <c r="V692" s="157">
        <v>1.667</v>
      </c>
      <c r="W692" s="157">
        <f>2.88+1.325+2.476</f>
        <v>6.681</v>
      </c>
      <c r="X692" s="149">
        <f t="shared" si="27"/>
        <v>11.137227000000001</v>
      </c>
      <c r="Y692" s="149"/>
    </row>
    <row r="693" spans="1:25" ht="16">
      <c r="A693" s="117" t="s">
        <v>3570</v>
      </c>
      <c r="B693" s="150" t="s">
        <v>754</v>
      </c>
      <c r="C693" s="149" t="s">
        <v>1744</v>
      </c>
      <c r="D693" s="149" t="s">
        <v>3555</v>
      </c>
      <c r="E693" s="149" t="s">
        <v>593</v>
      </c>
      <c r="F693" s="149">
        <v>-26.365555560000001</v>
      </c>
      <c r="G693" s="149">
        <v>135.79</v>
      </c>
      <c r="H693" s="149">
        <v>201</v>
      </c>
      <c r="I693" s="151">
        <v>42816</v>
      </c>
      <c r="J693" s="149" t="s">
        <v>36</v>
      </c>
      <c r="K693" s="149" t="s">
        <v>419</v>
      </c>
      <c r="L693" s="155" t="s">
        <v>2566</v>
      </c>
      <c r="M693" s="155" t="s">
        <v>2567</v>
      </c>
      <c r="N693" s="155" t="s">
        <v>2668</v>
      </c>
      <c r="O693" s="155" t="s">
        <v>2105</v>
      </c>
      <c r="P693" s="140" t="s">
        <v>2105</v>
      </c>
      <c r="Q693" s="140" t="s">
        <v>2387</v>
      </c>
      <c r="R693" s="155" t="s">
        <v>2713</v>
      </c>
      <c r="S693" s="149">
        <f t="shared" si="26"/>
        <v>8.0000000000000004E-4</v>
      </c>
      <c r="T693" s="149">
        <v>0</v>
      </c>
      <c r="U693" s="157">
        <v>8.0000000000000004E-4</v>
      </c>
      <c r="V693" s="157">
        <v>1.5840000000000001</v>
      </c>
      <c r="W693" s="157">
        <f>3.051+1.345+0.887+0.992</f>
        <v>6.2749999999999995</v>
      </c>
      <c r="X693" s="149">
        <f t="shared" si="27"/>
        <v>9.9396000000000004</v>
      </c>
      <c r="Y693" s="149"/>
    </row>
    <row r="694" spans="1:25" ht="16">
      <c r="A694" s="117" t="s">
        <v>3570</v>
      </c>
      <c r="B694" s="150" t="s">
        <v>756</v>
      </c>
      <c r="C694" s="149" t="s">
        <v>1744</v>
      </c>
      <c r="D694" s="149" t="s">
        <v>3555</v>
      </c>
      <c r="E694" s="149" t="s">
        <v>593</v>
      </c>
      <c r="F694" s="149">
        <v>-26.365555560000001</v>
      </c>
      <c r="G694" s="149">
        <v>135.79</v>
      </c>
      <c r="H694" s="149">
        <v>201</v>
      </c>
      <c r="I694" s="151">
        <v>42816</v>
      </c>
      <c r="J694" s="149" t="s">
        <v>36</v>
      </c>
      <c r="K694" s="149" t="s">
        <v>419</v>
      </c>
      <c r="L694" s="155" t="s">
        <v>2566</v>
      </c>
      <c r="M694" s="155" t="s">
        <v>2567</v>
      </c>
      <c r="N694" s="155" t="s">
        <v>2668</v>
      </c>
      <c r="O694" s="155" t="s">
        <v>2105</v>
      </c>
      <c r="P694" s="140" t="s">
        <v>2105</v>
      </c>
      <c r="Q694" s="140" t="s">
        <v>2387</v>
      </c>
      <c r="R694" s="155" t="s">
        <v>2712</v>
      </c>
      <c r="S694" s="149">
        <f t="shared" si="26"/>
        <v>5.9999999999999995E-4</v>
      </c>
      <c r="T694" s="149">
        <v>0</v>
      </c>
      <c r="U694" s="157">
        <v>5.9999999999999995E-4</v>
      </c>
      <c r="V694" s="157">
        <v>1.4339999999999999</v>
      </c>
      <c r="W694" s="157">
        <f>2.756+1.095+2.159</f>
        <v>6.01</v>
      </c>
      <c r="X694" s="149">
        <f t="shared" si="27"/>
        <v>8.6183399999999999</v>
      </c>
      <c r="Y694" s="149"/>
    </row>
    <row r="695" spans="1:25" ht="16">
      <c r="A695" s="117" t="s">
        <v>3570</v>
      </c>
      <c r="B695" s="150" t="s">
        <v>757</v>
      </c>
      <c r="C695" s="149" t="s">
        <v>1744</v>
      </c>
      <c r="D695" s="149" t="s">
        <v>3555</v>
      </c>
      <c r="E695" s="149" t="s">
        <v>593</v>
      </c>
      <c r="F695" s="149">
        <v>-26.365555560000001</v>
      </c>
      <c r="G695" s="149">
        <v>135.79</v>
      </c>
      <c r="H695" s="149">
        <v>201</v>
      </c>
      <c r="I695" s="151">
        <v>42816</v>
      </c>
      <c r="J695" s="149" t="s">
        <v>36</v>
      </c>
      <c r="K695" s="149" t="s">
        <v>419</v>
      </c>
      <c r="L695" s="155" t="s">
        <v>2566</v>
      </c>
      <c r="M695" s="155" t="s">
        <v>2567</v>
      </c>
      <c r="N695" s="155" t="s">
        <v>2668</v>
      </c>
      <c r="O695" s="155" t="s">
        <v>2105</v>
      </c>
      <c r="P695" s="140" t="s">
        <v>2105</v>
      </c>
      <c r="Q695" s="140" t="s">
        <v>2387</v>
      </c>
      <c r="R695" s="155" t="s">
        <v>2713</v>
      </c>
      <c r="S695" s="149">
        <f t="shared" si="26"/>
        <v>6.9999999999999999E-4</v>
      </c>
      <c r="T695" s="149">
        <v>0</v>
      </c>
      <c r="U695" s="157">
        <v>6.9999999999999999E-4</v>
      </c>
      <c r="V695" s="157">
        <v>1.4319999999999999</v>
      </c>
      <c r="W695" s="157">
        <f>2.742+1.041+2.664</f>
        <v>6.4470000000000001</v>
      </c>
      <c r="X695" s="149">
        <f t="shared" si="27"/>
        <v>9.2321039999999996</v>
      </c>
      <c r="Y695" s="149"/>
    </row>
    <row r="696" spans="1:25" ht="16">
      <c r="A696" s="117" t="s">
        <v>3570</v>
      </c>
      <c r="B696" s="150" t="s">
        <v>758</v>
      </c>
      <c r="C696" s="149" t="s">
        <v>1744</v>
      </c>
      <c r="D696" s="149" t="s">
        <v>3555</v>
      </c>
      <c r="E696" s="149" t="s">
        <v>593</v>
      </c>
      <c r="F696" s="149">
        <v>-26.365555560000001</v>
      </c>
      <c r="G696" s="149">
        <v>135.79</v>
      </c>
      <c r="H696" s="149">
        <v>201</v>
      </c>
      <c r="I696" s="151">
        <v>42816</v>
      </c>
      <c r="J696" s="149" t="s">
        <v>36</v>
      </c>
      <c r="K696" s="149" t="s">
        <v>419</v>
      </c>
      <c r="L696" s="155" t="s">
        <v>2566</v>
      </c>
      <c r="M696" s="155" t="s">
        <v>2567</v>
      </c>
      <c r="N696" s="155" t="s">
        <v>2668</v>
      </c>
      <c r="O696" s="155" t="s">
        <v>2105</v>
      </c>
      <c r="P696" s="140" t="s">
        <v>2105</v>
      </c>
      <c r="Q696" s="140" t="s">
        <v>2387</v>
      </c>
      <c r="R696" s="155" t="s">
        <v>2713</v>
      </c>
      <c r="S696" s="149">
        <f t="shared" si="26"/>
        <v>8.9999999999999998E-4</v>
      </c>
      <c r="T696" s="149">
        <v>0</v>
      </c>
      <c r="U696" s="157">
        <v>8.9999999999999998E-4</v>
      </c>
      <c r="V696" s="157">
        <v>1.6020000000000001</v>
      </c>
      <c r="W696" s="157">
        <f>2.906+1.445+1.588</f>
        <v>5.9390000000000001</v>
      </c>
      <c r="X696" s="149">
        <f t="shared" si="27"/>
        <v>9.5142780000000009</v>
      </c>
      <c r="Y696" s="149"/>
    </row>
    <row r="697" spans="1:25" ht="16">
      <c r="A697" s="117" t="s">
        <v>3570</v>
      </c>
      <c r="B697" s="150" t="s">
        <v>457</v>
      </c>
      <c r="C697" s="149" t="s">
        <v>1744</v>
      </c>
      <c r="D697" s="149" t="s">
        <v>3555</v>
      </c>
      <c r="E697" s="149" t="s">
        <v>459</v>
      </c>
      <c r="F697" s="149">
        <v>-26.12194444</v>
      </c>
      <c r="G697" s="149">
        <v>135.20888889</v>
      </c>
      <c r="H697" s="149">
        <v>208</v>
      </c>
      <c r="I697" s="151">
        <v>42809</v>
      </c>
      <c r="J697" s="149" t="s">
        <v>36</v>
      </c>
      <c r="K697" s="149" t="s">
        <v>419</v>
      </c>
      <c r="L697" s="140" t="s">
        <v>2566</v>
      </c>
      <c r="M697" s="140" t="s">
        <v>2574</v>
      </c>
      <c r="N697" s="140" t="s">
        <v>3191</v>
      </c>
      <c r="O697" s="149" t="s">
        <v>2111</v>
      </c>
      <c r="P697" s="149" t="s">
        <v>2739</v>
      </c>
      <c r="Q697" s="140" t="s">
        <v>2694</v>
      </c>
      <c r="R697" s="140" t="s">
        <v>2713</v>
      </c>
      <c r="S697" s="149">
        <f t="shared" si="26"/>
        <v>4.7300000000000002E-2</v>
      </c>
      <c r="T697" s="140">
        <v>3.8671999999999998E-2</v>
      </c>
      <c r="U697" s="157">
        <v>8.6280000000000037E-3</v>
      </c>
      <c r="V697" s="157">
        <v>3.1040000000000001</v>
      </c>
      <c r="W697" s="157">
        <v>14.101000000000001</v>
      </c>
      <c r="X697" s="149">
        <f t="shared" si="27"/>
        <v>43.769504000000005</v>
      </c>
      <c r="Y697" s="149"/>
    </row>
    <row r="698" spans="1:25" ht="16">
      <c r="A698" s="117" t="s">
        <v>3570</v>
      </c>
      <c r="B698" s="150" t="s">
        <v>759</v>
      </c>
      <c r="C698" s="149" t="s">
        <v>1744</v>
      </c>
      <c r="D698" s="149" t="s">
        <v>3555</v>
      </c>
      <c r="E698" s="149" t="s">
        <v>593</v>
      </c>
      <c r="F698" s="149">
        <v>-26.365555560000001</v>
      </c>
      <c r="G698" s="149">
        <v>135.79</v>
      </c>
      <c r="H698" s="149">
        <v>201</v>
      </c>
      <c r="I698" s="151">
        <v>42816</v>
      </c>
      <c r="J698" s="149" t="s">
        <v>36</v>
      </c>
      <c r="K698" s="149" t="s">
        <v>419</v>
      </c>
      <c r="L698" s="155" t="s">
        <v>2566</v>
      </c>
      <c r="M698" s="155" t="s">
        <v>2567</v>
      </c>
      <c r="N698" s="155" t="s">
        <v>2668</v>
      </c>
      <c r="O698" s="155" t="s">
        <v>2105</v>
      </c>
      <c r="P698" s="140" t="s">
        <v>2105</v>
      </c>
      <c r="Q698" s="140" t="s">
        <v>2387</v>
      </c>
      <c r="R698" s="155" t="s">
        <v>2713</v>
      </c>
      <c r="S698" s="149">
        <f t="shared" si="26"/>
        <v>1.1000000000000001E-3</v>
      </c>
      <c r="T698" s="149">
        <v>0</v>
      </c>
      <c r="U698" s="157">
        <v>1.1000000000000001E-3</v>
      </c>
      <c r="V698" s="157">
        <v>1.625</v>
      </c>
      <c r="W698" s="157">
        <f>1.061+0.695+1.188+2.785</f>
        <v>5.7290000000000001</v>
      </c>
      <c r="X698" s="149">
        <f t="shared" si="27"/>
        <v>9.3096250000000005</v>
      </c>
      <c r="Y698" s="149"/>
    </row>
    <row r="699" spans="1:25" ht="16">
      <c r="A699" s="117" t="s">
        <v>3570</v>
      </c>
      <c r="B699" s="150" t="s">
        <v>760</v>
      </c>
      <c r="C699" s="149" t="s">
        <v>1744</v>
      </c>
      <c r="D699" s="149" t="s">
        <v>3555</v>
      </c>
      <c r="E699" s="149" t="s">
        <v>593</v>
      </c>
      <c r="F699" s="149">
        <v>-26.365555560000001</v>
      </c>
      <c r="G699" s="149">
        <v>135.79</v>
      </c>
      <c r="H699" s="149">
        <v>201</v>
      </c>
      <c r="I699" s="151">
        <v>42816</v>
      </c>
      <c r="J699" s="149" t="s">
        <v>36</v>
      </c>
      <c r="K699" s="149" t="s">
        <v>419</v>
      </c>
      <c r="L699" s="155" t="s">
        <v>2566</v>
      </c>
      <c r="M699" s="155" t="s">
        <v>2567</v>
      </c>
      <c r="N699" s="155" t="s">
        <v>2668</v>
      </c>
      <c r="O699" s="155" t="s">
        <v>2105</v>
      </c>
      <c r="P699" s="140" t="s">
        <v>2105</v>
      </c>
      <c r="Q699" s="140" t="s">
        <v>2387</v>
      </c>
      <c r="R699" s="155" t="s">
        <v>2713</v>
      </c>
      <c r="S699" s="149">
        <f t="shared" si="26"/>
        <v>5.9999999999999995E-4</v>
      </c>
      <c r="T699" s="149">
        <v>0</v>
      </c>
      <c r="U699" s="157">
        <v>5.9999999999999995E-4</v>
      </c>
      <c r="V699" s="157">
        <v>1.46</v>
      </c>
      <c r="W699" s="157">
        <f>2.727+1.033+2.727</f>
        <v>6.4870000000000001</v>
      </c>
      <c r="X699" s="149">
        <f t="shared" si="27"/>
        <v>9.4710199999999993</v>
      </c>
      <c r="Y699" s="149"/>
    </row>
    <row r="700" spans="1:25" ht="16">
      <c r="A700" s="117" t="s">
        <v>3570</v>
      </c>
      <c r="B700" s="150" t="s">
        <v>761</v>
      </c>
      <c r="C700" s="149" t="s">
        <v>1744</v>
      </c>
      <c r="D700" s="149" t="s">
        <v>3555</v>
      </c>
      <c r="E700" s="149" t="s">
        <v>593</v>
      </c>
      <c r="F700" s="149">
        <v>-26.365555560000001</v>
      </c>
      <c r="G700" s="149">
        <v>135.79</v>
      </c>
      <c r="H700" s="149">
        <v>201</v>
      </c>
      <c r="I700" s="151">
        <v>42816</v>
      </c>
      <c r="J700" s="149" t="s">
        <v>36</v>
      </c>
      <c r="K700" s="149" t="s">
        <v>419</v>
      </c>
      <c r="L700" s="155" t="s">
        <v>2566</v>
      </c>
      <c r="M700" s="155" t="s">
        <v>2567</v>
      </c>
      <c r="N700" s="155" t="s">
        <v>2668</v>
      </c>
      <c r="O700" s="155" t="s">
        <v>2105</v>
      </c>
      <c r="P700" s="140" t="s">
        <v>2105</v>
      </c>
      <c r="Q700" s="140" t="s">
        <v>2387</v>
      </c>
      <c r="R700" s="155" t="s">
        <v>2713</v>
      </c>
      <c r="S700" s="149">
        <f t="shared" si="26"/>
        <v>4.0000000000000002E-4</v>
      </c>
      <c r="T700" s="149">
        <v>0</v>
      </c>
      <c r="U700" s="157">
        <v>4.0000000000000002E-4</v>
      </c>
      <c r="V700" s="157">
        <v>1.3979999999999999</v>
      </c>
      <c r="W700" s="157">
        <f>2.521+0.821+1.724</f>
        <v>5.0659999999999998</v>
      </c>
      <c r="X700" s="149">
        <f t="shared" si="27"/>
        <v>7.0822679999999991</v>
      </c>
      <c r="Y700" s="149"/>
    </row>
    <row r="701" spans="1:25" ht="16">
      <c r="A701" s="117" t="s">
        <v>3570</v>
      </c>
      <c r="B701" s="150" t="s">
        <v>764</v>
      </c>
      <c r="C701" s="149" t="s">
        <v>1744</v>
      </c>
      <c r="D701" s="149" t="s">
        <v>3555</v>
      </c>
      <c r="E701" s="149" t="s">
        <v>593</v>
      </c>
      <c r="F701" s="149">
        <v>-26.365555560000001</v>
      </c>
      <c r="G701" s="149">
        <v>135.79</v>
      </c>
      <c r="H701" s="149">
        <v>201</v>
      </c>
      <c r="I701" s="151">
        <v>42816</v>
      </c>
      <c r="J701" s="149" t="s">
        <v>36</v>
      </c>
      <c r="K701" s="149" t="s">
        <v>419</v>
      </c>
      <c r="L701" s="155" t="s">
        <v>2566</v>
      </c>
      <c r="M701" s="155" t="s">
        <v>2567</v>
      </c>
      <c r="N701" s="155" t="s">
        <v>2668</v>
      </c>
      <c r="O701" s="140" t="s">
        <v>2600</v>
      </c>
      <c r="P701" s="149" t="s">
        <v>2735</v>
      </c>
      <c r="Q701" s="140" t="s">
        <v>2709</v>
      </c>
      <c r="R701" s="155" t="s">
        <v>2712</v>
      </c>
      <c r="S701" s="149">
        <f t="shared" si="26"/>
        <v>8.0000000000000004E-4</v>
      </c>
      <c r="T701" s="149">
        <v>0</v>
      </c>
      <c r="U701" s="157">
        <v>8.0000000000000004E-4</v>
      </c>
      <c r="V701" s="157">
        <v>1.474</v>
      </c>
      <c r="W701" s="157">
        <f>1.515+1.949+2.845</f>
        <v>6.3090000000000002</v>
      </c>
      <c r="X701" s="149">
        <f t="shared" si="27"/>
        <v>9.2994660000000007</v>
      </c>
      <c r="Y701" s="149"/>
    </row>
    <row r="702" spans="1:25" ht="16">
      <c r="A702" s="117" t="s">
        <v>3570</v>
      </c>
      <c r="B702" s="150" t="s">
        <v>765</v>
      </c>
      <c r="C702" s="149" t="s">
        <v>1744</v>
      </c>
      <c r="D702" s="149" t="s">
        <v>3555</v>
      </c>
      <c r="E702" s="149" t="s">
        <v>593</v>
      </c>
      <c r="F702" s="149">
        <v>-26.365555560000001</v>
      </c>
      <c r="G702" s="149">
        <v>135.79</v>
      </c>
      <c r="H702" s="149">
        <v>201</v>
      </c>
      <c r="I702" s="151">
        <v>42816</v>
      </c>
      <c r="J702" s="149" t="s">
        <v>36</v>
      </c>
      <c r="K702" s="149" t="s">
        <v>419</v>
      </c>
      <c r="L702" s="155" t="s">
        <v>2566</v>
      </c>
      <c r="M702" s="155" t="s">
        <v>2567</v>
      </c>
      <c r="N702" s="155" t="s">
        <v>2668</v>
      </c>
      <c r="O702" s="140" t="s">
        <v>2600</v>
      </c>
      <c r="P702" s="149" t="s">
        <v>2735</v>
      </c>
      <c r="Q702" s="140" t="s">
        <v>2709</v>
      </c>
      <c r="R702" s="155" t="s">
        <v>2712</v>
      </c>
      <c r="S702" s="149">
        <f t="shared" si="26"/>
        <v>5.9999999999999995E-4</v>
      </c>
      <c r="T702" s="149">
        <v>0</v>
      </c>
      <c r="U702" s="157">
        <v>5.9999999999999995E-4</v>
      </c>
      <c r="V702" s="157">
        <v>1.335</v>
      </c>
      <c r="W702" s="157">
        <f>2.852+0.431+2.462</f>
        <v>5.7450000000000001</v>
      </c>
      <c r="X702" s="149">
        <f t="shared" si="27"/>
        <v>7.669575</v>
      </c>
      <c r="Y702" s="149"/>
    </row>
    <row r="703" spans="1:25" ht="16">
      <c r="A703" s="117" t="s">
        <v>3570</v>
      </c>
      <c r="B703" s="150" t="s">
        <v>766</v>
      </c>
      <c r="C703" s="149" t="s">
        <v>1744</v>
      </c>
      <c r="D703" s="149" t="s">
        <v>3555</v>
      </c>
      <c r="E703" s="149" t="s">
        <v>593</v>
      </c>
      <c r="F703" s="149">
        <v>-26.365555560000001</v>
      </c>
      <c r="G703" s="149">
        <v>135.79</v>
      </c>
      <c r="H703" s="149">
        <v>201</v>
      </c>
      <c r="I703" s="151">
        <v>42816</v>
      </c>
      <c r="J703" s="149" t="s">
        <v>36</v>
      </c>
      <c r="K703" s="149" t="s">
        <v>419</v>
      </c>
      <c r="L703" s="155" t="s">
        <v>2566</v>
      </c>
      <c r="M703" s="155" t="s">
        <v>2567</v>
      </c>
      <c r="N703" s="155" t="s">
        <v>2668</v>
      </c>
      <c r="O703" s="155" t="s">
        <v>2105</v>
      </c>
      <c r="P703" s="140" t="s">
        <v>2105</v>
      </c>
      <c r="Q703" s="140" t="s">
        <v>2387</v>
      </c>
      <c r="R703" s="155" t="s">
        <v>2712</v>
      </c>
      <c r="S703" s="149">
        <f t="shared" si="26"/>
        <v>6.9999999999999999E-4</v>
      </c>
      <c r="T703" s="149">
        <v>0</v>
      </c>
      <c r="U703" s="157">
        <v>6.9999999999999999E-4</v>
      </c>
      <c r="V703" s="157">
        <v>1.381</v>
      </c>
      <c r="W703" s="157">
        <f>2.242+0.676+2.883</f>
        <v>5.8010000000000002</v>
      </c>
      <c r="X703" s="149">
        <f t="shared" si="27"/>
        <v>8.0111810000000006</v>
      </c>
      <c r="Y703" s="149"/>
    </row>
    <row r="704" spans="1:25" ht="16">
      <c r="A704" s="117" t="s">
        <v>3570</v>
      </c>
      <c r="B704" s="150" t="s">
        <v>767</v>
      </c>
      <c r="C704" s="149" t="s">
        <v>1744</v>
      </c>
      <c r="D704" s="149" t="s">
        <v>3555</v>
      </c>
      <c r="E704" s="149" t="s">
        <v>593</v>
      </c>
      <c r="F704" s="149">
        <v>-26.365555560000001</v>
      </c>
      <c r="G704" s="149">
        <v>135.79</v>
      </c>
      <c r="H704" s="149">
        <v>201</v>
      </c>
      <c r="I704" s="151">
        <v>42816</v>
      </c>
      <c r="J704" s="149" t="s">
        <v>36</v>
      </c>
      <c r="K704" s="149" t="s">
        <v>419</v>
      </c>
      <c r="L704" s="155" t="s">
        <v>2566</v>
      </c>
      <c r="M704" s="155" t="s">
        <v>2567</v>
      </c>
      <c r="N704" s="155" t="s">
        <v>2668</v>
      </c>
      <c r="O704" s="140" t="s">
        <v>2600</v>
      </c>
      <c r="P704" s="149" t="s">
        <v>2735</v>
      </c>
      <c r="Q704" s="140" t="s">
        <v>2709</v>
      </c>
      <c r="R704" s="155" t="s">
        <v>2712</v>
      </c>
      <c r="S704" s="149">
        <f t="shared" si="26"/>
        <v>4.0000000000000002E-4</v>
      </c>
      <c r="T704" s="149">
        <v>0</v>
      </c>
      <c r="U704" s="157">
        <v>4.0000000000000002E-4</v>
      </c>
      <c r="V704" s="157">
        <v>1.248</v>
      </c>
      <c r="W704" s="157">
        <f>2.605+0.774+1.8781</f>
        <v>5.2571000000000003</v>
      </c>
      <c r="X704" s="149">
        <f t="shared" si="27"/>
        <v>6.5608608000000004</v>
      </c>
      <c r="Y704" s="149"/>
    </row>
    <row r="705" spans="1:25" ht="16">
      <c r="A705" s="117" t="s">
        <v>3570</v>
      </c>
      <c r="B705" s="150" t="s">
        <v>768</v>
      </c>
      <c r="C705" s="149" t="s">
        <v>1744</v>
      </c>
      <c r="D705" s="149" t="s">
        <v>3555</v>
      </c>
      <c r="E705" s="149" t="s">
        <v>593</v>
      </c>
      <c r="F705" s="149">
        <v>-26.365555560000001</v>
      </c>
      <c r="G705" s="149">
        <v>135.79</v>
      </c>
      <c r="H705" s="149">
        <v>201</v>
      </c>
      <c r="I705" s="151">
        <v>42816</v>
      </c>
      <c r="J705" s="149" t="s">
        <v>36</v>
      </c>
      <c r="K705" s="149" t="s">
        <v>419</v>
      </c>
      <c r="L705" s="155" t="s">
        <v>2566</v>
      </c>
      <c r="M705" s="155" t="s">
        <v>2567</v>
      </c>
      <c r="N705" s="155" t="s">
        <v>2668</v>
      </c>
      <c r="O705" s="140" t="s">
        <v>2600</v>
      </c>
      <c r="P705" s="149" t="s">
        <v>2735</v>
      </c>
      <c r="Q705" s="140" t="s">
        <v>2709</v>
      </c>
      <c r="R705" s="155" t="s">
        <v>2712</v>
      </c>
      <c r="S705" s="149">
        <f t="shared" si="26"/>
        <v>1E-3</v>
      </c>
      <c r="T705" s="149">
        <v>0</v>
      </c>
      <c r="U705" s="157">
        <v>1E-3</v>
      </c>
      <c r="V705" s="157">
        <v>1.5649999999999999</v>
      </c>
      <c r="W705" s="157">
        <f>2.829+1.62+1.752</f>
        <v>6.2009999999999996</v>
      </c>
      <c r="X705" s="149">
        <f t="shared" si="27"/>
        <v>9.7045649999999988</v>
      </c>
      <c r="Y705" s="149"/>
    </row>
    <row r="706" spans="1:25" ht="16">
      <c r="A706" s="117" t="s">
        <v>3570</v>
      </c>
      <c r="B706" s="150" t="s">
        <v>460</v>
      </c>
      <c r="C706" s="149" t="s">
        <v>1744</v>
      </c>
      <c r="D706" s="149" t="s">
        <v>3555</v>
      </c>
      <c r="E706" s="149" t="s">
        <v>463</v>
      </c>
      <c r="F706" s="149">
        <v>-25.754722220000001</v>
      </c>
      <c r="G706" s="149">
        <v>135.26305556</v>
      </c>
      <c r="H706" s="149">
        <v>202</v>
      </c>
      <c r="I706" s="151">
        <v>42815</v>
      </c>
      <c r="J706" s="149" t="s">
        <v>36</v>
      </c>
      <c r="K706" s="149" t="s">
        <v>419</v>
      </c>
      <c r="L706" s="140" t="s">
        <v>2569</v>
      </c>
      <c r="M706" s="140" t="s">
        <v>2570</v>
      </c>
      <c r="N706" s="140" t="s">
        <v>2571</v>
      </c>
      <c r="O706" s="140" t="s">
        <v>2369</v>
      </c>
      <c r="P706" s="140" t="s">
        <v>3556</v>
      </c>
      <c r="Q706" s="140" t="s">
        <v>2676</v>
      </c>
      <c r="R706" s="140" t="s">
        <v>2712</v>
      </c>
      <c r="S706" s="149">
        <f t="shared" si="26"/>
        <v>4.4000000000000003E-3</v>
      </c>
      <c r="T706" s="149">
        <v>0</v>
      </c>
      <c r="U706" s="157">
        <v>4.4000000000000003E-3</v>
      </c>
      <c r="V706" s="157">
        <v>2.2669999999999999</v>
      </c>
      <c r="W706" s="157">
        <v>9.5879999999999992</v>
      </c>
      <c r="X706" s="149">
        <f t="shared" si="27"/>
        <v>21.735995999999997</v>
      </c>
      <c r="Y706" s="149"/>
    </row>
    <row r="707" spans="1:25" ht="16">
      <c r="A707" s="117" t="s">
        <v>3570</v>
      </c>
      <c r="B707" s="150" t="s">
        <v>769</v>
      </c>
      <c r="C707" s="149" t="s">
        <v>1744</v>
      </c>
      <c r="D707" s="149" t="s">
        <v>3555</v>
      </c>
      <c r="E707" s="149" t="s">
        <v>593</v>
      </c>
      <c r="F707" s="149">
        <v>-26.365555560000001</v>
      </c>
      <c r="G707" s="149">
        <v>135.79</v>
      </c>
      <c r="H707" s="149">
        <v>201</v>
      </c>
      <c r="I707" s="151">
        <v>42816</v>
      </c>
      <c r="J707" s="149" t="s">
        <v>36</v>
      </c>
      <c r="K707" s="149" t="s">
        <v>419</v>
      </c>
      <c r="L707" s="155" t="s">
        <v>2566</v>
      </c>
      <c r="M707" s="155" t="s">
        <v>2567</v>
      </c>
      <c r="N707" s="155" t="s">
        <v>2668</v>
      </c>
      <c r="O707" s="155" t="s">
        <v>2105</v>
      </c>
      <c r="P707" s="140" t="s">
        <v>2105</v>
      </c>
      <c r="Q707" s="140" t="s">
        <v>2387</v>
      </c>
      <c r="R707" s="155" t="s">
        <v>2713</v>
      </c>
      <c r="S707" s="149">
        <f t="shared" si="26"/>
        <v>6.9999999999999999E-4</v>
      </c>
      <c r="T707" s="149">
        <v>0</v>
      </c>
      <c r="U707" s="157">
        <v>6.9999999999999999E-4</v>
      </c>
      <c r="V707" s="157">
        <v>1.5349999999999999</v>
      </c>
      <c r="W707" s="157">
        <f>3.027+2.007+1.003</f>
        <v>6.0370000000000008</v>
      </c>
      <c r="X707" s="149">
        <f t="shared" si="27"/>
        <v>9.2667950000000001</v>
      </c>
      <c r="Y707" s="149"/>
    </row>
    <row r="708" spans="1:25" ht="16">
      <c r="A708" s="117" t="s">
        <v>3570</v>
      </c>
      <c r="B708" s="150" t="s">
        <v>770</v>
      </c>
      <c r="C708" s="149" t="s">
        <v>1744</v>
      </c>
      <c r="D708" s="149" t="s">
        <v>3555</v>
      </c>
      <c r="E708" s="149" t="s">
        <v>593</v>
      </c>
      <c r="F708" s="149">
        <v>-26.365555560000001</v>
      </c>
      <c r="G708" s="149">
        <v>135.79</v>
      </c>
      <c r="H708" s="149">
        <v>201</v>
      </c>
      <c r="I708" s="151">
        <v>42816</v>
      </c>
      <c r="J708" s="149" t="s">
        <v>36</v>
      </c>
      <c r="K708" s="149" t="s">
        <v>419</v>
      </c>
      <c r="L708" s="140" t="s">
        <v>2572</v>
      </c>
      <c r="M708" s="140" t="s">
        <v>2407</v>
      </c>
      <c r="N708" s="140" t="s">
        <v>36</v>
      </c>
      <c r="O708" s="140" t="s">
        <v>2215</v>
      </c>
      <c r="P708" s="140" t="s">
        <v>2215</v>
      </c>
      <c r="Q708" s="140" t="s">
        <v>2702</v>
      </c>
      <c r="R708" s="140" t="s">
        <v>2712</v>
      </c>
      <c r="S708" s="149">
        <f t="shared" si="26"/>
        <v>5.9999999999999995E-4</v>
      </c>
      <c r="T708" s="149">
        <v>0</v>
      </c>
      <c r="U708" s="157">
        <v>5.9999999999999995E-4</v>
      </c>
      <c r="V708" s="157">
        <v>1.1539999999999999</v>
      </c>
      <c r="W708" s="157">
        <f>2.42+1.215+1.11</f>
        <v>4.7450000000000001</v>
      </c>
      <c r="X708" s="149">
        <f t="shared" si="27"/>
        <v>5.4757299999999995</v>
      </c>
      <c r="Y708" s="149"/>
    </row>
    <row r="709" spans="1:25" ht="16">
      <c r="A709" s="117" t="s">
        <v>3570</v>
      </c>
      <c r="B709" s="150" t="s">
        <v>771</v>
      </c>
      <c r="C709" s="149" t="s">
        <v>1744</v>
      </c>
      <c r="D709" s="149" t="s">
        <v>3555</v>
      </c>
      <c r="E709" s="149" t="s">
        <v>593</v>
      </c>
      <c r="F709" s="149">
        <v>-26.365555560000001</v>
      </c>
      <c r="G709" s="149">
        <v>135.79</v>
      </c>
      <c r="H709" s="149">
        <v>201</v>
      </c>
      <c r="I709" s="151">
        <v>42816</v>
      </c>
      <c r="J709" s="149" t="s">
        <v>36</v>
      </c>
      <c r="K709" s="149" t="s">
        <v>419</v>
      </c>
      <c r="L709" s="155" t="s">
        <v>2566</v>
      </c>
      <c r="M709" s="155" t="s">
        <v>2567</v>
      </c>
      <c r="N709" s="155" t="s">
        <v>2668</v>
      </c>
      <c r="O709" s="155" t="s">
        <v>2105</v>
      </c>
      <c r="P709" s="140" t="s">
        <v>2105</v>
      </c>
      <c r="Q709" s="140" t="s">
        <v>2387</v>
      </c>
      <c r="R709" s="155" t="s">
        <v>2712</v>
      </c>
      <c r="S709" s="149">
        <f t="shared" si="26"/>
        <v>4.0000000000000002E-4</v>
      </c>
      <c r="T709" s="149">
        <v>0</v>
      </c>
      <c r="U709" s="157">
        <v>4.0000000000000002E-4</v>
      </c>
      <c r="V709" s="157">
        <v>1.2270000000000001</v>
      </c>
      <c r="W709" s="157">
        <v>5.2969999999999997</v>
      </c>
      <c r="X709" s="149">
        <f t="shared" si="27"/>
        <v>6.4994190000000005</v>
      </c>
      <c r="Y709" s="149"/>
    </row>
    <row r="710" spans="1:25" ht="16">
      <c r="A710" s="117" t="s">
        <v>3570</v>
      </c>
      <c r="B710" s="150" t="s">
        <v>772</v>
      </c>
      <c r="C710" s="149" t="s">
        <v>1744</v>
      </c>
      <c r="D710" s="149" t="s">
        <v>3555</v>
      </c>
      <c r="E710" s="149" t="s">
        <v>593</v>
      </c>
      <c r="F710" s="149">
        <v>-26.365555560000001</v>
      </c>
      <c r="G710" s="149">
        <v>135.79</v>
      </c>
      <c r="H710" s="149">
        <v>201</v>
      </c>
      <c r="I710" s="151">
        <v>42816</v>
      </c>
      <c r="J710" s="149" t="s">
        <v>36</v>
      </c>
      <c r="K710" s="149" t="s">
        <v>419</v>
      </c>
      <c r="L710" s="155" t="s">
        <v>2566</v>
      </c>
      <c r="M710" s="155" t="s">
        <v>2567</v>
      </c>
      <c r="N710" s="155" t="s">
        <v>2668</v>
      </c>
      <c r="O710" s="140" t="s">
        <v>2600</v>
      </c>
      <c r="P710" s="149" t="s">
        <v>2735</v>
      </c>
      <c r="Q710" s="140" t="s">
        <v>2709</v>
      </c>
      <c r="R710" s="155" t="s">
        <v>2712</v>
      </c>
      <c r="S710" s="149">
        <f t="shared" si="26"/>
        <v>4.0000000000000002E-4</v>
      </c>
      <c r="T710" s="149">
        <v>0</v>
      </c>
      <c r="U710" s="157">
        <v>4.0000000000000002E-4</v>
      </c>
      <c r="V710" s="157">
        <v>1.2090000000000001</v>
      </c>
      <c r="W710" s="157">
        <v>6.0359999999999996</v>
      </c>
      <c r="X710" s="149">
        <f t="shared" si="27"/>
        <v>7.2975240000000001</v>
      </c>
      <c r="Y710" s="149"/>
    </row>
    <row r="711" spans="1:25" ht="16">
      <c r="A711" s="117" t="s">
        <v>3570</v>
      </c>
      <c r="B711" s="150" t="s">
        <v>774</v>
      </c>
      <c r="C711" s="149" t="s">
        <v>1744</v>
      </c>
      <c r="D711" s="149" t="s">
        <v>3555</v>
      </c>
      <c r="E711" s="149" t="s">
        <v>593</v>
      </c>
      <c r="F711" s="149">
        <v>-26.365555560000001</v>
      </c>
      <c r="G711" s="149">
        <v>135.79</v>
      </c>
      <c r="H711" s="149">
        <v>201</v>
      </c>
      <c r="I711" s="151">
        <v>42816</v>
      </c>
      <c r="J711" s="149" t="s">
        <v>36</v>
      </c>
      <c r="K711" s="149" t="s">
        <v>419</v>
      </c>
      <c r="L711" s="155" t="s">
        <v>2566</v>
      </c>
      <c r="M711" s="155" t="s">
        <v>2567</v>
      </c>
      <c r="N711" s="155" t="s">
        <v>2668</v>
      </c>
      <c r="O711" s="155" t="s">
        <v>2105</v>
      </c>
      <c r="P711" s="140" t="s">
        <v>2105</v>
      </c>
      <c r="Q711" s="140" t="s">
        <v>2387</v>
      </c>
      <c r="R711" s="155" t="s">
        <v>2712</v>
      </c>
      <c r="S711" s="149">
        <f t="shared" si="26"/>
        <v>4.0000000000000002E-4</v>
      </c>
      <c r="T711" s="149">
        <v>0</v>
      </c>
      <c r="U711" s="157">
        <v>4.0000000000000002E-4</v>
      </c>
      <c r="V711" s="157">
        <v>1.286</v>
      </c>
      <c r="W711" s="157">
        <v>6.1710000000000003</v>
      </c>
      <c r="X711" s="149">
        <f t="shared" si="27"/>
        <v>7.9359060000000001</v>
      </c>
      <c r="Y711" s="149"/>
    </row>
    <row r="712" spans="1:25" ht="16">
      <c r="A712" s="117" t="s">
        <v>3570</v>
      </c>
      <c r="B712" s="150" t="s">
        <v>776</v>
      </c>
      <c r="C712" s="149" t="s">
        <v>1744</v>
      </c>
      <c r="D712" s="149" t="s">
        <v>3555</v>
      </c>
      <c r="E712" s="149" t="s">
        <v>593</v>
      </c>
      <c r="F712" s="149">
        <v>-26.365555560000001</v>
      </c>
      <c r="G712" s="149">
        <v>135.79</v>
      </c>
      <c r="H712" s="149">
        <v>201</v>
      </c>
      <c r="I712" s="151">
        <v>42816</v>
      </c>
      <c r="J712" s="149" t="s">
        <v>36</v>
      </c>
      <c r="K712" s="149" t="s">
        <v>419</v>
      </c>
      <c r="L712" s="155" t="s">
        <v>2566</v>
      </c>
      <c r="M712" s="155" t="s">
        <v>2567</v>
      </c>
      <c r="N712" s="155" t="s">
        <v>2668</v>
      </c>
      <c r="O712" s="155" t="s">
        <v>2105</v>
      </c>
      <c r="P712" s="140" t="s">
        <v>2105</v>
      </c>
      <c r="Q712" s="140" t="s">
        <v>2387</v>
      </c>
      <c r="R712" s="155" t="s">
        <v>2713</v>
      </c>
      <c r="S712" s="149">
        <f t="shared" si="26"/>
        <v>8.9999999999999998E-4</v>
      </c>
      <c r="T712" s="149">
        <v>0</v>
      </c>
      <c r="U712" s="157">
        <v>8.9999999999999998E-4</v>
      </c>
      <c r="V712" s="157">
        <v>1.6439999999999999</v>
      </c>
      <c r="W712" s="157">
        <v>6.6879999999999997</v>
      </c>
      <c r="X712" s="149">
        <f t="shared" si="27"/>
        <v>10.995071999999999</v>
      </c>
      <c r="Y712" s="149"/>
    </row>
    <row r="713" spans="1:25" ht="16">
      <c r="A713" s="117" t="s">
        <v>3570</v>
      </c>
      <c r="B713" s="150" t="s">
        <v>777</v>
      </c>
      <c r="C713" s="149" t="s">
        <v>1744</v>
      </c>
      <c r="D713" s="149" t="s">
        <v>3555</v>
      </c>
      <c r="E713" s="149" t="s">
        <v>593</v>
      </c>
      <c r="F713" s="149">
        <v>-26.365555560000001</v>
      </c>
      <c r="G713" s="149">
        <v>135.79</v>
      </c>
      <c r="H713" s="149">
        <v>201</v>
      </c>
      <c r="I713" s="151">
        <v>42816</v>
      </c>
      <c r="J713" s="149" t="s">
        <v>36</v>
      </c>
      <c r="K713" s="149" t="s">
        <v>419</v>
      </c>
      <c r="L713" s="155" t="s">
        <v>2566</v>
      </c>
      <c r="M713" s="155" t="s">
        <v>2567</v>
      </c>
      <c r="N713" s="155" t="s">
        <v>2668</v>
      </c>
      <c r="O713" s="155" t="s">
        <v>2105</v>
      </c>
      <c r="P713" s="140" t="s">
        <v>2105</v>
      </c>
      <c r="Q713" s="140" t="s">
        <v>2387</v>
      </c>
      <c r="R713" s="155" t="s">
        <v>2713</v>
      </c>
      <c r="S713" s="149">
        <f t="shared" si="26"/>
        <v>5.0000000000000001E-4</v>
      </c>
      <c r="T713" s="149">
        <v>0</v>
      </c>
      <c r="U713" s="157">
        <v>5.0000000000000001E-4</v>
      </c>
      <c r="V713" s="157">
        <v>1.58</v>
      </c>
      <c r="W713" s="157">
        <f>1.62+0.964+1.036+2.779</f>
        <v>6.399</v>
      </c>
      <c r="X713" s="149">
        <f t="shared" si="27"/>
        <v>10.110420000000001</v>
      </c>
      <c r="Y713" s="149"/>
    </row>
    <row r="714" spans="1:25" ht="16">
      <c r="A714" s="117" t="s">
        <v>3570</v>
      </c>
      <c r="B714" s="150" t="s">
        <v>778</v>
      </c>
      <c r="C714" s="149" t="s">
        <v>1744</v>
      </c>
      <c r="D714" s="149" t="s">
        <v>3555</v>
      </c>
      <c r="E714" s="149" t="s">
        <v>593</v>
      </c>
      <c r="F714" s="149">
        <v>-26.365555560000001</v>
      </c>
      <c r="G714" s="149">
        <v>135.79</v>
      </c>
      <c r="H714" s="149">
        <v>201</v>
      </c>
      <c r="I714" s="151">
        <v>42816</v>
      </c>
      <c r="J714" s="149" t="s">
        <v>36</v>
      </c>
      <c r="K714" s="149" t="s">
        <v>419</v>
      </c>
      <c r="L714" s="155" t="s">
        <v>2566</v>
      </c>
      <c r="M714" s="155" t="s">
        <v>2567</v>
      </c>
      <c r="N714" s="155" t="s">
        <v>2668</v>
      </c>
      <c r="O714" s="155" t="s">
        <v>2105</v>
      </c>
      <c r="P714" s="140" t="s">
        <v>2105</v>
      </c>
      <c r="Q714" s="140" t="s">
        <v>2387</v>
      </c>
      <c r="R714" s="155" t="s">
        <v>2713</v>
      </c>
      <c r="S714" s="149">
        <f t="shared" si="26"/>
        <v>8.9999999999999998E-4</v>
      </c>
      <c r="T714" s="149">
        <v>0</v>
      </c>
      <c r="U714" s="157">
        <v>8.9999999999999998E-4</v>
      </c>
      <c r="V714" s="157">
        <v>1.6020000000000001</v>
      </c>
      <c r="W714" s="157">
        <f>3.119+3.065</f>
        <v>6.1840000000000002</v>
      </c>
      <c r="X714" s="149">
        <f t="shared" si="27"/>
        <v>9.9067680000000014</v>
      </c>
      <c r="Y714" s="149"/>
    </row>
    <row r="715" spans="1:25" ht="16">
      <c r="A715" s="117" t="s">
        <v>3570</v>
      </c>
      <c r="B715" s="150" t="s">
        <v>464</v>
      </c>
      <c r="C715" s="149" t="s">
        <v>1744</v>
      </c>
      <c r="D715" s="149" t="s">
        <v>3555</v>
      </c>
      <c r="E715" s="149" t="s">
        <v>466</v>
      </c>
      <c r="F715" s="149">
        <v>-26.423333299999999</v>
      </c>
      <c r="G715" s="149">
        <v>135.51333299999999</v>
      </c>
      <c r="H715" s="149">
        <v>201</v>
      </c>
      <c r="I715" s="151">
        <v>42816</v>
      </c>
      <c r="J715" s="149" t="s">
        <v>36</v>
      </c>
      <c r="K715" s="149" t="s">
        <v>419</v>
      </c>
      <c r="L715" s="149" t="s">
        <v>1687</v>
      </c>
      <c r="M715" s="149" t="s">
        <v>2563</v>
      </c>
      <c r="N715" s="149" t="s">
        <v>2568</v>
      </c>
      <c r="O715" s="149" t="s">
        <v>2734</v>
      </c>
      <c r="P715" s="149" t="s">
        <v>2782</v>
      </c>
      <c r="Q715" s="149" t="s">
        <v>2392</v>
      </c>
      <c r="R715" s="149" t="s">
        <v>2712</v>
      </c>
      <c r="S715" s="149">
        <f t="shared" si="26"/>
        <v>5.6599999999999998E-2</v>
      </c>
      <c r="T715" s="140">
        <v>3.8671999999999998E-2</v>
      </c>
      <c r="U715" s="157">
        <v>1.7927999999999999E-2</v>
      </c>
      <c r="V715" s="157">
        <v>4.3289999999999997</v>
      </c>
      <c r="W715" s="157">
        <v>19.385999999999999</v>
      </c>
      <c r="X715" s="149">
        <f t="shared" si="27"/>
        <v>83.921993999999998</v>
      </c>
      <c r="Y715" s="149"/>
    </row>
    <row r="716" spans="1:25" ht="16">
      <c r="A716" s="117" t="s">
        <v>3570</v>
      </c>
      <c r="B716" s="150" t="s">
        <v>779</v>
      </c>
      <c r="C716" s="149" t="s">
        <v>1744</v>
      </c>
      <c r="D716" s="149" t="s">
        <v>3555</v>
      </c>
      <c r="E716" s="149" t="s">
        <v>593</v>
      </c>
      <c r="F716" s="149">
        <v>-26.365555560000001</v>
      </c>
      <c r="G716" s="149">
        <v>135.79</v>
      </c>
      <c r="H716" s="149">
        <v>201</v>
      </c>
      <c r="I716" s="151">
        <v>42816</v>
      </c>
      <c r="J716" s="149" t="s">
        <v>36</v>
      </c>
      <c r="K716" s="149" t="s">
        <v>419</v>
      </c>
      <c r="L716" s="155" t="s">
        <v>2566</v>
      </c>
      <c r="M716" s="155" t="s">
        <v>2567</v>
      </c>
      <c r="N716" s="155" t="s">
        <v>2668</v>
      </c>
      <c r="O716" s="155" t="s">
        <v>2105</v>
      </c>
      <c r="P716" s="140" t="s">
        <v>2105</v>
      </c>
      <c r="Q716" s="140" t="s">
        <v>2387</v>
      </c>
      <c r="R716" s="155" t="s">
        <v>2712</v>
      </c>
      <c r="S716" s="149">
        <f t="shared" si="26"/>
        <v>5.0000000000000001E-4</v>
      </c>
      <c r="T716" s="149">
        <v>0</v>
      </c>
      <c r="U716" s="157">
        <v>5.0000000000000001E-4</v>
      </c>
      <c r="V716" s="157">
        <v>1.357</v>
      </c>
      <c r="W716" s="157">
        <f>2.574+2.556</f>
        <v>5.13</v>
      </c>
      <c r="X716" s="149">
        <f t="shared" si="27"/>
        <v>6.9614099999999999</v>
      </c>
      <c r="Y716" s="149"/>
    </row>
    <row r="717" spans="1:25" ht="16">
      <c r="A717" s="117" t="s">
        <v>3570</v>
      </c>
      <c r="B717" s="150" t="s">
        <v>780</v>
      </c>
      <c r="C717" s="149" t="s">
        <v>1744</v>
      </c>
      <c r="D717" s="149" t="s">
        <v>3555</v>
      </c>
      <c r="E717" s="149" t="s">
        <v>593</v>
      </c>
      <c r="F717" s="149">
        <v>-26.365555560000001</v>
      </c>
      <c r="G717" s="149">
        <v>135.79</v>
      </c>
      <c r="H717" s="149">
        <v>201</v>
      </c>
      <c r="I717" s="151">
        <v>42816</v>
      </c>
      <c r="J717" s="149" t="s">
        <v>36</v>
      </c>
      <c r="K717" s="149" t="s">
        <v>419</v>
      </c>
      <c r="L717" s="155" t="s">
        <v>2566</v>
      </c>
      <c r="M717" s="155" t="s">
        <v>2567</v>
      </c>
      <c r="N717" s="155" t="s">
        <v>2668</v>
      </c>
      <c r="O717" s="155" t="s">
        <v>2105</v>
      </c>
      <c r="P717" s="140" t="s">
        <v>2105</v>
      </c>
      <c r="Q717" s="140" t="s">
        <v>2387</v>
      </c>
      <c r="R717" s="155" t="s">
        <v>2713</v>
      </c>
      <c r="S717" s="149">
        <f t="shared" si="26"/>
        <v>8.0000000000000004E-4</v>
      </c>
      <c r="T717" s="149">
        <v>0</v>
      </c>
      <c r="U717" s="157">
        <v>8.0000000000000004E-4</v>
      </c>
      <c r="V717" s="157">
        <v>1.6879999999999999</v>
      </c>
      <c r="W717" s="157">
        <f>2.975+1.18+2.427</f>
        <v>6.5820000000000007</v>
      </c>
      <c r="X717" s="149">
        <f t="shared" si="27"/>
        <v>11.110416000000001</v>
      </c>
      <c r="Y717" s="149"/>
    </row>
    <row r="718" spans="1:25" ht="16">
      <c r="A718" s="117" t="s">
        <v>3570</v>
      </c>
      <c r="B718" s="150" t="s">
        <v>781</v>
      </c>
      <c r="C718" s="149" t="s">
        <v>1744</v>
      </c>
      <c r="D718" s="149" t="s">
        <v>3555</v>
      </c>
      <c r="E718" s="149" t="s">
        <v>593</v>
      </c>
      <c r="F718" s="149">
        <v>-26.365555560000001</v>
      </c>
      <c r="G718" s="149">
        <v>135.79</v>
      </c>
      <c r="H718" s="149">
        <v>201</v>
      </c>
      <c r="I718" s="151">
        <v>42816</v>
      </c>
      <c r="J718" s="149" t="s">
        <v>36</v>
      </c>
      <c r="K718" s="149" t="s">
        <v>419</v>
      </c>
      <c r="L718" s="155" t="s">
        <v>2566</v>
      </c>
      <c r="M718" s="155" t="s">
        <v>2567</v>
      </c>
      <c r="N718" s="155" t="s">
        <v>2668</v>
      </c>
      <c r="O718" s="140" t="s">
        <v>2600</v>
      </c>
      <c r="P718" s="149" t="s">
        <v>2735</v>
      </c>
      <c r="Q718" s="140" t="s">
        <v>2709</v>
      </c>
      <c r="R718" s="155" t="s">
        <v>2712</v>
      </c>
      <c r="S718" s="149">
        <f t="shared" si="26"/>
        <v>5.0000000000000001E-4</v>
      </c>
      <c r="T718" s="149">
        <v>0</v>
      </c>
      <c r="U718" s="157">
        <v>5.0000000000000001E-4</v>
      </c>
      <c r="V718" s="157">
        <v>1.3180000000000001</v>
      </c>
      <c r="W718" s="157">
        <f>2.549+1.506+1.092</f>
        <v>5.1470000000000002</v>
      </c>
      <c r="X718" s="149">
        <f t="shared" si="27"/>
        <v>6.7837460000000007</v>
      </c>
      <c r="Y718" s="149"/>
    </row>
    <row r="719" spans="1:25" ht="16">
      <c r="A719" s="117" t="s">
        <v>3570</v>
      </c>
      <c r="B719" s="150" t="s">
        <v>782</v>
      </c>
      <c r="C719" s="149" t="s">
        <v>1744</v>
      </c>
      <c r="D719" s="149" t="s">
        <v>3555</v>
      </c>
      <c r="E719" s="149" t="s">
        <v>593</v>
      </c>
      <c r="F719" s="149">
        <v>-26.365555560000001</v>
      </c>
      <c r="G719" s="149">
        <v>135.79</v>
      </c>
      <c r="H719" s="149">
        <v>201</v>
      </c>
      <c r="I719" s="151">
        <v>42816</v>
      </c>
      <c r="J719" s="149" t="s">
        <v>36</v>
      </c>
      <c r="K719" s="149" t="s">
        <v>419</v>
      </c>
      <c r="L719" s="155" t="s">
        <v>2566</v>
      </c>
      <c r="M719" s="155" t="s">
        <v>2567</v>
      </c>
      <c r="N719" s="155" t="s">
        <v>2668</v>
      </c>
      <c r="O719" s="155" t="s">
        <v>2105</v>
      </c>
      <c r="P719" s="140" t="s">
        <v>2105</v>
      </c>
      <c r="Q719" s="140" t="s">
        <v>2387</v>
      </c>
      <c r="R719" s="155" t="s">
        <v>2712</v>
      </c>
      <c r="S719" s="149">
        <f t="shared" si="26"/>
        <v>4.0000000000000002E-4</v>
      </c>
      <c r="T719" s="149">
        <v>0</v>
      </c>
      <c r="U719" s="157">
        <v>4.0000000000000002E-4</v>
      </c>
      <c r="V719" s="157">
        <v>1.173</v>
      </c>
      <c r="W719" s="157">
        <f>2.505+0.486+2.003</f>
        <v>4.9939999999999998</v>
      </c>
      <c r="X719" s="149">
        <f t="shared" si="27"/>
        <v>5.8579619999999997</v>
      </c>
      <c r="Y719" s="149"/>
    </row>
    <row r="720" spans="1:25" ht="16">
      <c r="A720" s="117" t="s">
        <v>3570</v>
      </c>
      <c r="B720" s="150" t="s">
        <v>783</v>
      </c>
      <c r="C720" s="149" t="s">
        <v>1744</v>
      </c>
      <c r="D720" s="149" t="s">
        <v>3555</v>
      </c>
      <c r="E720" s="149" t="s">
        <v>593</v>
      </c>
      <c r="F720" s="149">
        <v>-26.365555560000001</v>
      </c>
      <c r="G720" s="149">
        <v>135.79</v>
      </c>
      <c r="H720" s="149">
        <v>201</v>
      </c>
      <c r="I720" s="151">
        <v>42816</v>
      </c>
      <c r="J720" s="149" t="s">
        <v>36</v>
      </c>
      <c r="K720" s="149" t="s">
        <v>419</v>
      </c>
      <c r="L720" s="155" t="s">
        <v>2566</v>
      </c>
      <c r="M720" s="155" t="s">
        <v>2567</v>
      </c>
      <c r="N720" s="155" t="s">
        <v>2668</v>
      </c>
      <c r="O720" s="155" t="s">
        <v>2105</v>
      </c>
      <c r="P720" s="140" t="s">
        <v>2105</v>
      </c>
      <c r="Q720" s="140" t="s">
        <v>2387</v>
      </c>
      <c r="R720" s="155" t="s">
        <v>2713</v>
      </c>
      <c r="S720" s="149">
        <f t="shared" si="26"/>
        <v>6.9999999999999999E-4</v>
      </c>
      <c r="T720" s="149">
        <v>0</v>
      </c>
      <c r="U720" s="157">
        <v>6.9999999999999999E-4</v>
      </c>
      <c r="V720" s="157">
        <v>1.456</v>
      </c>
      <c r="W720" s="157">
        <f>1.358+1.974+2.662</f>
        <v>5.9939999999999998</v>
      </c>
      <c r="X720" s="149">
        <f t="shared" si="27"/>
        <v>8.7272639999999999</v>
      </c>
      <c r="Y720" s="149"/>
    </row>
    <row r="721" spans="1:25" ht="16">
      <c r="A721" s="117" t="s">
        <v>3570</v>
      </c>
      <c r="B721" s="150" t="s">
        <v>784</v>
      </c>
      <c r="C721" s="149" t="s">
        <v>1744</v>
      </c>
      <c r="D721" s="149" t="s">
        <v>3555</v>
      </c>
      <c r="E721" s="149" t="s">
        <v>593</v>
      </c>
      <c r="F721" s="149">
        <v>-26.365555560000001</v>
      </c>
      <c r="G721" s="149">
        <v>135.79</v>
      </c>
      <c r="H721" s="149">
        <v>201</v>
      </c>
      <c r="I721" s="151">
        <v>42816</v>
      </c>
      <c r="J721" s="149" t="s">
        <v>36</v>
      </c>
      <c r="K721" s="149" t="s">
        <v>419</v>
      </c>
      <c r="L721" s="155" t="s">
        <v>2566</v>
      </c>
      <c r="M721" s="155" t="s">
        <v>2567</v>
      </c>
      <c r="N721" s="155" t="s">
        <v>2668</v>
      </c>
      <c r="O721" s="155" t="s">
        <v>2105</v>
      </c>
      <c r="P721" s="140" t="s">
        <v>2105</v>
      </c>
      <c r="Q721" s="140" t="s">
        <v>2387</v>
      </c>
      <c r="R721" s="155" t="s">
        <v>2713</v>
      </c>
      <c r="S721" s="149">
        <f t="shared" si="26"/>
        <v>8.9999999999999998E-4</v>
      </c>
      <c r="T721" s="149">
        <v>0</v>
      </c>
      <c r="U721" s="157">
        <v>8.9999999999999998E-4</v>
      </c>
      <c r="V721" s="157">
        <v>1.5229999999999999</v>
      </c>
      <c r="W721" s="157">
        <v>5.8129999999999997</v>
      </c>
      <c r="X721" s="149">
        <f t="shared" si="27"/>
        <v>8.8531989999999983</v>
      </c>
      <c r="Y721" s="149"/>
    </row>
    <row r="722" spans="1:25" ht="16">
      <c r="A722" s="117" t="s">
        <v>3570</v>
      </c>
      <c r="B722" s="150" t="s">
        <v>785</v>
      </c>
      <c r="C722" s="149" t="s">
        <v>1744</v>
      </c>
      <c r="D722" s="149" t="s">
        <v>3555</v>
      </c>
      <c r="E722" s="149" t="s">
        <v>593</v>
      </c>
      <c r="F722" s="149">
        <v>-26.365555560000001</v>
      </c>
      <c r="G722" s="149">
        <v>135.79</v>
      </c>
      <c r="H722" s="149">
        <v>201</v>
      </c>
      <c r="I722" s="151">
        <v>42816</v>
      </c>
      <c r="J722" s="149" t="s">
        <v>36</v>
      </c>
      <c r="K722" s="149" t="s">
        <v>419</v>
      </c>
      <c r="L722" s="155" t="s">
        <v>2566</v>
      </c>
      <c r="M722" s="155" t="s">
        <v>2567</v>
      </c>
      <c r="N722" s="155" t="s">
        <v>2668</v>
      </c>
      <c r="O722" s="155" t="s">
        <v>2105</v>
      </c>
      <c r="P722" s="140" t="s">
        <v>2105</v>
      </c>
      <c r="Q722" s="140" t="s">
        <v>2387</v>
      </c>
      <c r="R722" s="155" t="s">
        <v>2713</v>
      </c>
      <c r="S722" s="149">
        <f t="shared" si="26"/>
        <v>1E-3</v>
      </c>
      <c r="T722" s="149">
        <v>0</v>
      </c>
      <c r="U722" s="157">
        <v>1E-3</v>
      </c>
      <c r="V722" s="157">
        <v>1.484</v>
      </c>
      <c r="W722" s="157">
        <v>5.9550000000000001</v>
      </c>
      <c r="X722" s="149">
        <f t="shared" si="27"/>
        <v>8.8372200000000003</v>
      </c>
      <c r="Y722" s="149"/>
    </row>
    <row r="723" spans="1:25" ht="16">
      <c r="A723" s="117" t="s">
        <v>3570</v>
      </c>
      <c r="B723" s="150" t="s">
        <v>786</v>
      </c>
      <c r="C723" s="149" t="s">
        <v>1744</v>
      </c>
      <c r="D723" s="149" t="s">
        <v>3555</v>
      </c>
      <c r="E723" s="149" t="s">
        <v>593</v>
      </c>
      <c r="F723" s="149">
        <v>-26.365555560000001</v>
      </c>
      <c r="G723" s="149">
        <v>135.79</v>
      </c>
      <c r="H723" s="149">
        <v>201</v>
      </c>
      <c r="I723" s="151">
        <v>42816</v>
      </c>
      <c r="J723" s="149" t="s">
        <v>36</v>
      </c>
      <c r="K723" s="149" t="s">
        <v>419</v>
      </c>
      <c r="L723" s="155" t="s">
        <v>2566</v>
      </c>
      <c r="M723" s="155" t="s">
        <v>2567</v>
      </c>
      <c r="N723" s="155" t="s">
        <v>2668</v>
      </c>
      <c r="O723" s="155" t="s">
        <v>2105</v>
      </c>
      <c r="P723" s="140" t="s">
        <v>2105</v>
      </c>
      <c r="Q723" s="140" t="s">
        <v>2387</v>
      </c>
      <c r="R723" s="155" t="s">
        <v>2713</v>
      </c>
      <c r="S723" s="149">
        <f t="shared" si="26"/>
        <v>5.0000000000000001E-4</v>
      </c>
      <c r="T723" s="149">
        <v>0</v>
      </c>
      <c r="U723" s="157">
        <v>5.0000000000000001E-4</v>
      </c>
      <c r="V723" s="157">
        <v>1.4410000000000001</v>
      </c>
      <c r="W723" s="157">
        <v>6.6849999999999996</v>
      </c>
      <c r="X723" s="149">
        <f t="shared" si="27"/>
        <v>9.6330849999999995</v>
      </c>
      <c r="Y723" s="149"/>
    </row>
    <row r="724" spans="1:25" ht="16">
      <c r="A724" s="117" t="s">
        <v>3570</v>
      </c>
      <c r="B724" s="150" t="s">
        <v>787</v>
      </c>
      <c r="C724" s="149" t="s">
        <v>1744</v>
      </c>
      <c r="D724" s="149" t="s">
        <v>3555</v>
      </c>
      <c r="E724" s="149" t="s">
        <v>593</v>
      </c>
      <c r="F724" s="149">
        <v>-26.365555560000001</v>
      </c>
      <c r="G724" s="149">
        <v>135.79</v>
      </c>
      <c r="H724" s="149">
        <v>201</v>
      </c>
      <c r="I724" s="151">
        <v>42816</v>
      </c>
      <c r="J724" s="149" t="s">
        <v>36</v>
      </c>
      <c r="K724" s="149" t="s">
        <v>419</v>
      </c>
      <c r="L724" s="155" t="s">
        <v>2566</v>
      </c>
      <c r="M724" s="155" t="s">
        <v>2567</v>
      </c>
      <c r="N724" s="155" t="s">
        <v>2668</v>
      </c>
      <c r="O724" s="155" t="s">
        <v>2105</v>
      </c>
      <c r="P724" s="140" t="s">
        <v>2105</v>
      </c>
      <c r="Q724" s="140" t="s">
        <v>2387</v>
      </c>
      <c r="R724" s="155" t="s">
        <v>2713</v>
      </c>
      <c r="S724" s="149">
        <f t="shared" si="26"/>
        <v>8.0000000000000004E-4</v>
      </c>
      <c r="T724" s="149">
        <v>0</v>
      </c>
      <c r="U724" s="157">
        <v>8.0000000000000004E-4</v>
      </c>
      <c r="V724" s="157">
        <v>1.5289999999999999</v>
      </c>
      <c r="W724" s="157">
        <v>6.2519999999999998</v>
      </c>
      <c r="X724" s="149">
        <f t="shared" si="27"/>
        <v>9.5593079999999997</v>
      </c>
      <c r="Y724" s="149"/>
    </row>
    <row r="725" spans="1:25" ht="16">
      <c r="A725" s="117" t="s">
        <v>3570</v>
      </c>
      <c r="B725" s="150" t="s">
        <v>467</v>
      </c>
      <c r="C725" s="149" t="s">
        <v>1744</v>
      </c>
      <c r="D725" s="149" t="s">
        <v>3555</v>
      </c>
      <c r="E725" s="149" t="s">
        <v>463</v>
      </c>
      <c r="F725" s="149">
        <v>-25.754722220000001</v>
      </c>
      <c r="G725" s="149">
        <v>135.26305556</v>
      </c>
      <c r="H725" s="149">
        <v>202</v>
      </c>
      <c r="I725" s="151">
        <v>42815</v>
      </c>
      <c r="J725" s="149" t="s">
        <v>36</v>
      </c>
      <c r="K725" s="149" t="s">
        <v>419</v>
      </c>
      <c r="L725" s="149" t="s">
        <v>1687</v>
      </c>
      <c r="M725" s="149" t="s">
        <v>2563</v>
      </c>
      <c r="N725" s="149" t="s">
        <v>2568</v>
      </c>
      <c r="O725" s="149" t="s">
        <v>2734</v>
      </c>
      <c r="P725" s="149" t="s">
        <v>2782</v>
      </c>
      <c r="Q725" s="149" t="s">
        <v>2392</v>
      </c>
      <c r="R725" s="149" t="s">
        <v>2712</v>
      </c>
      <c r="S725" s="149">
        <f t="shared" si="26"/>
        <v>7.2400000000000006E-2</v>
      </c>
      <c r="T725" s="140">
        <v>3.8671999999999998E-2</v>
      </c>
      <c r="U725" s="157">
        <v>3.3728000000000008E-2</v>
      </c>
      <c r="V725" s="157">
        <v>4.4130000000000003</v>
      </c>
      <c r="W725" s="157">
        <v>19.138999999999999</v>
      </c>
      <c r="X725" s="149">
        <f t="shared" si="27"/>
        <v>84.460407000000004</v>
      </c>
      <c r="Y725" s="149"/>
    </row>
    <row r="726" spans="1:25" ht="16">
      <c r="A726" s="117" t="s">
        <v>3570</v>
      </c>
      <c r="B726" s="150" t="s">
        <v>789</v>
      </c>
      <c r="C726" s="149" t="s">
        <v>1744</v>
      </c>
      <c r="D726" s="149" t="s">
        <v>3555</v>
      </c>
      <c r="E726" s="149" t="s">
        <v>593</v>
      </c>
      <c r="F726" s="149">
        <v>-26.365555560000001</v>
      </c>
      <c r="G726" s="149">
        <v>135.79</v>
      </c>
      <c r="H726" s="149">
        <v>201</v>
      </c>
      <c r="I726" s="151">
        <v>42816</v>
      </c>
      <c r="J726" s="149" t="s">
        <v>36</v>
      </c>
      <c r="K726" s="149" t="s">
        <v>419</v>
      </c>
      <c r="L726" s="155" t="s">
        <v>2566</v>
      </c>
      <c r="M726" s="155" t="s">
        <v>2567</v>
      </c>
      <c r="N726" s="155" t="s">
        <v>2668</v>
      </c>
      <c r="O726" s="155" t="s">
        <v>2105</v>
      </c>
      <c r="P726" s="140" t="s">
        <v>2105</v>
      </c>
      <c r="Q726" s="140" t="s">
        <v>2387</v>
      </c>
      <c r="R726" s="155" t="s">
        <v>2712</v>
      </c>
      <c r="S726" s="149">
        <f t="shared" ref="S726:S789" si="28">T726+U726</f>
        <v>6.9999999999999999E-4</v>
      </c>
      <c r="T726" s="149">
        <v>0</v>
      </c>
      <c r="U726" s="157">
        <v>6.9999999999999999E-4</v>
      </c>
      <c r="V726" s="157">
        <v>1.2989999999999999</v>
      </c>
      <c r="W726" s="157">
        <v>5.5949999999999998</v>
      </c>
      <c r="X726" s="149">
        <f t="shared" si="27"/>
        <v>7.2679049999999989</v>
      </c>
      <c r="Y726" s="149"/>
    </row>
    <row r="727" spans="1:25" ht="16">
      <c r="A727" s="117" t="s">
        <v>3570</v>
      </c>
      <c r="B727" s="150" t="s">
        <v>790</v>
      </c>
      <c r="C727" s="149" t="s">
        <v>1744</v>
      </c>
      <c r="D727" s="149" t="s">
        <v>3555</v>
      </c>
      <c r="E727" s="149" t="s">
        <v>593</v>
      </c>
      <c r="F727" s="149">
        <v>-26.365555560000001</v>
      </c>
      <c r="G727" s="149">
        <v>135.79</v>
      </c>
      <c r="H727" s="149">
        <v>201</v>
      </c>
      <c r="I727" s="151">
        <v>42816</v>
      </c>
      <c r="J727" s="149" t="s">
        <v>36</v>
      </c>
      <c r="K727" s="149" t="s">
        <v>419</v>
      </c>
      <c r="L727" s="155" t="s">
        <v>2566</v>
      </c>
      <c r="M727" s="155" t="s">
        <v>2567</v>
      </c>
      <c r="N727" s="155" t="s">
        <v>2668</v>
      </c>
      <c r="O727" s="155" t="s">
        <v>2105</v>
      </c>
      <c r="P727" s="140" t="s">
        <v>2105</v>
      </c>
      <c r="Q727" s="140" t="s">
        <v>2387</v>
      </c>
      <c r="R727" s="155" t="s">
        <v>2712</v>
      </c>
      <c r="S727" s="149">
        <f t="shared" si="28"/>
        <v>2.9999999999999997E-4</v>
      </c>
      <c r="T727" s="149">
        <v>0</v>
      </c>
      <c r="U727" s="157">
        <v>2.9999999999999997E-4</v>
      </c>
      <c r="V727" s="157">
        <v>1.323</v>
      </c>
      <c r="W727" s="157">
        <v>5.4489999999999998</v>
      </c>
      <c r="X727" s="149">
        <f t="shared" si="27"/>
        <v>7.2090269999999999</v>
      </c>
      <c r="Y727" s="149"/>
    </row>
    <row r="728" spans="1:25" ht="16">
      <c r="A728" s="117" t="s">
        <v>3570</v>
      </c>
      <c r="B728" s="150" t="s">
        <v>791</v>
      </c>
      <c r="C728" s="149" t="s">
        <v>1744</v>
      </c>
      <c r="D728" s="149" t="s">
        <v>3555</v>
      </c>
      <c r="E728" s="149" t="s">
        <v>593</v>
      </c>
      <c r="F728" s="149">
        <v>-26.365555560000001</v>
      </c>
      <c r="G728" s="149">
        <v>135.79</v>
      </c>
      <c r="H728" s="149">
        <v>201</v>
      </c>
      <c r="I728" s="151">
        <v>42816</v>
      </c>
      <c r="J728" s="149" t="s">
        <v>36</v>
      </c>
      <c r="K728" s="149" t="s">
        <v>419</v>
      </c>
      <c r="L728" s="155" t="s">
        <v>2566</v>
      </c>
      <c r="M728" s="155" t="s">
        <v>2567</v>
      </c>
      <c r="N728" s="155" t="s">
        <v>2668</v>
      </c>
      <c r="O728" s="155" t="s">
        <v>2105</v>
      </c>
      <c r="P728" s="140" t="s">
        <v>2105</v>
      </c>
      <c r="Q728" s="140" t="s">
        <v>2387</v>
      </c>
      <c r="R728" s="155" t="s">
        <v>2713</v>
      </c>
      <c r="S728" s="149">
        <f t="shared" si="28"/>
        <v>5.9999999999999995E-4</v>
      </c>
      <c r="T728" s="149">
        <v>0</v>
      </c>
      <c r="U728" s="157">
        <v>5.9999999999999995E-4</v>
      </c>
      <c r="V728" s="157">
        <v>1.4330000000000001</v>
      </c>
      <c r="W728" s="157">
        <v>5.726</v>
      </c>
      <c r="X728" s="149">
        <f t="shared" si="27"/>
        <v>8.2053580000000004</v>
      </c>
      <c r="Y728" s="149"/>
    </row>
    <row r="729" spans="1:25" ht="16">
      <c r="A729" s="117" t="s">
        <v>3570</v>
      </c>
      <c r="B729" s="150" t="s">
        <v>792</v>
      </c>
      <c r="C729" s="149" t="s">
        <v>1744</v>
      </c>
      <c r="D729" s="149" t="s">
        <v>3555</v>
      </c>
      <c r="E729" s="149" t="s">
        <v>593</v>
      </c>
      <c r="F729" s="149">
        <v>-26.365555560000001</v>
      </c>
      <c r="G729" s="149">
        <v>135.79</v>
      </c>
      <c r="H729" s="149">
        <v>201</v>
      </c>
      <c r="I729" s="151">
        <v>42816</v>
      </c>
      <c r="J729" s="149" t="s">
        <v>36</v>
      </c>
      <c r="K729" s="149" t="s">
        <v>419</v>
      </c>
      <c r="L729" s="140" t="s">
        <v>2566</v>
      </c>
      <c r="M729" s="140" t="s">
        <v>2567</v>
      </c>
      <c r="N729" s="140" t="s">
        <v>2668</v>
      </c>
      <c r="O729" s="140" t="s">
        <v>2105</v>
      </c>
      <c r="P729" s="140" t="s">
        <v>2105</v>
      </c>
      <c r="Q729" s="140" t="s">
        <v>2387</v>
      </c>
      <c r="R729" s="140" t="s">
        <v>2712</v>
      </c>
      <c r="S729" s="149">
        <f t="shared" si="28"/>
        <v>5.0000000000000001E-4</v>
      </c>
      <c r="T729" s="149">
        <v>0</v>
      </c>
      <c r="U729" s="157">
        <v>5.0000000000000001E-4</v>
      </c>
      <c r="V729" s="157">
        <v>1.194</v>
      </c>
      <c r="W729" s="157">
        <v>4.5979999999999999</v>
      </c>
      <c r="X729" s="149">
        <f t="shared" si="27"/>
        <v>5.4900119999999992</v>
      </c>
      <c r="Y729" s="149"/>
    </row>
    <row r="730" spans="1:25" ht="16">
      <c r="A730" s="117" t="s">
        <v>3570</v>
      </c>
      <c r="B730" s="150" t="s">
        <v>793</v>
      </c>
      <c r="C730" s="149" t="s">
        <v>1744</v>
      </c>
      <c r="D730" s="149" t="s">
        <v>3555</v>
      </c>
      <c r="E730" s="149" t="s">
        <v>593</v>
      </c>
      <c r="F730" s="149">
        <v>-26.365555560000001</v>
      </c>
      <c r="G730" s="149">
        <v>135.79</v>
      </c>
      <c r="H730" s="149">
        <v>201</v>
      </c>
      <c r="I730" s="151">
        <v>42816</v>
      </c>
      <c r="J730" s="149" t="s">
        <v>36</v>
      </c>
      <c r="K730" s="149" t="s">
        <v>419</v>
      </c>
      <c r="L730" s="155" t="s">
        <v>2566</v>
      </c>
      <c r="M730" s="155" t="s">
        <v>2567</v>
      </c>
      <c r="N730" s="155" t="s">
        <v>2668</v>
      </c>
      <c r="O730" s="155" t="s">
        <v>2105</v>
      </c>
      <c r="P730" s="140" t="s">
        <v>2105</v>
      </c>
      <c r="Q730" s="140" t="s">
        <v>2387</v>
      </c>
      <c r="R730" s="155" t="s">
        <v>2713</v>
      </c>
      <c r="S730" s="149">
        <f t="shared" si="28"/>
        <v>5.0000000000000001E-4</v>
      </c>
      <c r="T730" s="149">
        <v>0</v>
      </c>
      <c r="U730" s="157">
        <v>5.0000000000000001E-4</v>
      </c>
      <c r="V730" s="157">
        <v>1.4650000000000001</v>
      </c>
      <c r="W730" s="157">
        <v>6.6929999999999996</v>
      </c>
      <c r="X730" s="149">
        <f t="shared" si="27"/>
        <v>9.8052449999999993</v>
      </c>
      <c r="Y730" s="149"/>
    </row>
    <row r="731" spans="1:25" ht="16">
      <c r="A731" s="117" t="s">
        <v>3570</v>
      </c>
      <c r="B731" s="150" t="s">
        <v>794</v>
      </c>
      <c r="C731" s="149" t="s">
        <v>1744</v>
      </c>
      <c r="D731" s="149" t="s">
        <v>3555</v>
      </c>
      <c r="E731" s="149" t="s">
        <v>593</v>
      </c>
      <c r="F731" s="149">
        <v>-26.365555560000001</v>
      </c>
      <c r="G731" s="149">
        <v>135.79</v>
      </c>
      <c r="H731" s="149">
        <v>201</v>
      </c>
      <c r="I731" s="151">
        <v>42816</v>
      </c>
      <c r="J731" s="149" t="s">
        <v>36</v>
      </c>
      <c r="K731" s="149" t="s">
        <v>419</v>
      </c>
      <c r="L731" s="155" t="s">
        <v>2566</v>
      </c>
      <c r="M731" s="155" t="s">
        <v>2567</v>
      </c>
      <c r="N731" s="155" t="s">
        <v>2668</v>
      </c>
      <c r="O731" s="140" t="s">
        <v>2600</v>
      </c>
      <c r="P731" s="149" t="s">
        <v>2735</v>
      </c>
      <c r="Q731" s="140" t="s">
        <v>2709</v>
      </c>
      <c r="R731" s="155" t="s">
        <v>2712</v>
      </c>
      <c r="S731" s="149">
        <f t="shared" si="28"/>
        <v>4.0000000000000002E-4</v>
      </c>
      <c r="T731" s="149">
        <v>0</v>
      </c>
      <c r="U731" s="157">
        <v>4.0000000000000002E-4</v>
      </c>
      <c r="V731" s="157">
        <v>1.3680000000000001</v>
      </c>
      <c r="W731" s="157">
        <v>5.5949999999999998</v>
      </c>
      <c r="X731" s="149">
        <f t="shared" si="27"/>
        <v>7.6539600000000005</v>
      </c>
      <c r="Y731" s="149"/>
    </row>
    <row r="732" spans="1:25" ht="16">
      <c r="A732" s="117" t="s">
        <v>3570</v>
      </c>
      <c r="B732" s="150" t="s">
        <v>795</v>
      </c>
      <c r="C732" s="149" t="s">
        <v>1744</v>
      </c>
      <c r="D732" s="149" t="s">
        <v>3555</v>
      </c>
      <c r="E732" s="149" t="s">
        <v>593</v>
      </c>
      <c r="F732" s="149">
        <v>-26.365555560000001</v>
      </c>
      <c r="G732" s="149">
        <v>135.79</v>
      </c>
      <c r="H732" s="149">
        <v>201</v>
      </c>
      <c r="I732" s="151">
        <v>42816</v>
      </c>
      <c r="J732" s="149" t="s">
        <v>36</v>
      </c>
      <c r="K732" s="149" t="s">
        <v>419</v>
      </c>
      <c r="L732" s="155" t="s">
        <v>2566</v>
      </c>
      <c r="M732" s="155" t="s">
        <v>2567</v>
      </c>
      <c r="N732" s="155" t="s">
        <v>2668</v>
      </c>
      <c r="O732" s="155" t="s">
        <v>2105</v>
      </c>
      <c r="P732" s="140" t="s">
        <v>2105</v>
      </c>
      <c r="Q732" s="140" t="s">
        <v>2387</v>
      </c>
      <c r="R732" s="155" t="s">
        <v>2713</v>
      </c>
      <c r="S732" s="149">
        <f t="shared" si="28"/>
        <v>8.9999999999999998E-4</v>
      </c>
      <c r="T732" s="149">
        <v>0</v>
      </c>
      <c r="U732" s="157">
        <v>8.9999999999999998E-4</v>
      </c>
      <c r="V732" s="157">
        <v>1.4990000000000001</v>
      </c>
      <c r="W732" s="157">
        <v>5.8860000000000001</v>
      </c>
      <c r="X732" s="149">
        <f t="shared" si="27"/>
        <v>8.8231140000000003</v>
      </c>
      <c r="Y732" s="149"/>
    </row>
    <row r="733" spans="1:25" ht="16">
      <c r="A733" s="117" t="s">
        <v>3570</v>
      </c>
      <c r="B733" s="150" t="s">
        <v>796</v>
      </c>
      <c r="C733" s="149" t="s">
        <v>1744</v>
      </c>
      <c r="D733" s="149" t="s">
        <v>3555</v>
      </c>
      <c r="E733" s="149" t="s">
        <v>593</v>
      </c>
      <c r="F733" s="149">
        <v>-26.365555560000001</v>
      </c>
      <c r="G733" s="149">
        <v>135.79</v>
      </c>
      <c r="H733" s="149">
        <v>201</v>
      </c>
      <c r="I733" s="151">
        <v>42816</v>
      </c>
      <c r="J733" s="149" t="s">
        <v>36</v>
      </c>
      <c r="K733" s="149" t="s">
        <v>419</v>
      </c>
      <c r="L733" s="155" t="s">
        <v>2566</v>
      </c>
      <c r="M733" s="155" t="s">
        <v>2567</v>
      </c>
      <c r="N733" s="155" t="s">
        <v>2668</v>
      </c>
      <c r="O733" s="155" t="s">
        <v>2105</v>
      </c>
      <c r="P733" s="140" t="s">
        <v>2105</v>
      </c>
      <c r="Q733" s="140" t="s">
        <v>2387</v>
      </c>
      <c r="R733" s="155" t="s">
        <v>2713</v>
      </c>
      <c r="S733" s="149">
        <f t="shared" si="28"/>
        <v>8.0000000000000004E-4</v>
      </c>
      <c r="T733" s="149">
        <v>0</v>
      </c>
      <c r="U733" s="157">
        <v>8.0000000000000004E-4</v>
      </c>
      <c r="V733" s="157">
        <v>1.38</v>
      </c>
      <c r="W733" s="157">
        <v>6.71</v>
      </c>
      <c r="X733" s="149">
        <f t="shared" si="27"/>
        <v>9.2597999999999985</v>
      </c>
      <c r="Y733" s="149"/>
    </row>
    <row r="734" spans="1:25" ht="16">
      <c r="A734" s="117" t="s">
        <v>3570</v>
      </c>
      <c r="B734" s="150" t="s">
        <v>797</v>
      </c>
      <c r="C734" s="149" t="s">
        <v>1744</v>
      </c>
      <c r="D734" s="149" t="s">
        <v>3555</v>
      </c>
      <c r="E734" s="149" t="s">
        <v>593</v>
      </c>
      <c r="F734" s="149">
        <v>-26.365555560000001</v>
      </c>
      <c r="G734" s="149">
        <v>135.79</v>
      </c>
      <c r="H734" s="149">
        <v>201</v>
      </c>
      <c r="I734" s="151">
        <v>42816</v>
      </c>
      <c r="J734" s="149" t="s">
        <v>36</v>
      </c>
      <c r="K734" s="149" t="s">
        <v>419</v>
      </c>
      <c r="L734" s="155" t="s">
        <v>2566</v>
      </c>
      <c r="M734" s="155" t="s">
        <v>2567</v>
      </c>
      <c r="N734" s="155" t="s">
        <v>2668</v>
      </c>
      <c r="O734" s="155" t="s">
        <v>2105</v>
      </c>
      <c r="P734" s="140" t="s">
        <v>2105</v>
      </c>
      <c r="Q734" s="140" t="s">
        <v>2387</v>
      </c>
      <c r="R734" s="155" t="s">
        <v>2713</v>
      </c>
      <c r="S734" s="149">
        <f t="shared" si="28"/>
        <v>6.9999999999999999E-4</v>
      </c>
      <c r="T734" s="149">
        <v>0</v>
      </c>
      <c r="U734" s="157">
        <v>6.9999999999999999E-4</v>
      </c>
      <c r="V734" s="157">
        <v>1.6919999999999999</v>
      </c>
      <c r="W734" s="157">
        <v>6.7050000000000001</v>
      </c>
      <c r="X734" s="149">
        <f t="shared" si="27"/>
        <v>11.344860000000001</v>
      </c>
      <c r="Y734" s="149"/>
    </row>
    <row r="735" spans="1:25" ht="16">
      <c r="A735" s="117" t="s">
        <v>3570</v>
      </c>
      <c r="B735" s="150" t="s">
        <v>798</v>
      </c>
      <c r="C735" s="149" t="s">
        <v>1744</v>
      </c>
      <c r="D735" s="149" t="s">
        <v>3555</v>
      </c>
      <c r="E735" s="149" t="s">
        <v>593</v>
      </c>
      <c r="F735" s="149">
        <v>-26.365555560000001</v>
      </c>
      <c r="G735" s="149">
        <v>135.79</v>
      </c>
      <c r="H735" s="149">
        <v>201</v>
      </c>
      <c r="I735" s="151">
        <v>42816</v>
      </c>
      <c r="J735" s="149" t="s">
        <v>36</v>
      </c>
      <c r="K735" s="149" t="s">
        <v>419</v>
      </c>
      <c r="L735" s="155" t="s">
        <v>2566</v>
      </c>
      <c r="M735" s="155" t="s">
        <v>2567</v>
      </c>
      <c r="N735" s="155" t="s">
        <v>2668</v>
      </c>
      <c r="O735" s="155" t="s">
        <v>2105</v>
      </c>
      <c r="P735" s="140" t="s">
        <v>2105</v>
      </c>
      <c r="Q735" s="140" t="s">
        <v>2387</v>
      </c>
      <c r="R735" s="155" t="s">
        <v>2713</v>
      </c>
      <c r="S735" s="149">
        <f t="shared" si="28"/>
        <v>4.0000000000000002E-4</v>
      </c>
      <c r="T735" s="149">
        <v>0</v>
      </c>
      <c r="U735" s="157">
        <v>4.0000000000000002E-4</v>
      </c>
      <c r="V735" s="157">
        <v>1.3540000000000001</v>
      </c>
      <c r="W735" s="157">
        <v>6.5990000000000002</v>
      </c>
      <c r="X735" s="149">
        <f t="shared" si="27"/>
        <v>8.9350460000000016</v>
      </c>
      <c r="Y735" s="149"/>
    </row>
    <row r="736" spans="1:25" ht="16">
      <c r="A736" s="117" t="s">
        <v>3570</v>
      </c>
      <c r="B736" s="150" t="s">
        <v>468</v>
      </c>
      <c r="C736" s="149" t="s">
        <v>1744</v>
      </c>
      <c r="D736" s="149" t="s">
        <v>3555</v>
      </c>
      <c r="E736" s="149" t="s">
        <v>463</v>
      </c>
      <c r="F736" s="149">
        <v>-25.754722220000001</v>
      </c>
      <c r="G736" s="149">
        <v>135.26305556</v>
      </c>
      <c r="H736" s="149">
        <v>202</v>
      </c>
      <c r="I736" s="151">
        <v>42815</v>
      </c>
      <c r="J736" s="149" t="s">
        <v>36</v>
      </c>
      <c r="K736" s="149" t="s">
        <v>419</v>
      </c>
      <c r="L736" s="140" t="s">
        <v>2569</v>
      </c>
      <c r="M736" s="140" t="s">
        <v>2570</v>
      </c>
      <c r="N736" s="140" t="s">
        <v>2571</v>
      </c>
      <c r="O736" s="140" t="s">
        <v>2369</v>
      </c>
      <c r="P736" s="140" t="s">
        <v>3556</v>
      </c>
      <c r="Q736" s="140" t="s">
        <v>2676</v>
      </c>
      <c r="R736" s="140" t="s">
        <v>2712</v>
      </c>
      <c r="S736" s="149">
        <f t="shared" si="28"/>
        <v>3.3999999999999998E-3</v>
      </c>
      <c r="T736" s="149">
        <v>0</v>
      </c>
      <c r="U736" s="157">
        <v>3.3999999999999998E-3</v>
      </c>
      <c r="V736" s="157">
        <v>2.14</v>
      </c>
      <c r="W736" s="157">
        <v>8.57</v>
      </c>
      <c r="X736" s="149">
        <f t="shared" si="27"/>
        <v>18.3398</v>
      </c>
      <c r="Y736" s="149"/>
    </row>
    <row r="737" spans="1:25" ht="16">
      <c r="A737" s="117" t="s">
        <v>3570</v>
      </c>
      <c r="B737" s="150" t="s">
        <v>799</v>
      </c>
      <c r="C737" s="149" t="s">
        <v>1744</v>
      </c>
      <c r="D737" s="149" t="s">
        <v>3555</v>
      </c>
      <c r="E737" s="149" t="s">
        <v>593</v>
      </c>
      <c r="F737" s="149">
        <v>-26.365555560000001</v>
      </c>
      <c r="G737" s="149">
        <v>135.79</v>
      </c>
      <c r="H737" s="149">
        <v>201</v>
      </c>
      <c r="I737" s="151">
        <v>42816</v>
      </c>
      <c r="J737" s="149" t="s">
        <v>36</v>
      </c>
      <c r="K737" s="149" t="s">
        <v>419</v>
      </c>
      <c r="L737" s="155" t="s">
        <v>2566</v>
      </c>
      <c r="M737" s="155" t="s">
        <v>2567</v>
      </c>
      <c r="N737" s="155" t="s">
        <v>2668</v>
      </c>
      <c r="O737" s="155" t="s">
        <v>2105</v>
      </c>
      <c r="P737" s="140" t="s">
        <v>2105</v>
      </c>
      <c r="Q737" s="140" t="s">
        <v>2387</v>
      </c>
      <c r="R737" s="155" t="s">
        <v>2713</v>
      </c>
      <c r="S737" s="149">
        <f t="shared" si="28"/>
        <v>5.9999999999999995E-4</v>
      </c>
      <c r="T737" s="149">
        <v>0</v>
      </c>
      <c r="U737" s="157">
        <v>5.9999999999999995E-4</v>
      </c>
      <c r="V737" s="157">
        <v>1.536</v>
      </c>
      <c r="W737" s="157">
        <v>6.0519999999999996</v>
      </c>
      <c r="X737" s="149">
        <f t="shared" si="27"/>
        <v>9.2958719999999992</v>
      </c>
      <c r="Y737" s="149"/>
    </row>
    <row r="738" spans="1:25" ht="16">
      <c r="A738" s="117" t="s">
        <v>3570</v>
      </c>
      <c r="B738" s="150" t="s">
        <v>803</v>
      </c>
      <c r="C738" s="149" t="s">
        <v>1744</v>
      </c>
      <c r="D738" s="149" t="s">
        <v>3555</v>
      </c>
      <c r="E738" s="149" t="s">
        <v>593</v>
      </c>
      <c r="F738" s="149">
        <v>-26.365555560000001</v>
      </c>
      <c r="G738" s="149">
        <v>135.79</v>
      </c>
      <c r="H738" s="149">
        <v>201</v>
      </c>
      <c r="I738" s="151">
        <v>42816</v>
      </c>
      <c r="J738" s="149" t="s">
        <v>36</v>
      </c>
      <c r="K738" s="149" t="s">
        <v>419</v>
      </c>
      <c r="L738" s="155" t="s">
        <v>2566</v>
      </c>
      <c r="M738" s="155" t="s">
        <v>2567</v>
      </c>
      <c r="N738" s="155" t="s">
        <v>2668</v>
      </c>
      <c r="O738" s="155" t="s">
        <v>2105</v>
      </c>
      <c r="P738" s="140" t="s">
        <v>2105</v>
      </c>
      <c r="Q738" s="140" t="s">
        <v>2387</v>
      </c>
      <c r="R738" s="155" t="s">
        <v>2713</v>
      </c>
      <c r="S738" s="149">
        <f t="shared" si="28"/>
        <v>5.9999999999999995E-4</v>
      </c>
      <c r="T738" s="149">
        <v>0</v>
      </c>
      <c r="U738" s="157">
        <v>5.9999999999999995E-4</v>
      </c>
      <c r="V738" s="157">
        <v>1.4790000000000001</v>
      </c>
      <c r="W738" s="157">
        <v>6.0259999999999998</v>
      </c>
      <c r="X738" s="149">
        <f t="shared" si="27"/>
        <v>8.9124540000000003</v>
      </c>
      <c r="Y738" s="149"/>
    </row>
    <row r="739" spans="1:25" ht="16">
      <c r="A739" s="117" t="s">
        <v>3570</v>
      </c>
      <c r="B739" s="150" t="s">
        <v>804</v>
      </c>
      <c r="C739" s="149" t="s">
        <v>1744</v>
      </c>
      <c r="D739" s="149" t="s">
        <v>3555</v>
      </c>
      <c r="E739" s="149" t="s">
        <v>593</v>
      </c>
      <c r="F739" s="149">
        <v>-26.365555560000001</v>
      </c>
      <c r="G739" s="149">
        <v>135.79</v>
      </c>
      <c r="H739" s="149">
        <v>201</v>
      </c>
      <c r="I739" s="151">
        <v>42816</v>
      </c>
      <c r="J739" s="149" t="s">
        <v>36</v>
      </c>
      <c r="K739" s="149" t="s">
        <v>419</v>
      </c>
      <c r="L739" s="155" t="s">
        <v>2566</v>
      </c>
      <c r="M739" s="155" t="s">
        <v>2567</v>
      </c>
      <c r="N739" s="155" t="s">
        <v>2668</v>
      </c>
      <c r="O739" s="155" t="s">
        <v>2105</v>
      </c>
      <c r="P739" s="140" t="s">
        <v>2105</v>
      </c>
      <c r="Q739" s="140" t="s">
        <v>2387</v>
      </c>
      <c r="R739" s="155" t="s">
        <v>2713</v>
      </c>
      <c r="S739" s="149">
        <f t="shared" si="28"/>
        <v>8.9999999999999998E-4</v>
      </c>
      <c r="T739" s="149">
        <v>0</v>
      </c>
      <c r="U739" s="157">
        <v>8.9999999999999998E-4</v>
      </c>
      <c r="V739" s="157">
        <v>1.5820000000000001</v>
      </c>
      <c r="W739" s="157">
        <v>5.89</v>
      </c>
      <c r="X739" s="149">
        <f t="shared" si="27"/>
        <v>9.3179800000000004</v>
      </c>
      <c r="Y739" s="149"/>
    </row>
    <row r="740" spans="1:25" ht="16">
      <c r="A740" s="117" t="s">
        <v>3570</v>
      </c>
      <c r="B740" s="150" t="s">
        <v>469</v>
      </c>
      <c r="C740" s="149" t="s">
        <v>1744</v>
      </c>
      <c r="D740" s="149" t="s">
        <v>3555</v>
      </c>
      <c r="E740" s="149" t="s">
        <v>463</v>
      </c>
      <c r="F740" s="149">
        <v>-25.754722220000001</v>
      </c>
      <c r="G740" s="149">
        <v>135.26305556</v>
      </c>
      <c r="H740" s="149">
        <v>202</v>
      </c>
      <c r="I740" s="151">
        <v>42815</v>
      </c>
      <c r="J740" s="149" t="s">
        <v>36</v>
      </c>
      <c r="K740" s="149" t="s">
        <v>419</v>
      </c>
      <c r="L740" s="140" t="s">
        <v>2572</v>
      </c>
      <c r="M740" s="140" t="s">
        <v>2407</v>
      </c>
      <c r="N740" s="140" t="s">
        <v>36</v>
      </c>
      <c r="O740" s="140" t="s">
        <v>2215</v>
      </c>
      <c r="P740" s="140" t="s">
        <v>2215</v>
      </c>
      <c r="Q740" s="140" t="s">
        <v>2702</v>
      </c>
      <c r="R740" s="140" t="s">
        <v>2713</v>
      </c>
      <c r="S740" s="149">
        <f t="shared" si="28"/>
        <v>5.0000000000000001E-4</v>
      </c>
      <c r="T740" s="149">
        <v>0</v>
      </c>
      <c r="U740" s="157">
        <v>5.0000000000000001E-4</v>
      </c>
      <c r="V740" s="157">
        <v>1.48</v>
      </c>
      <c r="W740" s="157">
        <v>8.6210000000000004</v>
      </c>
      <c r="X740" s="149">
        <f t="shared" si="27"/>
        <v>12.759080000000001</v>
      </c>
      <c r="Y740" s="149"/>
    </row>
    <row r="741" spans="1:25" ht="16">
      <c r="A741" s="117" t="s">
        <v>3570</v>
      </c>
      <c r="B741" s="150" t="s">
        <v>810</v>
      </c>
      <c r="C741" s="149" t="s">
        <v>1744</v>
      </c>
      <c r="D741" s="149" t="s">
        <v>3555</v>
      </c>
      <c r="E741" s="149" t="s">
        <v>593</v>
      </c>
      <c r="F741" s="149">
        <v>-26.365555560000001</v>
      </c>
      <c r="G741" s="149">
        <v>135.79</v>
      </c>
      <c r="H741" s="149">
        <v>201</v>
      </c>
      <c r="I741" s="151">
        <v>42816</v>
      </c>
      <c r="J741" s="149" t="s">
        <v>36</v>
      </c>
      <c r="K741" s="149" t="s">
        <v>419</v>
      </c>
      <c r="L741" s="155" t="s">
        <v>2566</v>
      </c>
      <c r="M741" s="155" t="s">
        <v>2567</v>
      </c>
      <c r="N741" s="155" t="s">
        <v>2668</v>
      </c>
      <c r="O741" s="155" t="s">
        <v>2105</v>
      </c>
      <c r="P741" s="140" t="s">
        <v>2105</v>
      </c>
      <c r="Q741" s="140" t="s">
        <v>2387</v>
      </c>
      <c r="R741" s="155" t="s">
        <v>2713</v>
      </c>
      <c r="S741" s="149">
        <f t="shared" si="28"/>
        <v>4.0000000000000002E-4</v>
      </c>
      <c r="T741" s="149">
        <v>0</v>
      </c>
      <c r="U741" s="157">
        <v>4.0000000000000002E-4</v>
      </c>
      <c r="V741" s="157">
        <v>1.6319999999999999</v>
      </c>
      <c r="W741" s="157">
        <v>6.4640000000000004</v>
      </c>
      <c r="X741" s="149">
        <f t="shared" si="27"/>
        <v>10.549248</v>
      </c>
      <c r="Y741" s="149"/>
    </row>
    <row r="742" spans="1:25" ht="16">
      <c r="A742" s="117" t="s">
        <v>3570</v>
      </c>
      <c r="B742" s="150" t="s">
        <v>811</v>
      </c>
      <c r="C742" s="149" t="s">
        <v>1744</v>
      </c>
      <c r="D742" s="149" t="s">
        <v>3555</v>
      </c>
      <c r="E742" s="149" t="s">
        <v>593</v>
      </c>
      <c r="F742" s="149">
        <v>-26.365555560000001</v>
      </c>
      <c r="G742" s="149">
        <v>135.79</v>
      </c>
      <c r="H742" s="149">
        <v>201</v>
      </c>
      <c r="I742" s="151">
        <v>42816</v>
      </c>
      <c r="J742" s="149" t="s">
        <v>36</v>
      </c>
      <c r="K742" s="149" t="s">
        <v>419</v>
      </c>
      <c r="L742" s="155" t="s">
        <v>2566</v>
      </c>
      <c r="M742" s="155" t="s">
        <v>2567</v>
      </c>
      <c r="N742" s="155" t="s">
        <v>2668</v>
      </c>
      <c r="O742" s="155" t="s">
        <v>2105</v>
      </c>
      <c r="P742" s="140" t="s">
        <v>2105</v>
      </c>
      <c r="Q742" s="140" t="s">
        <v>2387</v>
      </c>
      <c r="R742" s="155" t="s">
        <v>2713</v>
      </c>
      <c r="S742" s="149">
        <f t="shared" si="28"/>
        <v>8.0000000000000004E-4</v>
      </c>
      <c r="T742" s="149">
        <v>0</v>
      </c>
      <c r="U742" s="157">
        <v>8.0000000000000004E-4</v>
      </c>
      <c r="V742" s="157">
        <v>1.65</v>
      </c>
      <c r="W742" s="157">
        <v>6.6189999999999998</v>
      </c>
      <c r="X742" s="149">
        <f t="shared" si="27"/>
        <v>10.921349999999999</v>
      </c>
      <c r="Y742" s="149"/>
    </row>
    <row r="743" spans="1:25" ht="16">
      <c r="A743" s="117" t="s">
        <v>3570</v>
      </c>
      <c r="B743" s="150" t="s">
        <v>812</v>
      </c>
      <c r="C743" s="149" t="s">
        <v>1744</v>
      </c>
      <c r="D743" s="149" t="s">
        <v>3555</v>
      </c>
      <c r="E743" s="149" t="s">
        <v>593</v>
      </c>
      <c r="F743" s="149">
        <v>-26.365555560000001</v>
      </c>
      <c r="G743" s="149">
        <v>135.79</v>
      </c>
      <c r="H743" s="149">
        <v>201</v>
      </c>
      <c r="I743" s="151">
        <v>42816</v>
      </c>
      <c r="J743" s="149" t="s">
        <v>36</v>
      </c>
      <c r="K743" s="149" t="s">
        <v>419</v>
      </c>
      <c r="L743" s="140" t="s">
        <v>2566</v>
      </c>
      <c r="M743" s="140" t="s">
        <v>2574</v>
      </c>
      <c r="N743" s="140" t="s">
        <v>3191</v>
      </c>
      <c r="O743" s="149" t="s">
        <v>2111</v>
      </c>
      <c r="P743" s="149" t="s">
        <v>2739</v>
      </c>
      <c r="Q743" s="140" t="s">
        <v>2692</v>
      </c>
      <c r="R743" s="140" t="s">
        <v>2713</v>
      </c>
      <c r="S743" s="149">
        <f t="shared" si="28"/>
        <v>4.7000000000000002E-3</v>
      </c>
      <c r="T743" s="149">
        <v>0</v>
      </c>
      <c r="U743" s="157">
        <v>4.7000000000000002E-3</v>
      </c>
      <c r="V743" s="157">
        <v>2.4630000000000001</v>
      </c>
      <c r="W743" s="157">
        <v>11.132</v>
      </c>
      <c r="X743" s="149">
        <f t="shared" si="27"/>
        <v>27.418116000000001</v>
      </c>
      <c r="Y743" s="149"/>
    </row>
    <row r="744" spans="1:25" ht="16">
      <c r="A744" s="117" t="s">
        <v>3570</v>
      </c>
      <c r="B744" s="150" t="s">
        <v>813</v>
      </c>
      <c r="C744" s="149" t="s">
        <v>1744</v>
      </c>
      <c r="D744" s="149" t="s">
        <v>3555</v>
      </c>
      <c r="E744" s="149" t="s">
        <v>593</v>
      </c>
      <c r="F744" s="149">
        <v>-26.365555560000001</v>
      </c>
      <c r="G744" s="149">
        <v>135.79</v>
      </c>
      <c r="H744" s="149">
        <v>201</v>
      </c>
      <c r="I744" s="151">
        <v>42816</v>
      </c>
      <c r="J744" s="149" t="s">
        <v>36</v>
      </c>
      <c r="K744" s="149" t="s">
        <v>419</v>
      </c>
      <c r="L744" s="140" t="s">
        <v>2572</v>
      </c>
      <c r="M744" s="140" t="s">
        <v>2407</v>
      </c>
      <c r="N744" s="140" t="s">
        <v>36</v>
      </c>
      <c r="O744" s="140" t="s">
        <v>2215</v>
      </c>
      <c r="P744" s="140" t="s">
        <v>2215</v>
      </c>
      <c r="Q744" s="140" t="s">
        <v>2702</v>
      </c>
      <c r="R744" s="140" t="s">
        <v>2713</v>
      </c>
      <c r="S744" s="149">
        <f t="shared" si="28"/>
        <v>8.9999999999999998E-4</v>
      </c>
      <c r="T744" s="149">
        <v>0</v>
      </c>
      <c r="U744" s="157">
        <v>8.9999999999999998E-4</v>
      </c>
      <c r="V744" s="157">
        <v>1.319</v>
      </c>
      <c r="W744" s="157">
        <v>6.5339999999999998</v>
      </c>
      <c r="X744" s="149">
        <f t="shared" si="27"/>
        <v>8.618345999999999</v>
      </c>
      <c r="Y744" s="149"/>
    </row>
    <row r="745" spans="1:25" ht="16">
      <c r="A745" s="117" t="s">
        <v>3570</v>
      </c>
      <c r="B745" s="150" t="s">
        <v>814</v>
      </c>
      <c r="C745" s="149" t="s">
        <v>1744</v>
      </c>
      <c r="D745" s="149" t="s">
        <v>3555</v>
      </c>
      <c r="E745" s="149" t="s">
        <v>593</v>
      </c>
      <c r="F745" s="149">
        <v>-26.365555560000001</v>
      </c>
      <c r="G745" s="149">
        <v>135.79</v>
      </c>
      <c r="H745" s="149">
        <v>201</v>
      </c>
      <c r="I745" s="151">
        <v>42816</v>
      </c>
      <c r="J745" s="149" t="s">
        <v>36</v>
      </c>
      <c r="K745" s="149" t="s">
        <v>419</v>
      </c>
      <c r="L745" s="140" t="s">
        <v>2566</v>
      </c>
      <c r="M745" s="140" t="s">
        <v>2567</v>
      </c>
      <c r="N745" s="140" t="s">
        <v>2668</v>
      </c>
      <c r="O745" s="140" t="s">
        <v>2105</v>
      </c>
      <c r="P745" s="140" t="s">
        <v>2105</v>
      </c>
      <c r="Q745" s="140" t="s">
        <v>2387</v>
      </c>
      <c r="R745" s="140" t="s">
        <v>2713</v>
      </c>
      <c r="S745" s="149">
        <f t="shared" si="28"/>
        <v>5.9999999999999995E-4</v>
      </c>
      <c r="T745" s="149">
        <v>0</v>
      </c>
      <c r="U745" s="157">
        <v>5.9999999999999995E-4</v>
      </c>
      <c r="V745" s="157">
        <v>1.583</v>
      </c>
      <c r="W745" s="157">
        <v>6.2080000000000002</v>
      </c>
      <c r="X745" s="149">
        <f t="shared" si="27"/>
        <v>9.8272639999999996</v>
      </c>
      <c r="Y745" s="149"/>
    </row>
    <row r="746" spans="1:25" ht="16">
      <c r="A746" s="117" t="s">
        <v>3570</v>
      </c>
      <c r="B746" s="150" t="s">
        <v>815</v>
      </c>
      <c r="C746" s="149" t="s">
        <v>1744</v>
      </c>
      <c r="D746" s="149" t="s">
        <v>3555</v>
      </c>
      <c r="E746" s="149" t="s">
        <v>593</v>
      </c>
      <c r="F746" s="149">
        <v>-26.365555560000001</v>
      </c>
      <c r="G746" s="149">
        <v>135.79</v>
      </c>
      <c r="H746" s="149">
        <v>201</v>
      </c>
      <c r="I746" s="151">
        <v>42816</v>
      </c>
      <c r="J746" s="149" t="s">
        <v>36</v>
      </c>
      <c r="K746" s="149" t="s">
        <v>419</v>
      </c>
      <c r="L746" s="155" t="s">
        <v>2566</v>
      </c>
      <c r="M746" s="155" t="s">
        <v>2567</v>
      </c>
      <c r="N746" s="155" t="s">
        <v>2668</v>
      </c>
      <c r="O746" s="155" t="s">
        <v>2105</v>
      </c>
      <c r="P746" s="140" t="s">
        <v>2105</v>
      </c>
      <c r="Q746" s="140" t="s">
        <v>2387</v>
      </c>
      <c r="R746" s="155" t="s">
        <v>2713</v>
      </c>
      <c r="S746" s="149">
        <f t="shared" si="28"/>
        <v>1.1999999999999999E-3</v>
      </c>
      <c r="T746" s="149">
        <v>0</v>
      </c>
      <c r="U746" s="157">
        <v>1.1999999999999999E-3</v>
      </c>
      <c r="V746" s="157">
        <v>1.571</v>
      </c>
      <c r="W746" s="157">
        <v>7.1879999999999997</v>
      </c>
      <c r="X746" s="149">
        <f t="shared" si="27"/>
        <v>11.292347999999999</v>
      </c>
      <c r="Y746" s="149"/>
    </row>
    <row r="747" spans="1:25" ht="16">
      <c r="A747" s="117" t="s">
        <v>3570</v>
      </c>
      <c r="B747" s="150" t="s">
        <v>816</v>
      </c>
      <c r="C747" s="149" t="s">
        <v>1744</v>
      </c>
      <c r="D747" s="149" t="s">
        <v>3555</v>
      </c>
      <c r="E747" s="149" t="s">
        <v>593</v>
      </c>
      <c r="F747" s="149">
        <v>-26.365555560000001</v>
      </c>
      <c r="G747" s="149">
        <v>135.79</v>
      </c>
      <c r="H747" s="149">
        <v>201</v>
      </c>
      <c r="I747" s="151">
        <v>42816</v>
      </c>
      <c r="J747" s="149" t="s">
        <v>36</v>
      </c>
      <c r="K747" s="149" t="s">
        <v>419</v>
      </c>
      <c r="L747" s="155" t="s">
        <v>2566</v>
      </c>
      <c r="M747" s="155" t="s">
        <v>2567</v>
      </c>
      <c r="N747" s="155" t="s">
        <v>2668</v>
      </c>
      <c r="O747" s="155" t="s">
        <v>2105</v>
      </c>
      <c r="P747" s="140" t="s">
        <v>2105</v>
      </c>
      <c r="Q747" s="140" t="s">
        <v>2387</v>
      </c>
      <c r="R747" s="155" t="s">
        <v>2713</v>
      </c>
      <c r="S747" s="149">
        <f t="shared" si="28"/>
        <v>8.0000000000000004E-4</v>
      </c>
      <c r="T747" s="149">
        <v>0</v>
      </c>
      <c r="U747" s="157">
        <v>8.0000000000000004E-4</v>
      </c>
      <c r="V747" s="157">
        <v>1.659</v>
      </c>
      <c r="W747" s="157">
        <v>6.0640000000000001</v>
      </c>
      <c r="X747" s="149">
        <f t="shared" si="27"/>
        <v>10.060176</v>
      </c>
      <c r="Y747" s="149"/>
    </row>
    <row r="748" spans="1:25" ht="16">
      <c r="A748" s="117" t="s">
        <v>3570</v>
      </c>
      <c r="B748" s="150" t="s">
        <v>817</v>
      </c>
      <c r="C748" s="149" t="s">
        <v>1744</v>
      </c>
      <c r="D748" s="149" t="s">
        <v>3555</v>
      </c>
      <c r="E748" s="149" t="s">
        <v>593</v>
      </c>
      <c r="F748" s="149">
        <v>-26.365555560000001</v>
      </c>
      <c r="G748" s="149">
        <v>135.79</v>
      </c>
      <c r="H748" s="149">
        <v>201</v>
      </c>
      <c r="I748" s="151">
        <v>42816</v>
      </c>
      <c r="J748" s="149" t="s">
        <v>36</v>
      </c>
      <c r="K748" s="149" t="s">
        <v>419</v>
      </c>
      <c r="L748" s="155" t="s">
        <v>2566</v>
      </c>
      <c r="M748" s="155" t="s">
        <v>2567</v>
      </c>
      <c r="N748" s="155" t="s">
        <v>2668</v>
      </c>
      <c r="O748" s="155" t="s">
        <v>2105</v>
      </c>
      <c r="P748" s="140" t="s">
        <v>2105</v>
      </c>
      <c r="Q748" s="140" t="s">
        <v>2387</v>
      </c>
      <c r="R748" s="155" t="s">
        <v>2713</v>
      </c>
      <c r="S748" s="149">
        <f t="shared" si="28"/>
        <v>8.9999999999999998E-4</v>
      </c>
      <c r="T748" s="149">
        <v>0</v>
      </c>
      <c r="U748" s="157">
        <v>8.9999999999999998E-4</v>
      </c>
      <c r="V748" s="157">
        <v>1.6970000000000001</v>
      </c>
      <c r="W748" s="157">
        <v>6.2039999999999997</v>
      </c>
      <c r="X748" s="149">
        <f t="shared" si="27"/>
        <v>10.528188</v>
      </c>
      <c r="Y748" s="149"/>
    </row>
    <row r="749" spans="1:25" ht="16">
      <c r="A749" s="117" t="s">
        <v>3570</v>
      </c>
      <c r="B749" s="150" t="s">
        <v>818</v>
      </c>
      <c r="C749" s="149" t="s">
        <v>1744</v>
      </c>
      <c r="D749" s="149" t="s">
        <v>3555</v>
      </c>
      <c r="E749" s="149" t="s">
        <v>593</v>
      </c>
      <c r="F749" s="149">
        <v>-26.365555560000001</v>
      </c>
      <c r="G749" s="149">
        <v>135.79</v>
      </c>
      <c r="H749" s="149">
        <v>201</v>
      </c>
      <c r="I749" s="151">
        <v>42816</v>
      </c>
      <c r="J749" s="149" t="s">
        <v>36</v>
      </c>
      <c r="K749" s="149" t="s">
        <v>419</v>
      </c>
      <c r="L749" s="155" t="s">
        <v>2566</v>
      </c>
      <c r="M749" s="155" t="s">
        <v>2567</v>
      </c>
      <c r="N749" s="155" t="s">
        <v>2668</v>
      </c>
      <c r="O749" s="155" t="s">
        <v>2105</v>
      </c>
      <c r="P749" s="140" t="s">
        <v>2105</v>
      </c>
      <c r="Q749" s="140" t="s">
        <v>2387</v>
      </c>
      <c r="R749" s="155" t="s">
        <v>2713</v>
      </c>
      <c r="S749" s="149">
        <f t="shared" si="28"/>
        <v>8.0000000000000004E-4</v>
      </c>
      <c r="T749" s="149">
        <v>0</v>
      </c>
      <c r="U749" s="157">
        <v>8.0000000000000004E-4</v>
      </c>
      <c r="V749" s="157">
        <v>1.6739999999999999</v>
      </c>
      <c r="W749" s="157">
        <v>6.4889999999999999</v>
      </c>
      <c r="X749" s="149">
        <f t="shared" si="27"/>
        <v>10.862585999999999</v>
      </c>
      <c r="Y749" s="149"/>
    </row>
    <row r="750" spans="1:25" ht="16">
      <c r="A750" s="117" t="s">
        <v>3570</v>
      </c>
      <c r="B750" s="150" t="s">
        <v>424</v>
      </c>
      <c r="C750" s="149" t="s">
        <v>1744</v>
      </c>
      <c r="D750" s="149" t="s">
        <v>3555</v>
      </c>
      <c r="E750" s="149" t="s">
        <v>426</v>
      </c>
      <c r="F750" s="149">
        <v>-26.458888890000001</v>
      </c>
      <c r="G750" s="149">
        <v>135.41277778</v>
      </c>
      <c r="H750" s="149">
        <v>202</v>
      </c>
      <c r="I750" s="151">
        <v>42815</v>
      </c>
      <c r="J750" s="149" t="s">
        <v>36</v>
      </c>
      <c r="K750" s="149" t="s">
        <v>419</v>
      </c>
      <c r="L750" s="149" t="s">
        <v>2569</v>
      </c>
      <c r="M750" s="149" t="s">
        <v>2570</v>
      </c>
      <c r="N750" s="149" t="s">
        <v>2571</v>
      </c>
      <c r="O750" s="140" t="s">
        <v>2369</v>
      </c>
      <c r="P750" s="140" t="s">
        <v>3556</v>
      </c>
      <c r="Q750" s="140" t="s">
        <v>2669</v>
      </c>
      <c r="R750" s="149" t="s">
        <v>2713</v>
      </c>
      <c r="S750" s="149">
        <f t="shared" si="28"/>
        <v>4.58E-2</v>
      </c>
      <c r="T750" s="140">
        <v>3.8671999999999998E-2</v>
      </c>
      <c r="U750" s="157">
        <v>7.1280000000000024E-3</v>
      </c>
      <c r="V750" s="157">
        <v>2.7730000000000001</v>
      </c>
      <c r="W750" s="157">
        <v>11.031000000000001</v>
      </c>
      <c r="X750" s="149">
        <f t="shared" si="27"/>
        <v>30.588963000000003</v>
      </c>
      <c r="Y750" s="149"/>
    </row>
    <row r="751" spans="1:25" ht="16">
      <c r="A751" s="117" t="s">
        <v>3570</v>
      </c>
      <c r="B751" s="150" t="s">
        <v>470</v>
      </c>
      <c r="C751" s="149" t="s">
        <v>1744</v>
      </c>
      <c r="D751" s="149" t="s">
        <v>3555</v>
      </c>
      <c r="E751" s="149" t="s">
        <v>463</v>
      </c>
      <c r="F751" s="149">
        <v>-25.754722220000001</v>
      </c>
      <c r="G751" s="149">
        <v>135.26305556</v>
      </c>
      <c r="H751" s="149">
        <v>202</v>
      </c>
      <c r="I751" s="151">
        <v>42815</v>
      </c>
      <c r="J751" s="149" t="s">
        <v>36</v>
      </c>
      <c r="K751" s="149" t="s">
        <v>419</v>
      </c>
      <c r="L751" s="140" t="s">
        <v>2566</v>
      </c>
      <c r="M751" s="140" t="s">
        <v>2574</v>
      </c>
      <c r="N751" s="140" t="s">
        <v>3191</v>
      </c>
      <c r="O751" s="149" t="s">
        <v>2111</v>
      </c>
      <c r="P751" s="149" t="s">
        <v>2739</v>
      </c>
      <c r="Q751" s="140" t="s">
        <v>2693</v>
      </c>
      <c r="R751" s="140" t="s">
        <v>2713</v>
      </c>
      <c r="S751" s="149">
        <f t="shared" si="28"/>
        <v>5.9400000000000001E-2</v>
      </c>
      <c r="T751" s="140">
        <v>3.8671999999999998E-2</v>
      </c>
      <c r="U751" s="157">
        <v>2.0728000000000003E-2</v>
      </c>
      <c r="V751" s="157">
        <v>3.5960000000000001</v>
      </c>
      <c r="W751" s="157">
        <v>14.012</v>
      </c>
      <c r="X751" s="149">
        <f t="shared" si="27"/>
        <v>50.387152</v>
      </c>
      <c r="Y751" s="149"/>
    </row>
    <row r="752" spans="1:25" ht="16">
      <c r="A752" s="117" t="s">
        <v>3570</v>
      </c>
      <c r="B752" s="150" t="s">
        <v>819</v>
      </c>
      <c r="C752" s="149" t="s">
        <v>1744</v>
      </c>
      <c r="D752" s="149" t="s">
        <v>3555</v>
      </c>
      <c r="E752" s="149" t="s">
        <v>593</v>
      </c>
      <c r="F752" s="149">
        <v>-26.365555560000001</v>
      </c>
      <c r="G752" s="149">
        <v>135.79</v>
      </c>
      <c r="H752" s="149">
        <v>201</v>
      </c>
      <c r="I752" s="151">
        <v>42816</v>
      </c>
      <c r="J752" s="149" t="s">
        <v>36</v>
      </c>
      <c r="K752" s="149" t="s">
        <v>419</v>
      </c>
      <c r="L752" s="155" t="s">
        <v>2566</v>
      </c>
      <c r="M752" s="155" t="s">
        <v>2567</v>
      </c>
      <c r="N752" s="155" t="s">
        <v>2668</v>
      </c>
      <c r="O752" s="155" t="s">
        <v>2105</v>
      </c>
      <c r="P752" s="140" t="s">
        <v>2105</v>
      </c>
      <c r="Q752" s="140" t="s">
        <v>2387</v>
      </c>
      <c r="R752" s="155" t="s">
        <v>2713</v>
      </c>
      <c r="S752" s="149">
        <f t="shared" si="28"/>
        <v>8.0000000000000004E-4</v>
      </c>
      <c r="T752" s="149">
        <v>0</v>
      </c>
      <c r="U752" s="157">
        <v>8.0000000000000004E-4</v>
      </c>
      <c r="V752" s="157">
        <v>1.544</v>
      </c>
      <c r="W752" s="157">
        <v>5.8090000000000002</v>
      </c>
      <c r="X752" s="149">
        <f t="shared" ref="X752:X815" si="29">V752*W752</f>
        <v>8.9690960000000004</v>
      </c>
      <c r="Y752" s="149"/>
    </row>
    <row r="753" spans="1:25" ht="16">
      <c r="A753" s="117" t="s">
        <v>3570</v>
      </c>
      <c r="B753" s="150" t="s">
        <v>820</v>
      </c>
      <c r="C753" s="149" t="s">
        <v>1744</v>
      </c>
      <c r="D753" s="149" t="s">
        <v>3555</v>
      </c>
      <c r="E753" s="149" t="s">
        <v>593</v>
      </c>
      <c r="F753" s="149">
        <v>-26.365555560000001</v>
      </c>
      <c r="G753" s="149">
        <v>135.79</v>
      </c>
      <c r="H753" s="149">
        <v>201</v>
      </c>
      <c r="I753" s="151">
        <v>42816</v>
      </c>
      <c r="J753" s="149" t="s">
        <v>36</v>
      </c>
      <c r="K753" s="149" t="s">
        <v>419</v>
      </c>
      <c r="L753" s="155" t="s">
        <v>2566</v>
      </c>
      <c r="M753" s="155" t="s">
        <v>2567</v>
      </c>
      <c r="N753" s="155" t="s">
        <v>2668</v>
      </c>
      <c r="O753" s="140" t="s">
        <v>2600</v>
      </c>
      <c r="P753" s="149" t="s">
        <v>2735</v>
      </c>
      <c r="Q753" s="140" t="s">
        <v>2709</v>
      </c>
      <c r="R753" s="155" t="s">
        <v>2712</v>
      </c>
      <c r="S753" s="149">
        <f t="shared" si="28"/>
        <v>8.0000000000000004E-4</v>
      </c>
      <c r="T753" s="149">
        <v>0</v>
      </c>
      <c r="U753" s="157">
        <v>8.0000000000000004E-4</v>
      </c>
      <c r="V753" s="157">
        <v>1.542</v>
      </c>
      <c r="W753" s="157">
        <v>5.9939999999999998</v>
      </c>
      <c r="X753" s="149">
        <f t="shared" si="29"/>
        <v>9.2427480000000006</v>
      </c>
      <c r="Y753" s="149"/>
    </row>
    <row r="754" spans="1:25" ht="16">
      <c r="A754" s="117" t="s">
        <v>3570</v>
      </c>
      <c r="B754" s="150" t="s">
        <v>822</v>
      </c>
      <c r="C754" s="149" t="s">
        <v>1744</v>
      </c>
      <c r="D754" s="149" t="s">
        <v>3555</v>
      </c>
      <c r="E754" s="149" t="s">
        <v>593</v>
      </c>
      <c r="F754" s="149">
        <v>-26.365555560000001</v>
      </c>
      <c r="G754" s="149">
        <v>135.79</v>
      </c>
      <c r="H754" s="149">
        <v>201</v>
      </c>
      <c r="I754" s="151">
        <v>42816</v>
      </c>
      <c r="J754" s="149" t="s">
        <v>36</v>
      </c>
      <c r="K754" s="149" t="s">
        <v>419</v>
      </c>
      <c r="L754" s="140" t="s">
        <v>2566</v>
      </c>
      <c r="M754" s="140" t="s">
        <v>2567</v>
      </c>
      <c r="N754" s="140" t="s">
        <v>2668</v>
      </c>
      <c r="O754" s="140" t="s">
        <v>2105</v>
      </c>
      <c r="P754" s="140" t="s">
        <v>2105</v>
      </c>
      <c r="Q754" s="140" t="s">
        <v>2387</v>
      </c>
      <c r="R754" s="140" t="s">
        <v>2713</v>
      </c>
      <c r="S754" s="149">
        <f t="shared" si="28"/>
        <v>6.9999999999999999E-4</v>
      </c>
      <c r="T754" s="149">
        <v>0</v>
      </c>
      <c r="U754" s="157">
        <v>6.9999999999999999E-4</v>
      </c>
      <c r="V754" s="157">
        <v>1.6619999999999999</v>
      </c>
      <c r="W754" s="157">
        <v>6.0339999999999998</v>
      </c>
      <c r="X754" s="149">
        <f t="shared" si="29"/>
        <v>10.028507999999999</v>
      </c>
      <c r="Y754" s="149"/>
    </row>
    <row r="755" spans="1:25" ht="16">
      <c r="A755" s="117" t="s">
        <v>3570</v>
      </c>
      <c r="B755" s="150" t="s">
        <v>823</v>
      </c>
      <c r="C755" s="149" t="s">
        <v>1744</v>
      </c>
      <c r="D755" s="149" t="s">
        <v>3555</v>
      </c>
      <c r="E755" s="149" t="s">
        <v>593</v>
      </c>
      <c r="F755" s="149">
        <v>-26.365555560000001</v>
      </c>
      <c r="G755" s="149">
        <v>135.79</v>
      </c>
      <c r="H755" s="149">
        <v>201</v>
      </c>
      <c r="I755" s="151">
        <v>42816</v>
      </c>
      <c r="J755" s="149" t="s">
        <v>36</v>
      </c>
      <c r="K755" s="149" t="s">
        <v>419</v>
      </c>
      <c r="L755" s="155" t="s">
        <v>2566</v>
      </c>
      <c r="M755" s="155" t="s">
        <v>2567</v>
      </c>
      <c r="N755" s="155" t="s">
        <v>2668</v>
      </c>
      <c r="O755" s="155" t="s">
        <v>2105</v>
      </c>
      <c r="P755" s="140" t="s">
        <v>2105</v>
      </c>
      <c r="Q755" s="140" t="s">
        <v>2387</v>
      </c>
      <c r="R755" s="155" t="s">
        <v>2713</v>
      </c>
      <c r="S755" s="149">
        <f t="shared" si="28"/>
        <v>1E-3</v>
      </c>
      <c r="T755" s="149">
        <v>0</v>
      </c>
      <c r="U755" s="157">
        <v>1E-3</v>
      </c>
      <c r="V755" s="157">
        <v>1.56</v>
      </c>
      <c r="W755" s="157">
        <v>5.7569999999999997</v>
      </c>
      <c r="X755" s="149">
        <f t="shared" si="29"/>
        <v>8.9809199999999993</v>
      </c>
      <c r="Y755" s="149"/>
    </row>
    <row r="756" spans="1:25" ht="16">
      <c r="A756" s="117" t="s">
        <v>3570</v>
      </c>
      <c r="B756" s="150" t="s">
        <v>824</v>
      </c>
      <c r="C756" s="149" t="s">
        <v>1744</v>
      </c>
      <c r="D756" s="149" t="s">
        <v>3555</v>
      </c>
      <c r="E756" s="149" t="s">
        <v>593</v>
      </c>
      <c r="F756" s="149">
        <v>-26.365555560000001</v>
      </c>
      <c r="G756" s="149">
        <v>135.79</v>
      </c>
      <c r="H756" s="149">
        <v>201</v>
      </c>
      <c r="I756" s="151">
        <v>42816</v>
      </c>
      <c r="J756" s="149" t="s">
        <v>36</v>
      </c>
      <c r="K756" s="149" t="s">
        <v>419</v>
      </c>
      <c r="L756" s="155" t="s">
        <v>2566</v>
      </c>
      <c r="M756" s="155" t="s">
        <v>2567</v>
      </c>
      <c r="N756" s="155" t="s">
        <v>2668</v>
      </c>
      <c r="O756" s="155" t="s">
        <v>2105</v>
      </c>
      <c r="P756" s="140" t="s">
        <v>2105</v>
      </c>
      <c r="Q756" s="140" t="s">
        <v>2387</v>
      </c>
      <c r="R756" s="155" t="s">
        <v>2713</v>
      </c>
      <c r="S756" s="149">
        <f t="shared" si="28"/>
        <v>6.9999999999999999E-4</v>
      </c>
      <c r="T756" s="149">
        <v>0</v>
      </c>
      <c r="U756" s="157">
        <v>6.9999999999999999E-4</v>
      </c>
      <c r="V756" s="157">
        <v>1.3879999999999999</v>
      </c>
      <c r="W756" s="157">
        <v>5.78</v>
      </c>
      <c r="X756" s="149">
        <f t="shared" si="29"/>
        <v>8.0226399999999991</v>
      </c>
      <c r="Y756" s="149"/>
    </row>
    <row r="757" spans="1:25" ht="16">
      <c r="A757" s="117" t="s">
        <v>3570</v>
      </c>
      <c r="B757" s="150" t="s">
        <v>826</v>
      </c>
      <c r="C757" s="149" t="s">
        <v>1744</v>
      </c>
      <c r="D757" s="149" t="s">
        <v>3555</v>
      </c>
      <c r="E757" s="149" t="s">
        <v>593</v>
      </c>
      <c r="F757" s="149">
        <v>-26.365555560000001</v>
      </c>
      <c r="G757" s="149">
        <v>135.79</v>
      </c>
      <c r="H757" s="149">
        <v>201</v>
      </c>
      <c r="I757" s="151">
        <v>42816</v>
      </c>
      <c r="J757" s="149" t="s">
        <v>36</v>
      </c>
      <c r="K757" s="149" t="s">
        <v>419</v>
      </c>
      <c r="L757" s="155" t="s">
        <v>2566</v>
      </c>
      <c r="M757" s="155" t="s">
        <v>2567</v>
      </c>
      <c r="N757" s="155" t="s">
        <v>2668</v>
      </c>
      <c r="O757" s="155" t="s">
        <v>2105</v>
      </c>
      <c r="P757" s="140" t="s">
        <v>2105</v>
      </c>
      <c r="Q757" s="140" t="s">
        <v>2387</v>
      </c>
      <c r="R757" s="155" t="s">
        <v>2713</v>
      </c>
      <c r="S757" s="149">
        <f t="shared" si="28"/>
        <v>5.0000000000000001E-4</v>
      </c>
      <c r="T757" s="149">
        <v>0</v>
      </c>
      <c r="U757" s="157">
        <v>5.0000000000000001E-4</v>
      </c>
      <c r="V757" s="157">
        <v>1.5189999999999999</v>
      </c>
      <c r="W757" s="157">
        <v>6.3250000000000002</v>
      </c>
      <c r="X757" s="149">
        <f t="shared" si="29"/>
        <v>9.6076750000000004</v>
      </c>
      <c r="Y757" s="149"/>
    </row>
    <row r="758" spans="1:25" ht="16">
      <c r="A758" s="117" t="s">
        <v>3570</v>
      </c>
      <c r="B758" s="150" t="s">
        <v>827</v>
      </c>
      <c r="C758" s="149" t="s">
        <v>1744</v>
      </c>
      <c r="D758" s="149" t="s">
        <v>3555</v>
      </c>
      <c r="E758" s="149" t="s">
        <v>593</v>
      </c>
      <c r="F758" s="149">
        <v>-26.365555560000001</v>
      </c>
      <c r="G758" s="149">
        <v>135.79</v>
      </c>
      <c r="H758" s="149">
        <v>201</v>
      </c>
      <c r="I758" s="151">
        <v>42816</v>
      </c>
      <c r="J758" s="149" t="s">
        <v>36</v>
      </c>
      <c r="K758" s="149" t="s">
        <v>419</v>
      </c>
      <c r="L758" s="140" t="s">
        <v>2572</v>
      </c>
      <c r="M758" s="140" t="s">
        <v>2407</v>
      </c>
      <c r="N758" s="140" t="s">
        <v>36</v>
      </c>
      <c r="O758" s="140" t="s">
        <v>2215</v>
      </c>
      <c r="P758" s="140" t="s">
        <v>2215</v>
      </c>
      <c r="Q758" s="140" t="s">
        <v>2702</v>
      </c>
      <c r="R758" s="140" t="s">
        <v>2713</v>
      </c>
      <c r="S758" s="149">
        <f t="shared" si="28"/>
        <v>2.9999999999999997E-4</v>
      </c>
      <c r="T758" s="149">
        <v>0</v>
      </c>
      <c r="U758" s="157">
        <v>2.9999999999999997E-4</v>
      </c>
      <c r="V758" s="157">
        <v>1.3540000000000001</v>
      </c>
      <c r="W758" s="157">
        <v>6.2910000000000004</v>
      </c>
      <c r="X758" s="149">
        <f t="shared" si="29"/>
        <v>8.5180140000000009</v>
      </c>
      <c r="Y758" s="149"/>
    </row>
    <row r="759" spans="1:25" ht="16">
      <c r="A759" s="117" t="s">
        <v>3570</v>
      </c>
      <c r="B759" s="150" t="s">
        <v>828</v>
      </c>
      <c r="C759" s="149" t="s">
        <v>1744</v>
      </c>
      <c r="D759" s="149" t="s">
        <v>3555</v>
      </c>
      <c r="E759" s="149" t="s">
        <v>830</v>
      </c>
      <c r="F759" s="149">
        <v>-25.6175</v>
      </c>
      <c r="G759" s="149">
        <v>134.92277777999999</v>
      </c>
      <c r="H759" s="149">
        <v>205</v>
      </c>
      <c r="I759" s="151">
        <v>42812</v>
      </c>
      <c r="J759" s="149" t="s">
        <v>36</v>
      </c>
      <c r="K759" s="149" t="s">
        <v>419</v>
      </c>
      <c r="L759" s="140" t="s">
        <v>2572</v>
      </c>
      <c r="M759" s="140" t="s">
        <v>2407</v>
      </c>
      <c r="N759" s="140" t="s">
        <v>36</v>
      </c>
      <c r="O759" s="140" t="s">
        <v>2215</v>
      </c>
      <c r="P759" s="140" t="s">
        <v>2215</v>
      </c>
      <c r="Q759" s="140" t="s">
        <v>2702</v>
      </c>
      <c r="R759" s="140" t="s">
        <v>2713</v>
      </c>
      <c r="S759" s="149">
        <f t="shared" si="28"/>
        <v>2.0000000000000001E-4</v>
      </c>
      <c r="T759" s="149">
        <v>0</v>
      </c>
      <c r="U759" s="157">
        <v>2.0000000000000001E-4</v>
      </c>
      <c r="V759" s="157">
        <v>1.3320000000000001</v>
      </c>
      <c r="W759" s="157">
        <v>7.6440000000000001</v>
      </c>
      <c r="X759" s="149">
        <f t="shared" si="29"/>
        <v>10.181808</v>
      </c>
      <c r="Y759" s="149"/>
    </row>
    <row r="760" spans="1:25" ht="16">
      <c r="A760" s="117" t="s">
        <v>3570</v>
      </c>
      <c r="B760" s="150" t="s">
        <v>471</v>
      </c>
      <c r="C760" s="149" t="s">
        <v>1744</v>
      </c>
      <c r="D760" s="149" t="s">
        <v>3555</v>
      </c>
      <c r="E760" s="149" t="s">
        <v>463</v>
      </c>
      <c r="F760" s="149">
        <v>-25.754722220000001</v>
      </c>
      <c r="G760" s="149">
        <v>135.26305556</v>
      </c>
      <c r="H760" s="149">
        <v>202</v>
      </c>
      <c r="I760" s="151">
        <v>42815</v>
      </c>
      <c r="J760" s="149" t="s">
        <v>36</v>
      </c>
      <c r="K760" s="149" t="s">
        <v>419</v>
      </c>
      <c r="L760" s="149" t="s">
        <v>2569</v>
      </c>
      <c r="M760" s="149" t="s">
        <v>2570</v>
      </c>
      <c r="N760" s="149" t="s">
        <v>2571</v>
      </c>
      <c r="O760" s="149" t="s">
        <v>2369</v>
      </c>
      <c r="P760" s="149" t="s">
        <v>3556</v>
      </c>
      <c r="Q760" s="149" t="s">
        <v>2398</v>
      </c>
      <c r="R760" s="149" t="s">
        <v>2713</v>
      </c>
      <c r="S760" s="149">
        <f t="shared" si="28"/>
        <v>8.4099999999999994E-2</v>
      </c>
      <c r="T760" s="140">
        <v>3.8671999999999998E-2</v>
      </c>
      <c r="U760" s="157">
        <v>4.5427999999999996E-2</v>
      </c>
      <c r="V760" s="157">
        <v>6.51</v>
      </c>
      <c r="W760" s="157">
        <v>22.013000000000002</v>
      </c>
      <c r="X760" s="149">
        <f t="shared" si="29"/>
        <v>143.30463</v>
      </c>
      <c r="Y760" s="149"/>
    </row>
    <row r="761" spans="1:25" ht="16">
      <c r="A761" s="117" t="s">
        <v>3570</v>
      </c>
      <c r="B761" s="150" t="s">
        <v>832</v>
      </c>
      <c r="C761" s="149" t="s">
        <v>1744</v>
      </c>
      <c r="D761" s="149" t="s">
        <v>3555</v>
      </c>
      <c r="E761" s="149" t="s">
        <v>830</v>
      </c>
      <c r="F761" s="149">
        <v>-25.6175</v>
      </c>
      <c r="G761" s="149">
        <v>134.92277777999999</v>
      </c>
      <c r="H761" s="149">
        <v>205</v>
      </c>
      <c r="I761" s="151">
        <v>42812</v>
      </c>
      <c r="J761" s="149" t="s">
        <v>36</v>
      </c>
      <c r="K761" s="149" t="s">
        <v>419</v>
      </c>
      <c r="L761" s="140" t="s">
        <v>2572</v>
      </c>
      <c r="M761" s="140" t="s">
        <v>2407</v>
      </c>
      <c r="N761" s="140" t="s">
        <v>36</v>
      </c>
      <c r="O761" s="140" t="s">
        <v>2215</v>
      </c>
      <c r="P761" s="140" t="s">
        <v>2215</v>
      </c>
      <c r="Q761" s="140" t="s">
        <v>2702</v>
      </c>
      <c r="R761" s="140" t="s">
        <v>2713</v>
      </c>
      <c r="S761" s="149">
        <f t="shared" si="28"/>
        <v>1.1999999999999999E-3</v>
      </c>
      <c r="T761" s="149">
        <v>0</v>
      </c>
      <c r="U761" s="157">
        <v>1.1999999999999999E-3</v>
      </c>
      <c r="V761" s="157">
        <v>1.552</v>
      </c>
      <c r="W761" s="157">
        <v>8.7119999999999997</v>
      </c>
      <c r="X761" s="149">
        <f t="shared" si="29"/>
        <v>13.521024000000001</v>
      </c>
      <c r="Y761" s="149"/>
    </row>
    <row r="762" spans="1:25" ht="16">
      <c r="A762" s="117" t="s">
        <v>3570</v>
      </c>
      <c r="B762" s="150" t="s">
        <v>834</v>
      </c>
      <c r="C762" s="149" t="s">
        <v>1744</v>
      </c>
      <c r="D762" s="149" t="s">
        <v>3555</v>
      </c>
      <c r="E762" s="149" t="s">
        <v>830</v>
      </c>
      <c r="F762" s="149">
        <v>-25.6175</v>
      </c>
      <c r="G762" s="149">
        <v>134.92277777999999</v>
      </c>
      <c r="H762" s="149">
        <v>205</v>
      </c>
      <c r="I762" s="151">
        <v>42812</v>
      </c>
      <c r="J762" s="149" t="s">
        <v>36</v>
      </c>
      <c r="K762" s="149" t="s">
        <v>419</v>
      </c>
      <c r="L762" s="140" t="s">
        <v>2572</v>
      </c>
      <c r="M762" s="140" t="s">
        <v>2407</v>
      </c>
      <c r="N762" s="140" t="s">
        <v>36</v>
      </c>
      <c r="O762" s="140" t="s">
        <v>2215</v>
      </c>
      <c r="P762" s="140" t="s">
        <v>2215</v>
      </c>
      <c r="Q762" s="140" t="s">
        <v>2702</v>
      </c>
      <c r="R762" s="140" t="s">
        <v>2713</v>
      </c>
      <c r="S762" s="149">
        <f t="shared" si="28"/>
        <v>8.0000000000000004E-4</v>
      </c>
      <c r="T762" s="149">
        <v>0</v>
      </c>
      <c r="U762" s="157">
        <v>8.0000000000000004E-4</v>
      </c>
      <c r="V762" s="157">
        <v>1.325</v>
      </c>
      <c r="W762" s="157">
        <v>6.68</v>
      </c>
      <c r="X762" s="149">
        <f t="shared" si="29"/>
        <v>8.8509999999999991</v>
      </c>
      <c r="Y762" s="149"/>
    </row>
    <row r="763" spans="1:25" ht="16">
      <c r="A763" s="117" t="s">
        <v>3570</v>
      </c>
      <c r="B763" s="150" t="s">
        <v>835</v>
      </c>
      <c r="C763" s="149" t="s">
        <v>1744</v>
      </c>
      <c r="D763" s="149" t="s">
        <v>3555</v>
      </c>
      <c r="E763" s="149" t="s">
        <v>830</v>
      </c>
      <c r="F763" s="149">
        <v>-25.6175</v>
      </c>
      <c r="G763" s="149">
        <v>134.92277777999999</v>
      </c>
      <c r="H763" s="149">
        <v>205</v>
      </c>
      <c r="I763" s="151">
        <v>42812</v>
      </c>
      <c r="J763" s="149" t="s">
        <v>36</v>
      </c>
      <c r="K763" s="149" t="s">
        <v>419</v>
      </c>
      <c r="L763" s="140" t="s">
        <v>2572</v>
      </c>
      <c r="M763" s="140" t="s">
        <v>2407</v>
      </c>
      <c r="N763" s="140" t="s">
        <v>36</v>
      </c>
      <c r="O763" s="140" t="s">
        <v>2215</v>
      </c>
      <c r="P763" s="140" t="s">
        <v>2215</v>
      </c>
      <c r="Q763" s="140" t="s">
        <v>2702</v>
      </c>
      <c r="R763" s="140" t="s">
        <v>2713</v>
      </c>
      <c r="S763" s="149">
        <f t="shared" si="28"/>
        <v>8.9999999999999998E-4</v>
      </c>
      <c r="T763" s="149">
        <v>0</v>
      </c>
      <c r="U763" s="157">
        <v>8.9999999999999998E-4</v>
      </c>
      <c r="V763" s="157">
        <v>1.3740000000000001</v>
      </c>
      <c r="W763" s="157">
        <v>7.0609999999999999</v>
      </c>
      <c r="X763" s="149">
        <f t="shared" si="29"/>
        <v>9.7018140000000006</v>
      </c>
      <c r="Y763" s="149"/>
    </row>
    <row r="764" spans="1:25" ht="16">
      <c r="A764" s="117" t="s">
        <v>3570</v>
      </c>
      <c r="B764" s="150" t="s">
        <v>836</v>
      </c>
      <c r="C764" s="149" t="s">
        <v>1744</v>
      </c>
      <c r="D764" s="149" t="s">
        <v>3555</v>
      </c>
      <c r="E764" s="149" t="s">
        <v>830</v>
      </c>
      <c r="F764" s="149">
        <v>-25.6175</v>
      </c>
      <c r="G764" s="149">
        <v>134.92277777999999</v>
      </c>
      <c r="H764" s="149">
        <v>205</v>
      </c>
      <c r="I764" s="151">
        <v>42812</v>
      </c>
      <c r="J764" s="149" t="s">
        <v>36</v>
      </c>
      <c r="K764" s="149" t="s">
        <v>419</v>
      </c>
      <c r="L764" s="140" t="s">
        <v>2572</v>
      </c>
      <c r="M764" s="140" t="s">
        <v>2407</v>
      </c>
      <c r="N764" s="140" t="s">
        <v>36</v>
      </c>
      <c r="O764" s="140" t="s">
        <v>2215</v>
      </c>
      <c r="P764" s="140" t="s">
        <v>2215</v>
      </c>
      <c r="Q764" s="140" t="s">
        <v>2702</v>
      </c>
      <c r="R764" s="140" t="s">
        <v>2713</v>
      </c>
      <c r="S764" s="149">
        <f t="shared" si="28"/>
        <v>5.0000000000000001E-4</v>
      </c>
      <c r="T764" s="149">
        <v>0</v>
      </c>
      <c r="U764" s="157">
        <v>5.0000000000000001E-4</v>
      </c>
      <c r="V764" s="157">
        <v>1.246</v>
      </c>
      <c r="W764" s="157">
        <v>5.3259999999999996</v>
      </c>
      <c r="X764" s="149">
        <f t="shared" si="29"/>
        <v>6.6361959999999991</v>
      </c>
      <c r="Y764" s="149"/>
    </row>
    <row r="765" spans="1:25" ht="16">
      <c r="A765" s="117" t="s">
        <v>3570</v>
      </c>
      <c r="B765" s="150" t="s">
        <v>837</v>
      </c>
      <c r="C765" s="149" t="s">
        <v>1744</v>
      </c>
      <c r="D765" s="149" t="s">
        <v>3555</v>
      </c>
      <c r="E765" s="149" t="s">
        <v>830</v>
      </c>
      <c r="F765" s="149">
        <v>-25.6175</v>
      </c>
      <c r="G765" s="149">
        <v>134.92277777999999</v>
      </c>
      <c r="H765" s="149">
        <v>205</v>
      </c>
      <c r="I765" s="151">
        <v>42812</v>
      </c>
      <c r="J765" s="149" t="s">
        <v>36</v>
      </c>
      <c r="K765" s="149" t="s">
        <v>419</v>
      </c>
      <c r="L765" s="140" t="s">
        <v>2572</v>
      </c>
      <c r="M765" s="140" t="s">
        <v>2407</v>
      </c>
      <c r="N765" s="140" t="s">
        <v>36</v>
      </c>
      <c r="O765" s="140" t="s">
        <v>2215</v>
      </c>
      <c r="P765" s="140" t="s">
        <v>2215</v>
      </c>
      <c r="Q765" s="140" t="s">
        <v>2702</v>
      </c>
      <c r="R765" s="140" t="s">
        <v>2713</v>
      </c>
      <c r="S765" s="149">
        <f t="shared" si="28"/>
        <v>5.0000000000000001E-4</v>
      </c>
      <c r="T765" s="149">
        <v>0</v>
      </c>
      <c r="U765" s="157">
        <v>5.0000000000000001E-4</v>
      </c>
      <c r="V765" s="157">
        <v>1.325</v>
      </c>
      <c r="W765" s="157">
        <v>6.7549999999999999</v>
      </c>
      <c r="X765" s="149">
        <f t="shared" si="29"/>
        <v>8.9503749999999993</v>
      </c>
      <c r="Y765" s="149"/>
    </row>
    <row r="766" spans="1:25" ht="16">
      <c r="A766" s="117" t="s">
        <v>3570</v>
      </c>
      <c r="B766" s="150" t="s">
        <v>838</v>
      </c>
      <c r="C766" s="149" t="s">
        <v>1744</v>
      </c>
      <c r="D766" s="149" t="s">
        <v>3555</v>
      </c>
      <c r="E766" s="149" t="s">
        <v>830</v>
      </c>
      <c r="F766" s="149">
        <v>-25.6175</v>
      </c>
      <c r="G766" s="149">
        <v>134.92277777999999</v>
      </c>
      <c r="H766" s="149">
        <v>205</v>
      </c>
      <c r="I766" s="151">
        <v>42812</v>
      </c>
      <c r="J766" s="149" t="s">
        <v>36</v>
      </c>
      <c r="K766" s="149" t="s">
        <v>419</v>
      </c>
      <c r="L766" s="140" t="s">
        <v>2572</v>
      </c>
      <c r="M766" s="140" t="s">
        <v>2407</v>
      </c>
      <c r="N766" s="140" t="s">
        <v>36</v>
      </c>
      <c r="O766" s="140" t="s">
        <v>2215</v>
      </c>
      <c r="P766" s="140" t="s">
        <v>2215</v>
      </c>
      <c r="Q766" s="140" t="s">
        <v>2702</v>
      </c>
      <c r="R766" s="140" t="s">
        <v>2713</v>
      </c>
      <c r="S766" s="149">
        <f t="shared" si="28"/>
        <v>8.9999999999999998E-4</v>
      </c>
      <c r="T766" s="149">
        <v>0</v>
      </c>
      <c r="U766" s="157">
        <v>8.9999999999999998E-4</v>
      </c>
      <c r="V766" s="157">
        <v>1.4259999999999999</v>
      </c>
      <c r="W766" s="157">
        <v>6.6440000000000001</v>
      </c>
      <c r="X766" s="149">
        <f t="shared" si="29"/>
        <v>9.4743440000000003</v>
      </c>
      <c r="Y766" s="149"/>
    </row>
    <row r="767" spans="1:25" ht="16">
      <c r="A767" s="117" t="s">
        <v>3570</v>
      </c>
      <c r="B767" s="150" t="s">
        <v>839</v>
      </c>
      <c r="C767" s="149" t="s">
        <v>1744</v>
      </c>
      <c r="D767" s="149" t="s">
        <v>3555</v>
      </c>
      <c r="E767" s="149" t="s">
        <v>830</v>
      </c>
      <c r="F767" s="149">
        <v>-25.6175</v>
      </c>
      <c r="G767" s="149">
        <v>134.92277777999999</v>
      </c>
      <c r="H767" s="149">
        <v>205</v>
      </c>
      <c r="I767" s="151">
        <v>42812</v>
      </c>
      <c r="J767" s="149" t="s">
        <v>36</v>
      </c>
      <c r="K767" s="149" t="s">
        <v>419</v>
      </c>
      <c r="L767" s="140" t="s">
        <v>2572</v>
      </c>
      <c r="M767" s="140" t="s">
        <v>2407</v>
      </c>
      <c r="N767" s="140" t="s">
        <v>36</v>
      </c>
      <c r="O767" s="140" t="s">
        <v>2215</v>
      </c>
      <c r="P767" s="140" t="s">
        <v>2215</v>
      </c>
      <c r="Q767" s="140" t="s">
        <v>2702</v>
      </c>
      <c r="R767" s="140" t="s">
        <v>2713</v>
      </c>
      <c r="S767" s="149">
        <f t="shared" si="28"/>
        <v>5.9999999999999995E-4</v>
      </c>
      <c r="T767" s="149">
        <v>0</v>
      </c>
      <c r="U767" s="157">
        <v>5.9999999999999995E-4</v>
      </c>
      <c r="V767" s="157">
        <v>1.2649999999999999</v>
      </c>
      <c r="W767" s="157">
        <v>6.6749999999999998</v>
      </c>
      <c r="X767" s="149">
        <f t="shared" si="29"/>
        <v>8.4438749999999985</v>
      </c>
      <c r="Y767" s="149"/>
    </row>
    <row r="768" spans="1:25" ht="16">
      <c r="A768" s="117" t="s">
        <v>3570</v>
      </c>
      <c r="B768" s="150" t="s">
        <v>840</v>
      </c>
      <c r="C768" s="149" t="s">
        <v>1744</v>
      </c>
      <c r="D768" s="149" t="s">
        <v>3555</v>
      </c>
      <c r="E768" s="149" t="s">
        <v>830</v>
      </c>
      <c r="F768" s="149">
        <v>-25.6175</v>
      </c>
      <c r="G768" s="149">
        <v>134.92277777999999</v>
      </c>
      <c r="H768" s="149">
        <v>205</v>
      </c>
      <c r="I768" s="151">
        <v>42812</v>
      </c>
      <c r="J768" s="149" t="s">
        <v>36</v>
      </c>
      <c r="K768" s="149" t="s">
        <v>419</v>
      </c>
      <c r="L768" s="155" t="s">
        <v>2566</v>
      </c>
      <c r="M768" s="155" t="s">
        <v>2567</v>
      </c>
      <c r="N768" s="155" t="s">
        <v>2668</v>
      </c>
      <c r="O768" s="155" t="s">
        <v>2105</v>
      </c>
      <c r="P768" s="140" t="s">
        <v>2105</v>
      </c>
      <c r="Q768" s="140" t="s">
        <v>2387</v>
      </c>
      <c r="R768" s="155" t="s">
        <v>2713</v>
      </c>
      <c r="S768" s="149">
        <f t="shared" si="28"/>
        <v>1.1999999999999999E-3</v>
      </c>
      <c r="T768" s="149">
        <v>0</v>
      </c>
      <c r="U768" s="157">
        <v>1.1999999999999999E-3</v>
      </c>
      <c r="V768" s="157">
        <v>1.748</v>
      </c>
      <c r="W768" s="157">
        <v>6.4539999999999997</v>
      </c>
      <c r="X768" s="149">
        <f t="shared" si="29"/>
        <v>11.281592</v>
      </c>
      <c r="Y768" s="149"/>
    </row>
    <row r="769" spans="1:25" ht="16">
      <c r="A769" s="117" t="s">
        <v>3570</v>
      </c>
      <c r="B769" s="150" t="s">
        <v>841</v>
      </c>
      <c r="C769" s="149" t="s">
        <v>1744</v>
      </c>
      <c r="D769" s="149" t="s">
        <v>3555</v>
      </c>
      <c r="E769" s="149" t="s">
        <v>830</v>
      </c>
      <c r="F769" s="149">
        <v>-25.6175</v>
      </c>
      <c r="G769" s="149">
        <v>134.92277777999999</v>
      </c>
      <c r="H769" s="149">
        <v>205</v>
      </c>
      <c r="I769" s="151">
        <v>42812</v>
      </c>
      <c r="J769" s="149" t="s">
        <v>36</v>
      </c>
      <c r="K769" s="149" t="s">
        <v>419</v>
      </c>
      <c r="L769" s="140" t="s">
        <v>2572</v>
      </c>
      <c r="M769" s="140" t="s">
        <v>2407</v>
      </c>
      <c r="N769" s="140" t="s">
        <v>36</v>
      </c>
      <c r="O769" s="140" t="s">
        <v>2215</v>
      </c>
      <c r="P769" s="140" t="s">
        <v>2215</v>
      </c>
      <c r="Q769" s="140" t="s">
        <v>2702</v>
      </c>
      <c r="R769" s="140" t="s">
        <v>2713</v>
      </c>
      <c r="S769" s="149">
        <f t="shared" si="28"/>
        <v>5.0000000000000001E-4</v>
      </c>
      <c r="T769" s="149">
        <v>0</v>
      </c>
      <c r="U769" s="157">
        <v>5.0000000000000001E-4</v>
      </c>
      <c r="V769" s="157">
        <v>1.421</v>
      </c>
      <c r="W769" s="157">
        <v>6.9939999999999998</v>
      </c>
      <c r="X769" s="149">
        <f t="shared" si="29"/>
        <v>9.9384739999999994</v>
      </c>
      <c r="Y769" s="149"/>
    </row>
    <row r="770" spans="1:25" ht="16">
      <c r="A770" s="117" t="s">
        <v>3570</v>
      </c>
      <c r="B770" s="150" t="s">
        <v>472</v>
      </c>
      <c r="C770" s="149" t="s">
        <v>1744</v>
      </c>
      <c r="D770" s="149" t="s">
        <v>3555</v>
      </c>
      <c r="E770" s="149" t="s">
        <v>418</v>
      </c>
      <c r="F770" s="149">
        <v>-26.284722200000001</v>
      </c>
      <c r="G770" s="149">
        <v>136.09805556000001</v>
      </c>
      <c r="H770" s="149">
        <v>201</v>
      </c>
      <c r="I770" s="151">
        <v>42816</v>
      </c>
      <c r="J770" s="149" t="s">
        <v>36</v>
      </c>
      <c r="K770" s="149" t="s">
        <v>419</v>
      </c>
      <c r="L770" s="140" t="s">
        <v>2566</v>
      </c>
      <c r="M770" s="140" t="s">
        <v>2574</v>
      </c>
      <c r="N770" s="140" t="s">
        <v>3191</v>
      </c>
      <c r="O770" s="149" t="s">
        <v>2111</v>
      </c>
      <c r="P770" s="149" t="s">
        <v>2739</v>
      </c>
      <c r="Q770" s="140" t="s">
        <v>2703</v>
      </c>
      <c r="R770" s="140" t="s">
        <v>2713</v>
      </c>
      <c r="S770" s="149">
        <f t="shared" si="28"/>
        <v>4.8800000000000003E-2</v>
      </c>
      <c r="T770" s="140">
        <v>3.8671999999999998E-2</v>
      </c>
      <c r="U770" s="157">
        <v>1.0128000000000005E-2</v>
      </c>
      <c r="V770" s="157">
        <v>3.1019999999999999</v>
      </c>
      <c r="W770" s="157">
        <v>13.387</v>
      </c>
      <c r="X770" s="149">
        <f t="shared" si="29"/>
        <v>41.526474</v>
      </c>
      <c r="Y770" s="149"/>
    </row>
    <row r="771" spans="1:25" ht="16">
      <c r="A771" s="117" t="s">
        <v>3570</v>
      </c>
      <c r="B771" s="150" t="s">
        <v>842</v>
      </c>
      <c r="C771" s="149" t="s">
        <v>1744</v>
      </c>
      <c r="D771" s="149" t="s">
        <v>3555</v>
      </c>
      <c r="E771" s="149" t="s">
        <v>830</v>
      </c>
      <c r="F771" s="149">
        <v>-25.6175</v>
      </c>
      <c r="G771" s="149">
        <v>134.92277777999999</v>
      </c>
      <c r="H771" s="149">
        <v>205</v>
      </c>
      <c r="I771" s="151">
        <v>42812</v>
      </c>
      <c r="J771" s="149" t="s">
        <v>36</v>
      </c>
      <c r="K771" s="149" t="s">
        <v>419</v>
      </c>
      <c r="L771" s="140" t="s">
        <v>2572</v>
      </c>
      <c r="M771" s="140" t="s">
        <v>2407</v>
      </c>
      <c r="N771" s="140" t="s">
        <v>36</v>
      </c>
      <c r="O771" s="140" t="s">
        <v>2215</v>
      </c>
      <c r="P771" s="140" t="s">
        <v>2215</v>
      </c>
      <c r="Q771" s="140" t="s">
        <v>2702</v>
      </c>
      <c r="R771" s="140" t="s">
        <v>2712</v>
      </c>
      <c r="S771" s="149">
        <f t="shared" si="28"/>
        <v>6.9999999999999999E-4</v>
      </c>
      <c r="T771" s="149">
        <v>0</v>
      </c>
      <c r="U771" s="157">
        <v>6.9999999999999999E-4</v>
      </c>
      <c r="V771" s="157">
        <v>1.3240000000000001</v>
      </c>
      <c r="W771" s="157">
        <v>5.6189999999999998</v>
      </c>
      <c r="X771" s="149">
        <f t="shared" si="29"/>
        <v>7.4395560000000005</v>
      </c>
      <c r="Y771" s="149"/>
    </row>
    <row r="772" spans="1:25" ht="16">
      <c r="A772" s="117" t="s">
        <v>3570</v>
      </c>
      <c r="B772" s="150" t="s">
        <v>843</v>
      </c>
      <c r="C772" s="149" t="s">
        <v>1744</v>
      </c>
      <c r="D772" s="149" t="s">
        <v>3555</v>
      </c>
      <c r="E772" s="149" t="s">
        <v>830</v>
      </c>
      <c r="F772" s="149">
        <v>-25.6175</v>
      </c>
      <c r="G772" s="149">
        <v>134.92277777999999</v>
      </c>
      <c r="H772" s="149">
        <v>205</v>
      </c>
      <c r="I772" s="151">
        <v>42812</v>
      </c>
      <c r="J772" s="149" t="s">
        <v>36</v>
      </c>
      <c r="K772" s="149" t="s">
        <v>419</v>
      </c>
      <c r="L772" s="140" t="s">
        <v>2572</v>
      </c>
      <c r="M772" s="140" t="s">
        <v>2407</v>
      </c>
      <c r="N772" s="140" t="s">
        <v>36</v>
      </c>
      <c r="O772" s="140" t="s">
        <v>2215</v>
      </c>
      <c r="P772" s="140" t="s">
        <v>2215</v>
      </c>
      <c r="Q772" s="140" t="s">
        <v>2702</v>
      </c>
      <c r="R772" s="140" t="s">
        <v>2713</v>
      </c>
      <c r="S772" s="149">
        <f t="shared" si="28"/>
        <v>1.1999999999999999E-3</v>
      </c>
      <c r="T772" s="149">
        <v>0</v>
      </c>
      <c r="U772" s="157">
        <v>1.1999999999999999E-3</v>
      </c>
      <c r="V772" s="157">
        <v>1.5820000000000001</v>
      </c>
      <c r="W772" s="157">
        <v>7.85</v>
      </c>
      <c r="X772" s="149">
        <f t="shared" si="29"/>
        <v>12.418699999999999</v>
      </c>
      <c r="Y772" s="149"/>
    </row>
    <row r="773" spans="1:25" ht="16">
      <c r="A773" s="117" t="s">
        <v>3570</v>
      </c>
      <c r="B773" s="150" t="s">
        <v>844</v>
      </c>
      <c r="C773" s="149" t="s">
        <v>1744</v>
      </c>
      <c r="D773" s="149" t="s">
        <v>3555</v>
      </c>
      <c r="E773" s="149" t="s">
        <v>830</v>
      </c>
      <c r="F773" s="149">
        <v>-25.6175</v>
      </c>
      <c r="G773" s="149">
        <v>134.92277777999999</v>
      </c>
      <c r="H773" s="149">
        <v>205</v>
      </c>
      <c r="I773" s="151">
        <v>42812</v>
      </c>
      <c r="J773" s="149" t="s">
        <v>36</v>
      </c>
      <c r="K773" s="149" t="s">
        <v>419</v>
      </c>
      <c r="L773" s="140" t="s">
        <v>2572</v>
      </c>
      <c r="M773" s="140" t="s">
        <v>2407</v>
      </c>
      <c r="N773" s="140" t="s">
        <v>36</v>
      </c>
      <c r="O773" s="140" t="s">
        <v>2215</v>
      </c>
      <c r="P773" s="140" t="s">
        <v>2215</v>
      </c>
      <c r="Q773" s="140" t="s">
        <v>2702</v>
      </c>
      <c r="R773" s="140" t="s">
        <v>2713</v>
      </c>
      <c r="S773" s="149">
        <f t="shared" si="28"/>
        <v>5.0000000000000001E-4</v>
      </c>
      <c r="T773" s="149">
        <v>0</v>
      </c>
      <c r="U773" s="157">
        <v>5.0000000000000001E-4</v>
      </c>
      <c r="V773" s="157">
        <v>1.4379999999999999</v>
      </c>
      <c r="W773" s="157">
        <v>7.593</v>
      </c>
      <c r="X773" s="149">
        <f t="shared" si="29"/>
        <v>10.918733999999999</v>
      </c>
      <c r="Y773" s="149"/>
    </row>
    <row r="774" spans="1:25" ht="16">
      <c r="A774" s="117" t="s">
        <v>3570</v>
      </c>
      <c r="B774" s="150" t="s">
        <v>846</v>
      </c>
      <c r="C774" s="149" t="s">
        <v>1744</v>
      </c>
      <c r="D774" s="149" t="s">
        <v>3555</v>
      </c>
      <c r="E774" s="149" t="s">
        <v>830</v>
      </c>
      <c r="F774" s="149">
        <v>-25.6175</v>
      </c>
      <c r="G774" s="149">
        <v>134.92277777999999</v>
      </c>
      <c r="H774" s="149">
        <v>205</v>
      </c>
      <c r="I774" s="151">
        <v>42812</v>
      </c>
      <c r="J774" s="149" t="s">
        <v>36</v>
      </c>
      <c r="K774" s="149" t="s">
        <v>419</v>
      </c>
      <c r="L774" s="140" t="s">
        <v>2572</v>
      </c>
      <c r="M774" s="140" t="s">
        <v>2407</v>
      </c>
      <c r="N774" s="140" t="s">
        <v>36</v>
      </c>
      <c r="O774" s="140" t="s">
        <v>2215</v>
      </c>
      <c r="P774" s="140" t="s">
        <v>2215</v>
      </c>
      <c r="Q774" s="140" t="s">
        <v>2702</v>
      </c>
      <c r="R774" s="140" t="s">
        <v>2713</v>
      </c>
      <c r="S774" s="149">
        <f t="shared" si="28"/>
        <v>1E-3</v>
      </c>
      <c r="T774" s="149">
        <v>0</v>
      </c>
      <c r="U774" s="157">
        <v>1E-3</v>
      </c>
      <c r="V774" s="157">
        <v>1.3069999999999999</v>
      </c>
      <c r="W774" s="157">
        <v>6.718</v>
      </c>
      <c r="X774" s="149">
        <f t="shared" si="29"/>
        <v>8.7804260000000003</v>
      </c>
      <c r="Y774" s="149"/>
    </row>
    <row r="775" spans="1:25" ht="16">
      <c r="A775" s="117" t="s">
        <v>3570</v>
      </c>
      <c r="B775" s="150" t="s">
        <v>847</v>
      </c>
      <c r="C775" s="149" t="s">
        <v>1744</v>
      </c>
      <c r="D775" s="149" t="s">
        <v>3555</v>
      </c>
      <c r="E775" s="149" t="s">
        <v>830</v>
      </c>
      <c r="F775" s="149">
        <v>-25.6175</v>
      </c>
      <c r="G775" s="149">
        <v>134.92277777999999</v>
      </c>
      <c r="H775" s="149">
        <v>205</v>
      </c>
      <c r="I775" s="151">
        <v>42812</v>
      </c>
      <c r="J775" s="149" t="s">
        <v>36</v>
      </c>
      <c r="K775" s="149" t="s">
        <v>419</v>
      </c>
      <c r="L775" s="140" t="s">
        <v>2572</v>
      </c>
      <c r="M775" s="140" t="s">
        <v>2407</v>
      </c>
      <c r="N775" s="140" t="s">
        <v>36</v>
      </c>
      <c r="O775" s="140" t="s">
        <v>2215</v>
      </c>
      <c r="P775" s="140" t="s">
        <v>2215</v>
      </c>
      <c r="Q775" s="140" t="s">
        <v>2702</v>
      </c>
      <c r="R775" s="140" t="s">
        <v>2712</v>
      </c>
      <c r="S775" s="149">
        <f t="shared" si="28"/>
        <v>5.0000000000000001E-4</v>
      </c>
      <c r="T775" s="149">
        <v>0</v>
      </c>
      <c r="U775" s="157">
        <v>5.0000000000000001E-4</v>
      </c>
      <c r="V775" s="157">
        <v>1.23</v>
      </c>
      <c r="W775" s="157">
        <v>6.4210000000000003</v>
      </c>
      <c r="X775" s="149">
        <f t="shared" si="29"/>
        <v>7.8978299999999999</v>
      </c>
      <c r="Y775" s="149"/>
    </row>
    <row r="776" spans="1:25" ht="16">
      <c r="A776" s="117" t="s">
        <v>3570</v>
      </c>
      <c r="B776" s="150" t="s">
        <v>848</v>
      </c>
      <c r="C776" s="149" t="s">
        <v>1744</v>
      </c>
      <c r="D776" s="149" t="s">
        <v>3555</v>
      </c>
      <c r="E776" s="149" t="s">
        <v>830</v>
      </c>
      <c r="F776" s="149">
        <v>-25.6175</v>
      </c>
      <c r="G776" s="149">
        <v>134.92277777999999</v>
      </c>
      <c r="H776" s="149">
        <v>205</v>
      </c>
      <c r="I776" s="151">
        <v>42812</v>
      </c>
      <c r="J776" s="149" t="s">
        <v>36</v>
      </c>
      <c r="K776" s="149" t="s">
        <v>419</v>
      </c>
      <c r="L776" s="140" t="s">
        <v>2572</v>
      </c>
      <c r="M776" s="140" t="s">
        <v>2407</v>
      </c>
      <c r="N776" s="140" t="s">
        <v>36</v>
      </c>
      <c r="O776" s="140" t="s">
        <v>2215</v>
      </c>
      <c r="P776" s="140" t="s">
        <v>2215</v>
      </c>
      <c r="Q776" s="140" t="s">
        <v>2702</v>
      </c>
      <c r="R776" s="140" t="s">
        <v>2713</v>
      </c>
      <c r="S776" s="149">
        <f t="shared" si="28"/>
        <v>6.9999999999999999E-4</v>
      </c>
      <c r="T776" s="149">
        <v>0</v>
      </c>
      <c r="U776" s="157">
        <v>6.9999999999999999E-4</v>
      </c>
      <c r="V776" s="157">
        <v>1.411</v>
      </c>
      <c r="W776" s="157">
        <v>6.77</v>
      </c>
      <c r="X776" s="149">
        <f t="shared" si="29"/>
        <v>9.5524699999999996</v>
      </c>
      <c r="Y776" s="149"/>
    </row>
    <row r="777" spans="1:25" ht="16">
      <c r="A777" s="117" t="s">
        <v>3570</v>
      </c>
      <c r="B777" s="150" t="s">
        <v>849</v>
      </c>
      <c r="C777" s="149" t="s">
        <v>1744</v>
      </c>
      <c r="D777" s="149" t="s">
        <v>3555</v>
      </c>
      <c r="E777" s="149" t="s">
        <v>830</v>
      </c>
      <c r="F777" s="149">
        <v>-25.6175</v>
      </c>
      <c r="G777" s="149">
        <v>134.92277777999999</v>
      </c>
      <c r="H777" s="149">
        <v>205</v>
      </c>
      <c r="I777" s="151">
        <v>42812</v>
      </c>
      <c r="J777" s="149" t="s">
        <v>36</v>
      </c>
      <c r="K777" s="149" t="s">
        <v>419</v>
      </c>
      <c r="L777" s="140" t="s">
        <v>2572</v>
      </c>
      <c r="M777" s="140" t="s">
        <v>2407</v>
      </c>
      <c r="N777" s="140" t="s">
        <v>36</v>
      </c>
      <c r="O777" s="140" t="s">
        <v>2215</v>
      </c>
      <c r="P777" s="140" t="s">
        <v>2215</v>
      </c>
      <c r="Q777" s="140" t="s">
        <v>2702</v>
      </c>
      <c r="R777" s="140" t="s">
        <v>2713</v>
      </c>
      <c r="S777" s="149">
        <f t="shared" si="28"/>
        <v>1.1000000000000001E-3</v>
      </c>
      <c r="T777" s="149">
        <v>0</v>
      </c>
      <c r="U777" s="157">
        <v>1.1000000000000001E-3</v>
      </c>
      <c r="V777" s="157">
        <v>1.383</v>
      </c>
      <c r="W777" s="157">
        <v>7.5439999999999996</v>
      </c>
      <c r="X777" s="149">
        <f t="shared" si="29"/>
        <v>10.433351999999999</v>
      </c>
      <c r="Y777" s="149"/>
    </row>
    <row r="778" spans="1:25" ht="16">
      <c r="A778" s="117" t="s">
        <v>3570</v>
      </c>
      <c r="B778" s="150" t="s">
        <v>850</v>
      </c>
      <c r="C778" s="149" t="s">
        <v>1744</v>
      </c>
      <c r="D778" s="149" t="s">
        <v>3555</v>
      </c>
      <c r="E778" s="149" t="s">
        <v>830</v>
      </c>
      <c r="F778" s="149">
        <v>-25.6175</v>
      </c>
      <c r="G778" s="149">
        <v>134.92277777999999</v>
      </c>
      <c r="H778" s="149">
        <v>205</v>
      </c>
      <c r="I778" s="151">
        <v>42812</v>
      </c>
      <c r="J778" s="149" t="s">
        <v>36</v>
      </c>
      <c r="K778" s="149" t="s">
        <v>419</v>
      </c>
      <c r="L778" s="155" t="s">
        <v>2566</v>
      </c>
      <c r="M778" s="155" t="s">
        <v>2567</v>
      </c>
      <c r="N778" s="155" t="s">
        <v>2668</v>
      </c>
      <c r="O778" s="155" t="s">
        <v>2105</v>
      </c>
      <c r="P778" s="140" t="s">
        <v>2105</v>
      </c>
      <c r="Q778" s="140" t="s">
        <v>2387</v>
      </c>
      <c r="R778" s="158" t="s">
        <v>2713</v>
      </c>
      <c r="S778" s="149">
        <f t="shared" si="28"/>
        <v>8.0000000000000004E-4</v>
      </c>
      <c r="T778" s="149">
        <v>0</v>
      </c>
      <c r="U778" s="157">
        <v>8.0000000000000004E-4</v>
      </c>
      <c r="V778" s="157">
        <v>1.6639999999999999</v>
      </c>
      <c r="W778" s="157">
        <v>7.1950000000000003</v>
      </c>
      <c r="X778" s="149">
        <f t="shared" si="29"/>
        <v>11.972479999999999</v>
      </c>
      <c r="Y778" s="149"/>
    </row>
    <row r="779" spans="1:25" ht="16">
      <c r="A779" s="117" t="s">
        <v>3570</v>
      </c>
      <c r="B779" s="150" t="s">
        <v>851</v>
      </c>
      <c r="C779" s="149" t="s">
        <v>1744</v>
      </c>
      <c r="D779" s="149" t="s">
        <v>3555</v>
      </c>
      <c r="E779" s="149" t="s">
        <v>830</v>
      </c>
      <c r="F779" s="149">
        <v>-25.6175</v>
      </c>
      <c r="G779" s="149">
        <v>134.92277777999999</v>
      </c>
      <c r="H779" s="149">
        <v>205</v>
      </c>
      <c r="I779" s="151">
        <v>42812</v>
      </c>
      <c r="J779" s="149" t="s">
        <v>36</v>
      </c>
      <c r="K779" s="149" t="s">
        <v>419</v>
      </c>
      <c r="L779" s="140" t="s">
        <v>2572</v>
      </c>
      <c r="M779" s="140" t="s">
        <v>2407</v>
      </c>
      <c r="N779" s="140" t="s">
        <v>36</v>
      </c>
      <c r="O779" s="140" t="s">
        <v>2215</v>
      </c>
      <c r="P779" s="140" t="s">
        <v>2215</v>
      </c>
      <c r="Q779" s="140" t="s">
        <v>2702</v>
      </c>
      <c r="R779" s="140" t="s">
        <v>2712</v>
      </c>
      <c r="S779" s="149">
        <f t="shared" si="28"/>
        <v>6.9999999999999999E-4</v>
      </c>
      <c r="T779" s="149">
        <v>0</v>
      </c>
      <c r="U779" s="157">
        <v>6.9999999999999999E-4</v>
      </c>
      <c r="V779" s="157">
        <v>1.339</v>
      </c>
      <c r="W779" s="157">
        <v>5.3639999999999999</v>
      </c>
      <c r="X779" s="149">
        <f t="shared" si="29"/>
        <v>7.1823959999999998</v>
      </c>
      <c r="Y779" s="149"/>
    </row>
    <row r="780" spans="1:25" ht="16">
      <c r="A780" s="117" t="s">
        <v>3570</v>
      </c>
      <c r="B780" s="150" t="s">
        <v>473</v>
      </c>
      <c r="C780" s="149" t="s">
        <v>1744</v>
      </c>
      <c r="D780" s="149" t="s">
        <v>3555</v>
      </c>
      <c r="E780" s="149" t="s">
        <v>418</v>
      </c>
      <c r="F780" s="149">
        <v>-26.284722200000001</v>
      </c>
      <c r="G780" s="149">
        <v>136.09805556000001</v>
      </c>
      <c r="H780" s="149">
        <v>201</v>
      </c>
      <c r="I780" s="151">
        <v>42816</v>
      </c>
      <c r="J780" s="149" t="s">
        <v>36</v>
      </c>
      <c r="K780" s="149" t="s">
        <v>419</v>
      </c>
      <c r="L780" s="140" t="s">
        <v>2566</v>
      </c>
      <c r="M780" s="140" t="s">
        <v>2574</v>
      </c>
      <c r="N780" s="140" t="s">
        <v>3191</v>
      </c>
      <c r="O780" s="149" t="s">
        <v>2111</v>
      </c>
      <c r="P780" s="149" t="s">
        <v>2739</v>
      </c>
      <c r="Q780" s="140" t="s">
        <v>2692</v>
      </c>
      <c r="R780" s="140" t="s">
        <v>2713</v>
      </c>
      <c r="S780" s="149">
        <f t="shared" si="28"/>
        <v>2.8999999999999998E-3</v>
      </c>
      <c r="T780" s="149">
        <v>0</v>
      </c>
      <c r="U780" s="157">
        <v>2.8999999999999998E-3</v>
      </c>
      <c r="V780" s="157">
        <v>2.0819999999999999</v>
      </c>
      <c r="W780" s="157">
        <v>9.2560000000000002</v>
      </c>
      <c r="X780" s="149">
        <f t="shared" si="29"/>
        <v>19.270992</v>
      </c>
      <c r="Y780" s="149"/>
    </row>
    <row r="781" spans="1:25" ht="16">
      <c r="A781" s="117" t="s">
        <v>3570</v>
      </c>
      <c r="B781" s="150" t="s">
        <v>852</v>
      </c>
      <c r="C781" s="149" t="s">
        <v>1744</v>
      </c>
      <c r="D781" s="149" t="s">
        <v>3555</v>
      </c>
      <c r="E781" s="149" t="s">
        <v>830</v>
      </c>
      <c r="F781" s="149">
        <v>-25.6175</v>
      </c>
      <c r="G781" s="149">
        <v>134.92277777999999</v>
      </c>
      <c r="H781" s="149">
        <v>205</v>
      </c>
      <c r="I781" s="151">
        <v>42812</v>
      </c>
      <c r="J781" s="149" t="s">
        <v>36</v>
      </c>
      <c r="K781" s="149" t="s">
        <v>419</v>
      </c>
      <c r="L781" s="140" t="s">
        <v>2572</v>
      </c>
      <c r="M781" s="140" t="s">
        <v>2407</v>
      </c>
      <c r="N781" s="140" t="s">
        <v>36</v>
      </c>
      <c r="O781" s="140" t="s">
        <v>2215</v>
      </c>
      <c r="P781" s="140" t="s">
        <v>2215</v>
      </c>
      <c r="Q781" s="140" t="s">
        <v>2702</v>
      </c>
      <c r="R781" s="140" t="s">
        <v>2713</v>
      </c>
      <c r="S781" s="149">
        <f t="shared" si="28"/>
        <v>5.0000000000000001E-4</v>
      </c>
      <c r="T781" s="149">
        <v>0</v>
      </c>
      <c r="U781" s="157">
        <v>5.0000000000000001E-4</v>
      </c>
      <c r="V781" s="157">
        <v>1.44</v>
      </c>
      <c r="W781" s="157">
        <v>6.4160000000000004</v>
      </c>
      <c r="X781" s="149">
        <f t="shared" si="29"/>
        <v>9.239040000000001</v>
      </c>
      <c r="Y781" s="149"/>
    </row>
    <row r="782" spans="1:25" ht="16">
      <c r="A782" s="117" t="s">
        <v>3570</v>
      </c>
      <c r="B782" s="150" t="s">
        <v>853</v>
      </c>
      <c r="C782" s="149" t="s">
        <v>1744</v>
      </c>
      <c r="D782" s="149" t="s">
        <v>3555</v>
      </c>
      <c r="E782" s="149" t="s">
        <v>830</v>
      </c>
      <c r="F782" s="149">
        <v>-25.6175</v>
      </c>
      <c r="G782" s="149">
        <v>134.92277777999999</v>
      </c>
      <c r="H782" s="149">
        <v>205</v>
      </c>
      <c r="I782" s="151">
        <v>42812</v>
      </c>
      <c r="J782" s="149" t="s">
        <v>36</v>
      </c>
      <c r="K782" s="149" t="s">
        <v>419</v>
      </c>
      <c r="L782" s="140" t="s">
        <v>2572</v>
      </c>
      <c r="M782" s="140" t="s">
        <v>2407</v>
      </c>
      <c r="N782" s="140" t="s">
        <v>36</v>
      </c>
      <c r="O782" s="140" t="s">
        <v>2215</v>
      </c>
      <c r="P782" s="140" t="s">
        <v>2215</v>
      </c>
      <c r="Q782" s="140" t="s">
        <v>2702</v>
      </c>
      <c r="R782" s="140" t="s">
        <v>2712</v>
      </c>
      <c r="S782" s="149">
        <f t="shared" si="28"/>
        <v>5.9999999999999995E-4</v>
      </c>
      <c r="T782" s="149">
        <v>0</v>
      </c>
      <c r="U782" s="157">
        <v>5.9999999999999995E-4</v>
      </c>
      <c r="V782" s="157">
        <v>1.425</v>
      </c>
      <c r="W782" s="157">
        <v>5.7210000000000001</v>
      </c>
      <c r="X782" s="149">
        <f t="shared" si="29"/>
        <v>8.1524250000000009</v>
      </c>
      <c r="Y782" s="149"/>
    </row>
    <row r="783" spans="1:25" ht="16">
      <c r="A783" s="117" t="s">
        <v>3570</v>
      </c>
      <c r="B783" s="150" t="s">
        <v>854</v>
      </c>
      <c r="C783" s="149" t="s">
        <v>1744</v>
      </c>
      <c r="D783" s="149" t="s">
        <v>3555</v>
      </c>
      <c r="E783" s="149" t="s">
        <v>830</v>
      </c>
      <c r="F783" s="149">
        <v>-25.6175</v>
      </c>
      <c r="G783" s="149">
        <v>134.92277777999999</v>
      </c>
      <c r="H783" s="149">
        <v>205</v>
      </c>
      <c r="I783" s="151">
        <v>42812</v>
      </c>
      <c r="J783" s="149" t="s">
        <v>36</v>
      </c>
      <c r="K783" s="149" t="s">
        <v>419</v>
      </c>
      <c r="L783" s="140" t="s">
        <v>2572</v>
      </c>
      <c r="M783" s="140" t="s">
        <v>2407</v>
      </c>
      <c r="N783" s="140" t="s">
        <v>36</v>
      </c>
      <c r="O783" s="140" t="s">
        <v>2215</v>
      </c>
      <c r="P783" s="140" t="s">
        <v>2215</v>
      </c>
      <c r="Q783" s="140" t="s">
        <v>2702</v>
      </c>
      <c r="R783" s="140" t="s">
        <v>2713</v>
      </c>
      <c r="S783" s="149">
        <f t="shared" si="28"/>
        <v>2.9999999999999997E-4</v>
      </c>
      <c r="T783" s="149">
        <v>0</v>
      </c>
      <c r="U783" s="157">
        <v>2.9999999999999997E-4</v>
      </c>
      <c r="V783" s="157">
        <v>1.337</v>
      </c>
      <c r="W783" s="157">
        <v>7.827</v>
      </c>
      <c r="X783" s="149">
        <f t="shared" si="29"/>
        <v>10.464699</v>
      </c>
      <c r="Y783" s="149"/>
    </row>
    <row r="784" spans="1:25" ht="16">
      <c r="A784" s="117" t="s">
        <v>3570</v>
      </c>
      <c r="B784" s="150" t="s">
        <v>855</v>
      </c>
      <c r="C784" s="149" t="s">
        <v>1744</v>
      </c>
      <c r="D784" s="149" t="s">
        <v>3555</v>
      </c>
      <c r="E784" s="149" t="s">
        <v>830</v>
      </c>
      <c r="F784" s="149">
        <v>-25.6175</v>
      </c>
      <c r="G784" s="149">
        <v>134.92277777999999</v>
      </c>
      <c r="H784" s="149">
        <v>205</v>
      </c>
      <c r="I784" s="151">
        <v>42812</v>
      </c>
      <c r="J784" s="149" t="s">
        <v>36</v>
      </c>
      <c r="K784" s="149" t="s">
        <v>419</v>
      </c>
      <c r="L784" s="140" t="s">
        <v>2572</v>
      </c>
      <c r="M784" s="140" t="s">
        <v>2407</v>
      </c>
      <c r="N784" s="140" t="s">
        <v>36</v>
      </c>
      <c r="O784" s="140" t="s">
        <v>2215</v>
      </c>
      <c r="P784" s="140" t="s">
        <v>2215</v>
      </c>
      <c r="Q784" s="140" t="s">
        <v>2702</v>
      </c>
      <c r="R784" s="140" t="s">
        <v>2713</v>
      </c>
      <c r="S784" s="149">
        <f t="shared" si="28"/>
        <v>8.9999999999999998E-4</v>
      </c>
      <c r="T784" s="149">
        <v>0</v>
      </c>
      <c r="U784" s="157">
        <v>8.9999999999999998E-4</v>
      </c>
      <c r="V784" s="157">
        <v>1.5509999999999999</v>
      </c>
      <c r="W784" s="157">
        <v>8.23</v>
      </c>
      <c r="X784" s="149">
        <f t="shared" si="29"/>
        <v>12.76473</v>
      </c>
      <c r="Y784" s="149"/>
    </row>
    <row r="785" spans="1:25" ht="16">
      <c r="A785" s="117" t="s">
        <v>3570</v>
      </c>
      <c r="B785" s="150" t="s">
        <v>856</v>
      </c>
      <c r="C785" s="149" t="s">
        <v>1744</v>
      </c>
      <c r="D785" s="149" t="s">
        <v>3555</v>
      </c>
      <c r="E785" s="149" t="s">
        <v>830</v>
      </c>
      <c r="F785" s="149">
        <v>-25.6175</v>
      </c>
      <c r="G785" s="149">
        <v>134.92277777999999</v>
      </c>
      <c r="H785" s="149">
        <v>205</v>
      </c>
      <c r="I785" s="151">
        <v>42812</v>
      </c>
      <c r="J785" s="149" t="s">
        <v>36</v>
      </c>
      <c r="K785" s="149" t="s">
        <v>419</v>
      </c>
      <c r="L785" s="140" t="s">
        <v>2572</v>
      </c>
      <c r="M785" s="140" t="s">
        <v>2407</v>
      </c>
      <c r="N785" s="140" t="s">
        <v>36</v>
      </c>
      <c r="O785" s="140" t="s">
        <v>2215</v>
      </c>
      <c r="P785" s="140" t="s">
        <v>2215</v>
      </c>
      <c r="Q785" s="140" t="s">
        <v>2702</v>
      </c>
      <c r="R785" s="140" t="s">
        <v>2712</v>
      </c>
      <c r="S785" s="149">
        <f t="shared" si="28"/>
        <v>5.0000000000000001E-4</v>
      </c>
      <c r="T785" s="149">
        <v>0</v>
      </c>
      <c r="U785" s="157">
        <v>5.0000000000000001E-4</v>
      </c>
      <c r="V785" s="157">
        <v>1.4139999999999999</v>
      </c>
      <c r="W785" s="157">
        <v>5.4480000000000004</v>
      </c>
      <c r="X785" s="149">
        <f t="shared" si="29"/>
        <v>7.7034720000000005</v>
      </c>
      <c r="Y785" s="149"/>
    </row>
    <row r="786" spans="1:25" ht="16">
      <c r="A786" s="117" t="s">
        <v>3570</v>
      </c>
      <c r="B786" s="150" t="s">
        <v>857</v>
      </c>
      <c r="C786" s="149" t="s">
        <v>1744</v>
      </c>
      <c r="D786" s="149" t="s">
        <v>3555</v>
      </c>
      <c r="E786" s="149" t="s">
        <v>830</v>
      </c>
      <c r="F786" s="149">
        <v>-25.6175</v>
      </c>
      <c r="G786" s="149">
        <v>134.92277777999999</v>
      </c>
      <c r="H786" s="149">
        <v>205</v>
      </c>
      <c r="I786" s="151">
        <v>42812</v>
      </c>
      <c r="J786" s="149" t="s">
        <v>36</v>
      </c>
      <c r="K786" s="149" t="s">
        <v>419</v>
      </c>
      <c r="L786" s="140" t="s">
        <v>2572</v>
      </c>
      <c r="M786" s="140" t="s">
        <v>2407</v>
      </c>
      <c r="N786" s="140" t="s">
        <v>36</v>
      </c>
      <c r="O786" s="140" t="s">
        <v>2215</v>
      </c>
      <c r="P786" s="140" t="s">
        <v>2215</v>
      </c>
      <c r="Q786" s="140" t="s">
        <v>2702</v>
      </c>
      <c r="R786" s="140" t="s">
        <v>2713</v>
      </c>
      <c r="S786" s="149">
        <f t="shared" si="28"/>
        <v>1E-3</v>
      </c>
      <c r="T786" s="149">
        <v>0</v>
      </c>
      <c r="U786" s="157">
        <v>1E-3</v>
      </c>
      <c r="V786" s="157">
        <v>1.5269999999999999</v>
      </c>
      <c r="W786" s="157">
        <v>7.4249999999999998</v>
      </c>
      <c r="X786" s="149">
        <f t="shared" si="29"/>
        <v>11.337974999999998</v>
      </c>
      <c r="Y786" s="149"/>
    </row>
    <row r="787" spans="1:25" ht="16">
      <c r="A787" s="117" t="s">
        <v>3570</v>
      </c>
      <c r="B787" s="150" t="s">
        <v>858</v>
      </c>
      <c r="C787" s="149" t="s">
        <v>1744</v>
      </c>
      <c r="D787" s="149" t="s">
        <v>3555</v>
      </c>
      <c r="E787" s="149" t="s">
        <v>830</v>
      </c>
      <c r="F787" s="149">
        <v>-25.6175</v>
      </c>
      <c r="G787" s="149">
        <v>134.92277777999999</v>
      </c>
      <c r="H787" s="149">
        <v>205</v>
      </c>
      <c r="I787" s="151">
        <v>42812</v>
      </c>
      <c r="J787" s="149" t="s">
        <v>36</v>
      </c>
      <c r="K787" s="149" t="s">
        <v>419</v>
      </c>
      <c r="L787" s="140" t="s">
        <v>2572</v>
      </c>
      <c r="M787" s="140" t="s">
        <v>2407</v>
      </c>
      <c r="N787" s="140" t="s">
        <v>36</v>
      </c>
      <c r="O787" s="140" t="s">
        <v>2215</v>
      </c>
      <c r="P787" s="140" t="s">
        <v>2215</v>
      </c>
      <c r="Q787" s="140" t="s">
        <v>2702</v>
      </c>
      <c r="R787" s="140" t="s">
        <v>2712</v>
      </c>
      <c r="S787" s="149">
        <f t="shared" si="28"/>
        <v>5.9999999999999995E-4</v>
      </c>
      <c r="T787" s="149">
        <v>0</v>
      </c>
      <c r="U787" s="157">
        <v>5.9999999999999995E-4</v>
      </c>
      <c r="V787" s="157">
        <v>1.6120000000000001</v>
      </c>
      <c r="W787" s="157">
        <v>6.2839999999999998</v>
      </c>
      <c r="X787" s="149">
        <f t="shared" si="29"/>
        <v>10.129808000000001</v>
      </c>
      <c r="Y787" s="149"/>
    </row>
    <row r="788" spans="1:25" ht="16">
      <c r="A788" s="117" t="s">
        <v>3570</v>
      </c>
      <c r="B788" s="150" t="s">
        <v>859</v>
      </c>
      <c r="C788" s="149" t="s">
        <v>1744</v>
      </c>
      <c r="D788" s="149" t="s">
        <v>3555</v>
      </c>
      <c r="E788" s="149" t="s">
        <v>830</v>
      </c>
      <c r="F788" s="149">
        <v>-25.6175</v>
      </c>
      <c r="G788" s="149">
        <v>134.92277777999999</v>
      </c>
      <c r="H788" s="149">
        <v>205</v>
      </c>
      <c r="I788" s="151">
        <v>42812</v>
      </c>
      <c r="J788" s="149" t="s">
        <v>36</v>
      </c>
      <c r="K788" s="149" t="s">
        <v>419</v>
      </c>
      <c r="L788" s="155" t="s">
        <v>2566</v>
      </c>
      <c r="M788" s="155" t="s">
        <v>2567</v>
      </c>
      <c r="N788" s="155" t="s">
        <v>2668</v>
      </c>
      <c r="O788" s="155" t="s">
        <v>2105</v>
      </c>
      <c r="P788" s="140" t="s">
        <v>2105</v>
      </c>
      <c r="Q788" s="140" t="s">
        <v>2387</v>
      </c>
      <c r="R788" s="155" t="s">
        <v>2713</v>
      </c>
      <c r="S788" s="149">
        <f t="shared" si="28"/>
        <v>1E-3</v>
      </c>
      <c r="T788" s="149">
        <v>0</v>
      </c>
      <c r="U788" s="157">
        <v>1E-3</v>
      </c>
      <c r="V788" s="157">
        <v>1.49</v>
      </c>
      <c r="W788" s="157">
        <v>6.1520000000000001</v>
      </c>
      <c r="X788" s="149">
        <f t="shared" si="29"/>
        <v>9.16648</v>
      </c>
      <c r="Y788" s="149"/>
    </row>
    <row r="789" spans="1:25" ht="16">
      <c r="A789" s="117" t="s">
        <v>3570</v>
      </c>
      <c r="B789" s="150" t="s">
        <v>860</v>
      </c>
      <c r="C789" s="149" t="s">
        <v>1744</v>
      </c>
      <c r="D789" s="149" t="s">
        <v>3555</v>
      </c>
      <c r="E789" s="149" t="s">
        <v>830</v>
      </c>
      <c r="F789" s="149">
        <v>-25.6175</v>
      </c>
      <c r="G789" s="149">
        <v>134.92277777999999</v>
      </c>
      <c r="H789" s="149">
        <v>205</v>
      </c>
      <c r="I789" s="151">
        <v>42812</v>
      </c>
      <c r="J789" s="149" t="s">
        <v>36</v>
      </c>
      <c r="K789" s="149" t="s">
        <v>419</v>
      </c>
      <c r="L789" s="140" t="s">
        <v>2572</v>
      </c>
      <c r="M789" s="140" t="s">
        <v>2407</v>
      </c>
      <c r="N789" s="140" t="s">
        <v>36</v>
      </c>
      <c r="O789" s="140" t="s">
        <v>2215</v>
      </c>
      <c r="P789" s="140" t="s">
        <v>2215</v>
      </c>
      <c r="Q789" s="140" t="s">
        <v>2702</v>
      </c>
      <c r="R789" s="140" t="s">
        <v>2712</v>
      </c>
      <c r="S789" s="149">
        <f t="shared" si="28"/>
        <v>6.9999999999999999E-4</v>
      </c>
      <c r="T789" s="149">
        <v>0</v>
      </c>
      <c r="U789" s="157">
        <v>6.9999999999999999E-4</v>
      </c>
      <c r="V789" s="157">
        <v>1.3420000000000001</v>
      </c>
      <c r="W789" s="157">
        <v>5.7480000000000002</v>
      </c>
      <c r="X789" s="149">
        <f t="shared" si="29"/>
        <v>7.7138160000000005</v>
      </c>
      <c r="Y789" s="149"/>
    </row>
    <row r="790" spans="1:25" ht="16">
      <c r="A790" s="117" t="s">
        <v>3570</v>
      </c>
      <c r="B790" s="150" t="s">
        <v>861</v>
      </c>
      <c r="C790" s="149" t="s">
        <v>1744</v>
      </c>
      <c r="D790" s="149" t="s">
        <v>3555</v>
      </c>
      <c r="E790" s="149" t="s">
        <v>830</v>
      </c>
      <c r="F790" s="149">
        <v>-25.6175</v>
      </c>
      <c r="G790" s="149">
        <v>134.92277777999999</v>
      </c>
      <c r="H790" s="149">
        <v>205</v>
      </c>
      <c r="I790" s="151">
        <v>42812</v>
      </c>
      <c r="J790" s="149" t="s">
        <v>36</v>
      </c>
      <c r="K790" s="149" t="s">
        <v>419</v>
      </c>
      <c r="L790" s="140" t="s">
        <v>2572</v>
      </c>
      <c r="M790" s="140" t="s">
        <v>2407</v>
      </c>
      <c r="N790" s="140" t="s">
        <v>36</v>
      </c>
      <c r="O790" s="140" t="s">
        <v>2215</v>
      </c>
      <c r="P790" s="140" t="s">
        <v>2215</v>
      </c>
      <c r="Q790" s="140" t="s">
        <v>2702</v>
      </c>
      <c r="R790" s="140" t="s">
        <v>2712</v>
      </c>
      <c r="S790" s="149">
        <f t="shared" ref="S790:S853" si="30">T790+U790</f>
        <v>8.0000000000000004E-4</v>
      </c>
      <c r="T790" s="149">
        <v>0</v>
      </c>
      <c r="U790" s="157">
        <v>8.0000000000000004E-4</v>
      </c>
      <c r="V790" s="157">
        <v>1.3759999999999999</v>
      </c>
      <c r="W790" s="157">
        <v>6.0919999999999996</v>
      </c>
      <c r="X790" s="149">
        <f t="shared" si="29"/>
        <v>8.3825919999999989</v>
      </c>
      <c r="Y790" s="149"/>
    </row>
    <row r="791" spans="1:25" ht="16">
      <c r="A791" s="117" t="s">
        <v>3570</v>
      </c>
      <c r="B791" s="150" t="s">
        <v>474</v>
      </c>
      <c r="C791" s="149" t="s">
        <v>1744</v>
      </c>
      <c r="D791" s="149" t="s">
        <v>3555</v>
      </c>
      <c r="E791" s="149" t="s">
        <v>418</v>
      </c>
      <c r="F791" s="149">
        <v>-26.284722200000001</v>
      </c>
      <c r="G791" s="149">
        <v>136.09805556000001</v>
      </c>
      <c r="H791" s="149">
        <v>201</v>
      </c>
      <c r="I791" s="151">
        <v>42816</v>
      </c>
      <c r="J791" s="149" t="s">
        <v>36</v>
      </c>
      <c r="K791" s="149" t="s">
        <v>419</v>
      </c>
      <c r="L791" s="140" t="s">
        <v>2566</v>
      </c>
      <c r="M791" s="140" t="s">
        <v>2574</v>
      </c>
      <c r="N791" s="140" t="s">
        <v>3191</v>
      </c>
      <c r="O791" s="149" t="s">
        <v>2111</v>
      </c>
      <c r="P791" s="149" t="s">
        <v>2739</v>
      </c>
      <c r="Q791" s="140" t="s">
        <v>2692</v>
      </c>
      <c r="R791" s="140" t="s">
        <v>2713</v>
      </c>
      <c r="S791" s="149">
        <f t="shared" si="30"/>
        <v>2.8E-3</v>
      </c>
      <c r="T791" s="149">
        <v>0</v>
      </c>
      <c r="U791" s="157">
        <v>2.8E-3</v>
      </c>
      <c r="V791" s="157">
        <v>2.1749999999999998</v>
      </c>
      <c r="W791" s="157">
        <v>8.8640000000000008</v>
      </c>
      <c r="X791" s="149">
        <f t="shared" si="29"/>
        <v>19.279199999999999</v>
      </c>
      <c r="Y791" s="149"/>
    </row>
    <row r="792" spans="1:25" ht="16">
      <c r="A792" s="117" t="s">
        <v>3570</v>
      </c>
      <c r="B792" s="150" t="s">
        <v>862</v>
      </c>
      <c r="C792" s="149" t="s">
        <v>1744</v>
      </c>
      <c r="D792" s="149" t="s">
        <v>3555</v>
      </c>
      <c r="E792" s="149" t="s">
        <v>830</v>
      </c>
      <c r="F792" s="149">
        <v>-25.6175</v>
      </c>
      <c r="G792" s="149">
        <v>134.92277777999999</v>
      </c>
      <c r="H792" s="149">
        <v>205</v>
      </c>
      <c r="I792" s="151">
        <v>42812</v>
      </c>
      <c r="J792" s="149" t="s">
        <v>36</v>
      </c>
      <c r="K792" s="149" t="s">
        <v>419</v>
      </c>
      <c r="L792" s="140" t="s">
        <v>2572</v>
      </c>
      <c r="M792" s="140" t="s">
        <v>2407</v>
      </c>
      <c r="N792" s="140" t="s">
        <v>36</v>
      </c>
      <c r="O792" s="140" t="s">
        <v>2215</v>
      </c>
      <c r="P792" s="140" t="s">
        <v>2215</v>
      </c>
      <c r="Q792" s="140" t="s">
        <v>2702</v>
      </c>
      <c r="R792" s="140" t="s">
        <v>2713</v>
      </c>
      <c r="S792" s="149">
        <f t="shared" si="30"/>
        <v>2.9999999999999997E-4</v>
      </c>
      <c r="T792" s="149">
        <v>0</v>
      </c>
      <c r="U792" s="157">
        <v>2.9999999999999997E-4</v>
      </c>
      <c r="V792" s="157">
        <v>1.5609999999999999</v>
      </c>
      <c r="W792" s="157">
        <v>7.6550000000000002</v>
      </c>
      <c r="X792" s="149">
        <f t="shared" si="29"/>
        <v>11.949455</v>
      </c>
      <c r="Y792" s="149"/>
    </row>
    <row r="793" spans="1:25" ht="16">
      <c r="A793" s="117" t="s">
        <v>3570</v>
      </c>
      <c r="B793" s="150" t="s">
        <v>863</v>
      </c>
      <c r="C793" s="149" t="s">
        <v>1744</v>
      </c>
      <c r="D793" s="149" t="s">
        <v>3555</v>
      </c>
      <c r="E793" s="149" t="s">
        <v>830</v>
      </c>
      <c r="F793" s="149">
        <v>-25.6175</v>
      </c>
      <c r="G793" s="149">
        <v>134.92277777999999</v>
      </c>
      <c r="H793" s="149">
        <v>205</v>
      </c>
      <c r="I793" s="151">
        <v>42812</v>
      </c>
      <c r="J793" s="149" t="s">
        <v>36</v>
      </c>
      <c r="K793" s="149" t="s">
        <v>419</v>
      </c>
      <c r="L793" s="140" t="s">
        <v>2572</v>
      </c>
      <c r="M793" s="140" t="s">
        <v>2407</v>
      </c>
      <c r="N793" s="140" t="s">
        <v>36</v>
      </c>
      <c r="O793" s="140" t="s">
        <v>2215</v>
      </c>
      <c r="P793" s="140" t="s">
        <v>2215</v>
      </c>
      <c r="Q793" s="140" t="s">
        <v>2702</v>
      </c>
      <c r="R793" s="140" t="s">
        <v>2712</v>
      </c>
      <c r="S793" s="149">
        <f t="shared" si="30"/>
        <v>5.0000000000000001E-4</v>
      </c>
      <c r="T793" s="149">
        <v>0</v>
      </c>
      <c r="U793" s="157">
        <v>5.0000000000000001E-4</v>
      </c>
      <c r="V793" s="157">
        <v>1.1559999999999999</v>
      </c>
      <c r="W793" s="157">
        <v>5.2709999999999999</v>
      </c>
      <c r="X793" s="149">
        <f t="shared" si="29"/>
        <v>6.0932759999999995</v>
      </c>
      <c r="Y793" s="149"/>
    </row>
    <row r="794" spans="1:25" ht="16">
      <c r="A794" s="117" t="s">
        <v>3570</v>
      </c>
      <c r="B794" s="150" t="s">
        <v>864</v>
      </c>
      <c r="C794" s="149" t="s">
        <v>1744</v>
      </c>
      <c r="D794" s="149" t="s">
        <v>3555</v>
      </c>
      <c r="E794" s="149" t="s">
        <v>830</v>
      </c>
      <c r="F794" s="149">
        <v>-25.6175</v>
      </c>
      <c r="G794" s="149">
        <v>134.92277777999999</v>
      </c>
      <c r="H794" s="149">
        <v>205</v>
      </c>
      <c r="I794" s="151">
        <v>42812</v>
      </c>
      <c r="J794" s="149" t="s">
        <v>36</v>
      </c>
      <c r="K794" s="149" t="s">
        <v>419</v>
      </c>
      <c r="L794" s="140" t="s">
        <v>2572</v>
      </c>
      <c r="M794" s="140" t="s">
        <v>2407</v>
      </c>
      <c r="N794" s="140" t="s">
        <v>36</v>
      </c>
      <c r="O794" s="140" t="s">
        <v>2215</v>
      </c>
      <c r="P794" s="140" t="s">
        <v>2215</v>
      </c>
      <c r="Q794" s="140" t="s">
        <v>2702</v>
      </c>
      <c r="R794" s="140" t="s">
        <v>2713</v>
      </c>
      <c r="S794" s="149">
        <f t="shared" si="30"/>
        <v>8.9999999999999998E-4</v>
      </c>
      <c r="T794" s="149">
        <v>0</v>
      </c>
      <c r="U794" s="157">
        <v>8.9999999999999998E-4</v>
      </c>
      <c r="V794" s="157">
        <v>1.2310000000000001</v>
      </c>
      <c r="W794" s="157">
        <v>6.8479999999999999</v>
      </c>
      <c r="X794" s="149">
        <f t="shared" si="29"/>
        <v>8.429888</v>
      </c>
      <c r="Y794" s="149"/>
    </row>
    <row r="795" spans="1:25" ht="16">
      <c r="A795" s="117" t="s">
        <v>3570</v>
      </c>
      <c r="B795" s="150" t="s">
        <v>865</v>
      </c>
      <c r="C795" s="149" t="s">
        <v>1744</v>
      </c>
      <c r="D795" s="149" t="s">
        <v>3555</v>
      </c>
      <c r="E795" s="149" t="s">
        <v>830</v>
      </c>
      <c r="F795" s="149">
        <v>-25.6175</v>
      </c>
      <c r="G795" s="149">
        <v>134.92277777999999</v>
      </c>
      <c r="H795" s="149">
        <v>205</v>
      </c>
      <c r="I795" s="151">
        <v>42812</v>
      </c>
      <c r="J795" s="149" t="s">
        <v>36</v>
      </c>
      <c r="K795" s="149" t="s">
        <v>419</v>
      </c>
      <c r="L795" s="140" t="s">
        <v>2572</v>
      </c>
      <c r="M795" s="140" t="s">
        <v>2407</v>
      </c>
      <c r="N795" s="140" t="s">
        <v>36</v>
      </c>
      <c r="O795" s="140" t="s">
        <v>2215</v>
      </c>
      <c r="P795" s="140" t="s">
        <v>2215</v>
      </c>
      <c r="Q795" s="140" t="s">
        <v>2702</v>
      </c>
      <c r="R795" s="140" t="s">
        <v>2713</v>
      </c>
      <c r="S795" s="149">
        <f t="shared" si="30"/>
        <v>6.9999999999999999E-4</v>
      </c>
      <c r="T795" s="149">
        <v>0</v>
      </c>
      <c r="U795" s="157">
        <v>6.9999999999999999E-4</v>
      </c>
      <c r="V795" s="157">
        <v>1.2410000000000001</v>
      </c>
      <c r="W795" s="157">
        <v>5.702</v>
      </c>
      <c r="X795" s="149">
        <f t="shared" si="29"/>
        <v>7.0761820000000002</v>
      </c>
      <c r="Y795" s="149"/>
    </row>
    <row r="796" spans="1:25" ht="16">
      <c r="A796" s="117" t="s">
        <v>3570</v>
      </c>
      <c r="B796" s="150" t="s">
        <v>866</v>
      </c>
      <c r="C796" s="149" t="s">
        <v>1744</v>
      </c>
      <c r="D796" s="149" t="s">
        <v>3555</v>
      </c>
      <c r="E796" s="149" t="s">
        <v>830</v>
      </c>
      <c r="F796" s="149">
        <v>-25.6175</v>
      </c>
      <c r="G796" s="149">
        <v>134.92277777999999</v>
      </c>
      <c r="H796" s="149">
        <v>205</v>
      </c>
      <c r="I796" s="151">
        <v>42812</v>
      </c>
      <c r="J796" s="149" t="s">
        <v>36</v>
      </c>
      <c r="K796" s="149" t="s">
        <v>419</v>
      </c>
      <c r="L796" s="140" t="s">
        <v>2572</v>
      </c>
      <c r="M796" s="140" t="s">
        <v>2407</v>
      </c>
      <c r="N796" s="140" t="s">
        <v>36</v>
      </c>
      <c r="O796" s="140" t="s">
        <v>2215</v>
      </c>
      <c r="P796" s="140" t="s">
        <v>2215</v>
      </c>
      <c r="Q796" s="140" t="s">
        <v>2702</v>
      </c>
      <c r="R796" s="140" t="s">
        <v>2712</v>
      </c>
      <c r="S796" s="149">
        <f t="shared" si="30"/>
        <v>6.9999999999999999E-4</v>
      </c>
      <c r="T796" s="149">
        <v>0</v>
      </c>
      <c r="U796" s="157">
        <v>6.9999999999999999E-4</v>
      </c>
      <c r="V796" s="157">
        <v>1.25</v>
      </c>
      <c r="W796" s="157">
        <v>5.6120000000000001</v>
      </c>
      <c r="X796" s="149">
        <f t="shared" si="29"/>
        <v>7.0150000000000006</v>
      </c>
      <c r="Y796" s="149"/>
    </row>
    <row r="797" spans="1:25" ht="16">
      <c r="A797" s="117" t="s">
        <v>3570</v>
      </c>
      <c r="B797" s="150" t="s">
        <v>867</v>
      </c>
      <c r="C797" s="149" t="s">
        <v>1744</v>
      </c>
      <c r="D797" s="149" t="s">
        <v>3555</v>
      </c>
      <c r="E797" s="149" t="s">
        <v>564</v>
      </c>
      <c r="F797" s="149">
        <v>-25.999166670000001</v>
      </c>
      <c r="G797" s="149">
        <v>135.33250000000001</v>
      </c>
      <c r="H797" s="149">
        <v>206</v>
      </c>
      <c r="I797" s="151">
        <v>42811</v>
      </c>
      <c r="J797" s="149" t="s">
        <v>36</v>
      </c>
      <c r="K797" s="149" t="s">
        <v>419</v>
      </c>
      <c r="L797" s="149" t="s">
        <v>2569</v>
      </c>
      <c r="M797" s="149" t="s">
        <v>2570</v>
      </c>
      <c r="N797" s="149" t="s">
        <v>2571</v>
      </c>
      <c r="O797" s="140" t="s">
        <v>2369</v>
      </c>
      <c r="P797" s="140" t="s">
        <v>3556</v>
      </c>
      <c r="Q797" s="140" t="s">
        <v>2669</v>
      </c>
      <c r="R797" s="149" t="s">
        <v>2713</v>
      </c>
      <c r="S797" s="149">
        <f t="shared" si="30"/>
        <v>4.7399999999999998E-2</v>
      </c>
      <c r="T797" s="140">
        <v>3.8671999999999998E-2</v>
      </c>
      <c r="U797" s="157">
        <v>8.7279999999999996E-3</v>
      </c>
      <c r="V797" s="157">
        <v>3.2869999999999999</v>
      </c>
      <c r="W797" s="157">
        <v>13.284000000000001</v>
      </c>
      <c r="X797" s="149">
        <f t="shared" si="29"/>
        <v>43.664507999999998</v>
      </c>
      <c r="Y797" s="149"/>
    </row>
    <row r="798" spans="1:25" ht="16">
      <c r="A798" s="117" t="s">
        <v>3570</v>
      </c>
      <c r="B798" s="150" t="s">
        <v>869</v>
      </c>
      <c r="C798" s="149" t="s">
        <v>1744</v>
      </c>
      <c r="D798" s="149" t="s">
        <v>3555</v>
      </c>
      <c r="E798" s="149" t="s">
        <v>564</v>
      </c>
      <c r="F798" s="149">
        <v>-25.999166670000001</v>
      </c>
      <c r="G798" s="149">
        <v>135.33250000000001</v>
      </c>
      <c r="H798" s="149">
        <v>206</v>
      </c>
      <c r="I798" s="151">
        <v>42811</v>
      </c>
      <c r="J798" s="149" t="s">
        <v>36</v>
      </c>
      <c r="K798" s="149" t="s">
        <v>419</v>
      </c>
      <c r="L798" s="149" t="s">
        <v>1687</v>
      </c>
      <c r="M798" s="149" t="s">
        <v>2563</v>
      </c>
      <c r="N798" s="149" t="s">
        <v>2568</v>
      </c>
      <c r="O798" s="149" t="s">
        <v>2734</v>
      </c>
      <c r="P798" s="149" t="s">
        <v>2782</v>
      </c>
      <c r="Q798" s="149" t="s">
        <v>2392</v>
      </c>
      <c r="R798" s="149" t="s">
        <v>2713</v>
      </c>
      <c r="S798" s="149">
        <f t="shared" si="30"/>
        <v>6.7000000000000004E-2</v>
      </c>
      <c r="T798" s="140">
        <v>3.8671999999999998E-2</v>
      </c>
      <c r="U798" s="157">
        <v>2.8328000000000006E-2</v>
      </c>
      <c r="V798" s="157">
        <v>5.016</v>
      </c>
      <c r="W798" s="157">
        <v>18.111999999999998</v>
      </c>
      <c r="X798" s="149">
        <f t="shared" si="29"/>
        <v>90.849791999999994</v>
      </c>
      <c r="Y798" s="149"/>
    </row>
    <row r="799" spans="1:25" ht="16">
      <c r="A799" s="117" t="s">
        <v>3570</v>
      </c>
      <c r="B799" s="150" t="s">
        <v>870</v>
      </c>
      <c r="C799" s="149" t="s">
        <v>1744</v>
      </c>
      <c r="D799" s="149" t="s">
        <v>3555</v>
      </c>
      <c r="E799" s="149" t="s">
        <v>564</v>
      </c>
      <c r="F799" s="149">
        <v>-25.999166670000001</v>
      </c>
      <c r="G799" s="149">
        <v>135.33250000000001</v>
      </c>
      <c r="H799" s="149">
        <v>206</v>
      </c>
      <c r="I799" s="151">
        <v>42811</v>
      </c>
      <c r="J799" s="149" t="s">
        <v>36</v>
      </c>
      <c r="K799" s="149" t="s">
        <v>419</v>
      </c>
      <c r="L799" s="149" t="s">
        <v>2569</v>
      </c>
      <c r="M799" s="149" t="s">
        <v>2570</v>
      </c>
      <c r="N799" s="149" t="s">
        <v>2571</v>
      </c>
      <c r="O799" s="140" t="s">
        <v>2369</v>
      </c>
      <c r="P799" s="140" t="s">
        <v>2737</v>
      </c>
      <c r="Q799" s="140" t="s">
        <v>2670</v>
      </c>
      <c r="R799" s="140" t="s">
        <v>2713</v>
      </c>
      <c r="S799" s="149">
        <f t="shared" si="30"/>
        <v>6.9000000000000006E-2</v>
      </c>
      <c r="T799" s="140">
        <v>3.8671999999999998E-2</v>
      </c>
      <c r="U799" s="157">
        <v>3.0328000000000008E-2</v>
      </c>
      <c r="V799" s="157">
        <v>4.931</v>
      </c>
      <c r="W799" s="157">
        <v>20.059999999999999</v>
      </c>
      <c r="X799" s="149">
        <f t="shared" si="29"/>
        <v>98.915859999999995</v>
      </c>
      <c r="Y799" s="149"/>
    </row>
    <row r="800" spans="1:25" ht="16">
      <c r="A800" s="117" t="s">
        <v>3570</v>
      </c>
      <c r="B800" s="150" t="s">
        <v>871</v>
      </c>
      <c r="C800" s="149" t="s">
        <v>1744</v>
      </c>
      <c r="D800" s="149" t="s">
        <v>3555</v>
      </c>
      <c r="E800" s="149" t="s">
        <v>564</v>
      </c>
      <c r="F800" s="149">
        <v>-25.999166670000001</v>
      </c>
      <c r="G800" s="149">
        <v>135.33250000000001</v>
      </c>
      <c r="H800" s="149">
        <v>206</v>
      </c>
      <c r="I800" s="151">
        <v>42811</v>
      </c>
      <c r="J800" s="149" t="s">
        <v>36</v>
      </c>
      <c r="K800" s="149" t="s">
        <v>419</v>
      </c>
      <c r="L800" s="140" t="s">
        <v>2566</v>
      </c>
      <c r="M800" s="140" t="s">
        <v>2574</v>
      </c>
      <c r="N800" s="140" t="s">
        <v>3191</v>
      </c>
      <c r="O800" s="149" t="s">
        <v>2111</v>
      </c>
      <c r="P800" s="149" t="s">
        <v>2739</v>
      </c>
      <c r="Q800" s="140" t="s">
        <v>2694</v>
      </c>
      <c r="R800" s="140" t="s">
        <v>2713</v>
      </c>
      <c r="S800" s="149">
        <f t="shared" si="30"/>
        <v>5.3600000000000002E-2</v>
      </c>
      <c r="T800" s="140">
        <v>3.8671999999999998E-2</v>
      </c>
      <c r="U800" s="157">
        <v>1.4928000000000004E-2</v>
      </c>
      <c r="V800" s="157">
        <v>3.49</v>
      </c>
      <c r="W800" s="157">
        <v>16.483000000000001</v>
      </c>
      <c r="X800" s="149">
        <f t="shared" si="29"/>
        <v>57.525670000000005</v>
      </c>
      <c r="Y800" s="149"/>
    </row>
    <row r="801" spans="1:25" ht="16">
      <c r="A801" s="117" t="s">
        <v>3570</v>
      </c>
      <c r="B801" s="150" t="s">
        <v>872</v>
      </c>
      <c r="C801" s="149" t="s">
        <v>1744</v>
      </c>
      <c r="D801" s="149" t="s">
        <v>3555</v>
      </c>
      <c r="E801" s="149" t="s">
        <v>564</v>
      </c>
      <c r="F801" s="149">
        <v>-25.999166670000001</v>
      </c>
      <c r="G801" s="149">
        <v>135.33250000000001</v>
      </c>
      <c r="H801" s="149">
        <v>206</v>
      </c>
      <c r="I801" s="151">
        <v>42811</v>
      </c>
      <c r="J801" s="149" t="s">
        <v>36</v>
      </c>
      <c r="K801" s="149" t="s">
        <v>419</v>
      </c>
      <c r="L801" s="149" t="s">
        <v>2569</v>
      </c>
      <c r="M801" s="149" t="s">
        <v>2570</v>
      </c>
      <c r="N801" s="149" t="s">
        <v>2571</v>
      </c>
      <c r="O801" s="140" t="s">
        <v>2369</v>
      </c>
      <c r="P801" s="140" t="s">
        <v>3556</v>
      </c>
      <c r="Q801" s="140" t="s">
        <v>2673</v>
      </c>
      <c r="R801" s="140" t="s">
        <v>2713</v>
      </c>
      <c r="S801" s="149">
        <f t="shared" si="30"/>
        <v>4.1000000000000003E-3</v>
      </c>
      <c r="T801" s="149">
        <v>0</v>
      </c>
      <c r="U801" s="157">
        <v>4.1000000000000003E-3</v>
      </c>
      <c r="V801" s="157">
        <v>2.3460000000000001</v>
      </c>
      <c r="W801" s="157">
        <v>10.272</v>
      </c>
      <c r="X801" s="149">
        <f t="shared" si="29"/>
        <v>24.098112</v>
      </c>
      <c r="Y801" s="149"/>
    </row>
    <row r="802" spans="1:25" ht="16">
      <c r="A802" s="117" t="s">
        <v>3570</v>
      </c>
      <c r="B802" s="150" t="s">
        <v>475</v>
      </c>
      <c r="C802" s="149" t="s">
        <v>1744</v>
      </c>
      <c r="D802" s="149" t="s">
        <v>3555</v>
      </c>
      <c r="E802" s="149" t="s">
        <v>418</v>
      </c>
      <c r="F802" s="149">
        <v>-26.284722200000001</v>
      </c>
      <c r="G802" s="149">
        <v>136.09805556000001</v>
      </c>
      <c r="H802" s="149">
        <v>201</v>
      </c>
      <c r="I802" s="151">
        <v>42816</v>
      </c>
      <c r="J802" s="149" t="s">
        <v>36</v>
      </c>
      <c r="K802" s="149" t="s">
        <v>419</v>
      </c>
      <c r="L802" s="140" t="s">
        <v>2566</v>
      </c>
      <c r="M802" s="140" t="s">
        <v>2574</v>
      </c>
      <c r="N802" s="140" t="s">
        <v>3191</v>
      </c>
      <c r="O802" s="149" t="s">
        <v>2111</v>
      </c>
      <c r="P802" s="149" t="s">
        <v>2739</v>
      </c>
      <c r="Q802" s="140" t="s">
        <v>2693</v>
      </c>
      <c r="R802" s="140" t="s">
        <v>2713</v>
      </c>
      <c r="S802" s="149">
        <f t="shared" si="30"/>
        <v>5.3699999999999998E-2</v>
      </c>
      <c r="T802" s="140">
        <v>3.8671999999999998E-2</v>
      </c>
      <c r="U802" s="157">
        <v>1.5028E-2</v>
      </c>
      <c r="V802" s="157">
        <v>3.903</v>
      </c>
      <c r="W802" s="157">
        <v>16.472999999999999</v>
      </c>
      <c r="X802" s="149">
        <f t="shared" si="29"/>
        <v>64.294118999999995</v>
      </c>
      <c r="Y802" s="149"/>
    </row>
    <row r="803" spans="1:25" ht="16">
      <c r="A803" s="117" t="s">
        <v>3570</v>
      </c>
      <c r="B803" s="150" t="s">
        <v>873</v>
      </c>
      <c r="C803" s="149" t="s">
        <v>1744</v>
      </c>
      <c r="D803" s="149" t="s">
        <v>3555</v>
      </c>
      <c r="E803" s="149" t="s">
        <v>564</v>
      </c>
      <c r="F803" s="149">
        <v>-25.999166670000001</v>
      </c>
      <c r="G803" s="149">
        <v>135.33250000000001</v>
      </c>
      <c r="H803" s="149">
        <v>206</v>
      </c>
      <c r="I803" s="151">
        <v>42811</v>
      </c>
      <c r="J803" s="149" t="s">
        <v>36</v>
      </c>
      <c r="K803" s="149" t="s">
        <v>419</v>
      </c>
      <c r="L803" s="149" t="s">
        <v>1687</v>
      </c>
      <c r="M803" s="149" t="s">
        <v>2563</v>
      </c>
      <c r="N803" s="149" t="s">
        <v>2568</v>
      </c>
      <c r="O803" s="149" t="s">
        <v>2734</v>
      </c>
      <c r="P803" s="149" t="s">
        <v>2782</v>
      </c>
      <c r="Q803" s="149" t="s">
        <v>2392</v>
      </c>
      <c r="R803" s="149" t="s">
        <v>2712</v>
      </c>
      <c r="S803" s="149">
        <f t="shared" si="30"/>
        <v>5.8599999999999999E-2</v>
      </c>
      <c r="T803" s="140">
        <v>3.8671999999999998E-2</v>
      </c>
      <c r="U803" s="157">
        <v>1.9928000000000001E-2</v>
      </c>
      <c r="V803" s="157">
        <v>4.7439999999999998</v>
      </c>
      <c r="W803" s="157">
        <v>18.989999999999998</v>
      </c>
      <c r="X803" s="149">
        <f t="shared" si="29"/>
        <v>90.088559999999987</v>
      </c>
      <c r="Y803" s="149"/>
    </row>
    <row r="804" spans="1:25" ht="16">
      <c r="A804" s="117" t="s">
        <v>3570</v>
      </c>
      <c r="B804" s="150" t="s">
        <v>874</v>
      </c>
      <c r="C804" s="149" t="s">
        <v>1744</v>
      </c>
      <c r="D804" s="149" t="s">
        <v>3555</v>
      </c>
      <c r="E804" s="149" t="s">
        <v>564</v>
      </c>
      <c r="F804" s="149">
        <v>-25.999166670000001</v>
      </c>
      <c r="G804" s="149">
        <v>135.33250000000001</v>
      </c>
      <c r="H804" s="149">
        <v>206</v>
      </c>
      <c r="I804" s="151">
        <v>42811</v>
      </c>
      <c r="J804" s="149" t="s">
        <v>36</v>
      </c>
      <c r="K804" s="149" t="s">
        <v>419</v>
      </c>
      <c r="L804" s="149" t="s">
        <v>1687</v>
      </c>
      <c r="M804" s="149" t="s">
        <v>2563</v>
      </c>
      <c r="N804" s="149" t="s">
        <v>2568</v>
      </c>
      <c r="O804" s="149" t="s">
        <v>2734</v>
      </c>
      <c r="P804" s="149" t="s">
        <v>2782</v>
      </c>
      <c r="Q804" s="149" t="s">
        <v>2392</v>
      </c>
      <c r="R804" s="149" t="s">
        <v>2713</v>
      </c>
      <c r="S804" s="149">
        <f t="shared" si="30"/>
        <v>6.9699999999999998E-2</v>
      </c>
      <c r="T804" s="140">
        <v>3.8671999999999998E-2</v>
      </c>
      <c r="U804" s="157">
        <v>3.1028E-2</v>
      </c>
      <c r="V804" s="157">
        <v>5.476</v>
      </c>
      <c r="W804" s="157">
        <v>19.533999999999999</v>
      </c>
      <c r="X804" s="149">
        <f t="shared" si="29"/>
        <v>106.96818399999999</v>
      </c>
      <c r="Y804" s="149"/>
    </row>
    <row r="805" spans="1:25" ht="16">
      <c r="A805" s="117" t="s">
        <v>3570</v>
      </c>
      <c r="B805" s="150" t="s">
        <v>875</v>
      </c>
      <c r="C805" s="149" t="s">
        <v>1744</v>
      </c>
      <c r="D805" s="149" t="s">
        <v>3555</v>
      </c>
      <c r="E805" s="149" t="s">
        <v>564</v>
      </c>
      <c r="F805" s="149">
        <v>-25.999166670000001</v>
      </c>
      <c r="G805" s="149">
        <v>135.33250000000001</v>
      </c>
      <c r="H805" s="149">
        <v>206</v>
      </c>
      <c r="I805" s="151">
        <v>42811</v>
      </c>
      <c r="J805" s="149" t="s">
        <v>36</v>
      </c>
      <c r="K805" s="149" t="s">
        <v>419</v>
      </c>
      <c r="L805" s="140" t="s">
        <v>2566</v>
      </c>
      <c r="M805" s="140" t="s">
        <v>2574</v>
      </c>
      <c r="N805" s="140" t="s">
        <v>3191</v>
      </c>
      <c r="O805" s="149" t="s">
        <v>2111</v>
      </c>
      <c r="P805" s="149" t="s">
        <v>2739</v>
      </c>
      <c r="Q805" s="140" t="s">
        <v>2694</v>
      </c>
      <c r="R805" s="140" t="s">
        <v>2713</v>
      </c>
      <c r="S805" s="149">
        <f t="shared" si="30"/>
        <v>5.1799999999999999E-2</v>
      </c>
      <c r="T805" s="140">
        <v>3.8671999999999998E-2</v>
      </c>
      <c r="U805" s="157">
        <v>1.3128000000000001E-2</v>
      </c>
      <c r="V805" s="157">
        <v>3.4740000000000002</v>
      </c>
      <c r="W805" s="157">
        <v>15.356</v>
      </c>
      <c r="X805" s="149">
        <f t="shared" si="29"/>
        <v>53.346744000000001</v>
      </c>
      <c r="Y805" s="149"/>
    </row>
    <row r="806" spans="1:25" ht="16">
      <c r="A806" s="117" t="s">
        <v>3570</v>
      </c>
      <c r="B806" s="150" t="s">
        <v>876</v>
      </c>
      <c r="C806" s="149" t="s">
        <v>1744</v>
      </c>
      <c r="D806" s="149" t="s">
        <v>3555</v>
      </c>
      <c r="E806" s="149" t="s">
        <v>564</v>
      </c>
      <c r="F806" s="149">
        <v>-25.999166670000001</v>
      </c>
      <c r="G806" s="149">
        <v>135.33250000000001</v>
      </c>
      <c r="H806" s="149">
        <v>206</v>
      </c>
      <c r="I806" s="151">
        <v>42811</v>
      </c>
      <c r="J806" s="149" t="s">
        <v>36</v>
      </c>
      <c r="K806" s="149" t="s">
        <v>419</v>
      </c>
      <c r="L806" s="149" t="s">
        <v>2569</v>
      </c>
      <c r="M806" s="149" t="s">
        <v>2570</v>
      </c>
      <c r="N806" s="149" t="s">
        <v>2571</v>
      </c>
      <c r="O806" s="140" t="s">
        <v>2369</v>
      </c>
      <c r="P806" s="140" t="s">
        <v>2737</v>
      </c>
      <c r="Q806" s="140" t="s">
        <v>2670</v>
      </c>
      <c r="R806" s="140" t="s">
        <v>2712</v>
      </c>
      <c r="S806" s="149">
        <f t="shared" si="30"/>
        <v>6.1699999999999998E-2</v>
      </c>
      <c r="T806" s="140">
        <v>3.8671999999999998E-2</v>
      </c>
      <c r="U806" s="157">
        <v>2.3028E-2</v>
      </c>
      <c r="V806" s="157">
        <v>4.3620000000000001</v>
      </c>
      <c r="W806" s="157">
        <v>16.385999999999999</v>
      </c>
      <c r="X806" s="149">
        <f t="shared" si="29"/>
        <v>71.475731999999994</v>
      </c>
      <c r="Y806" s="149"/>
    </row>
    <row r="807" spans="1:25" ht="16">
      <c r="A807" s="117" t="s">
        <v>3570</v>
      </c>
      <c r="B807" s="150" t="s">
        <v>877</v>
      </c>
      <c r="C807" s="149" t="s">
        <v>1744</v>
      </c>
      <c r="D807" s="149" t="s">
        <v>3555</v>
      </c>
      <c r="E807" s="149" t="s">
        <v>564</v>
      </c>
      <c r="F807" s="149">
        <v>-25.999166670000001</v>
      </c>
      <c r="G807" s="149">
        <v>135.33250000000001</v>
      </c>
      <c r="H807" s="149">
        <v>206</v>
      </c>
      <c r="I807" s="151">
        <v>42811</v>
      </c>
      <c r="J807" s="149" t="s">
        <v>36</v>
      </c>
      <c r="K807" s="149" t="s">
        <v>419</v>
      </c>
      <c r="L807" s="140" t="s">
        <v>2566</v>
      </c>
      <c r="M807" s="140" t="s">
        <v>2574</v>
      </c>
      <c r="N807" s="140" t="s">
        <v>3191</v>
      </c>
      <c r="O807" s="149" t="s">
        <v>2111</v>
      </c>
      <c r="P807" s="149" t="s">
        <v>2739</v>
      </c>
      <c r="Q807" s="140" t="s">
        <v>2692</v>
      </c>
      <c r="R807" s="140" t="s">
        <v>2713</v>
      </c>
      <c r="S807" s="149">
        <f t="shared" si="30"/>
        <v>4.7999999999999996E-3</v>
      </c>
      <c r="T807" s="149">
        <v>0</v>
      </c>
      <c r="U807" s="157">
        <v>4.7999999999999996E-3</v>
      </c>
      <c r="V807" s="157">
        <v>2.492</v>
      </c>
      <c r="W807" s="157">
        <v>11.285</v>
      </c>
      <c r="X807" s="149">
        <f t="shared" si="29"/>
        <v>28.122219999999999</v>
      </c>
      <c r="Y807" s="149"/>
    </row>
    <row r="808" spans="1:25" ht="16">
      <c r="A808" s="117" t="s">
        <v>3570</v>
      </c>
      <c r="B808" s="150" t="s">
        <v>878</v>
      </c>
      <c r="C808" s="149" t="s">
        <v>1744</v>
      </c>
      <c r="D808" s="149" t="s">
        <v>3555</v>
      </c>
      <c r="E808" s="149" t="s">
        <v>564</v>
      </c>
      <c r="F808" s="149">
        <v>-25.999166670000001</v>
      </c>
      <c r="G808" s="149">
        <v>135.33250000000001</v>
      </c>
      <c r="H808" s="149">
        <v>206</v>
      </c>
      <c r="I808" s="151">
        <v>42811</v>
      </c>
      <c r="J808" s="149" t="s">
        <v>36</v>
      </c>
      <c r="K808" s="149" t="s">
        <v>419</v>
      </c>
      <c r="L808" s="149" t="s">
        <v>2569</v>
      </c>
      <c r="M808" s="149" t="s">
        <v>2570</v>
      </c>
      <c r="N808" s="149" t="s">
        <v>2571</v>
      </c>
      <c r="O808" s="140" t="s">
        <v>2369</v>
      </c>
      <c r="P808" s="140" t="s">
        <v>3556</v>
      </c>
      <c r="Q808" s="140" t="s">
        <v>2673</v>
      </c>
      <c r="R808" s="140" t="s">
        <v>2713</v>
      </c>
      <c r="S808" s="149">
        <f t="shared" si="30"/>
        <v>3.5000000000000001E-3</v>
      </c>
      <c r="T808" s="149">
        <v>0</v>
      </c>
      <c r="U808" s="157">
        <v>3.5000000000000001E-3</v>
      </c>
      <c r="V808" s="157">
        <v>2.2120000000000002</v>
      </c>
      <c r="W808" s="157">
        <v>9.1470000000000002</v>
      </c>
      <c r="X808" s="149">
        <f t="shared" si="29"/>
        <v>20.233164000000002</v>
      </c>
      <c r="Y808" s="149"/>
    </row>
    <row r="809" spans="1:25" ht="16">
      <c r="A809" s="117" t="s">
        <v>3570</v>
      </c>
      <c r="B809" s="150" t="s">
        <v>880</v>
      </c>
      <c r="C809" s="149" t="s">
        <v>1744</v>
      </c>
      <c r="D809" s="149" t="s">
        <v>3555</v>
      </c>
      <c r="E809" s="149" t="s">
        <v>564</v>
      </c>
      <c r="F809" s="149">
        <v>-25.999166670000001</v>
      </c>
      <c r="G809" s="149">
        <v>135.33250000000001</v>
      </c>
      <c r="H809" s="149">
        <v>206</v>
      </c>
      <c r="I809" s="151">
        <v>42811</v>
      </c>
      <c r="J809" s="149" t="s">
        <v>36</v>
      </c>
      <c r="K809" s="149" t="s">
        <v>419</v>
      </c>
      <c r="L809" s="149" t="s">
        <v>1687</v>
      </c>
      <c r="M809" s="149" t="s">
        <v>2563</v>
      </c>
      <c r="N809" s="149" t="s">
        <v>2568</v>
      </c>
      <c r="O809" s="149" t="s">
        <v>2734</v>
      </c>
      <c r="P809" s="149" t="s">
        <v>2782</v>
      </c>
      <c r="Q809" s="149" t="s">
        <v>2392</v>
      </c>
      <c r="R809" s="149" t="s">
        <v>2713</v>
      </c>
      <c r="S809" s="149">
        <f t="shared" si="30"/>
        <v>6.8199999999999997E-2</v>
      </c>
      <c r="T809" s="140">
        <v>3.8671999999999998E-2</v>
      </c>
      <c r="U809" s="157">
        <v>2.9527999999999999E-2</v>
      </c>
      <c r="V809" s="157">
        <v>4.8739999999999997</v>
      </c>
      <c r="W809" s="157">
        <v>18.385000000000002</v>
      </c>
      <c r="X809" s="149">
        <f t="shared" si="29"/>
        <v>89.608490000000003</v>
      </c>
      <c r="Y809" s="149"/>
    </row>
    <row r="810" spans="1:25" ht="16">
      <c r="A810" s="117" t="s">
        <v>3570</v>
      </c>
      <c r="B810" s="150" t="s">
        <v>881</v>
      </c>
      <c r="C810" s="149" t="s">
        <v>1744</v>
      </c>
      <c r="D810" s="149" t="s">
        <v>3555</v>
      </c>
      <c r="E810" s="149" t="s">
        <v>564</v>
      </c>
      <c r="F810" s="149">
        <v>-25.999166670000001</v>
      </c>
      <c r="G810" s="149">
        <v>135.33250000000001</v>
      </c>
      <c r="H810" s="149">
        <v>206</v>
      </c>
      <c r="I810" s="151">
        <v>42811</v>
      </c>
      <c r="J810" s="149" t="s">
        <v>36</v>
      </c>
      <c r="K810" s="149" t="s">
        <v>419</v>
      </c>
      <c r="L810" s="149" t="s">
        <v>2569</v>
      </c>
      <c r="M810" s="149" t="s">
        <v>2570</v>
      </c>
      <c r="N810" s="149" t="s">
        <v>2571</v>
      </c>
      <c r="O810" s="140" t="s">
        <v>2369</v>
      </c>
      <c r="P810" s="140" t="s">
        <v>3556</v>
      </c>
      <c r="Q810" s="140" t="s">
        <v>2673</v>
      </c>
      <c r="R810" s="140" t="s">
        <v>2713</v>
      </c>
      <c r="S810" s="149">
        <f t="shared" si="30"/>
        <v>3.2000000000000002E-3</v>
      </c>
      <c r="T810" s="149">
        <v>0</v>
      </c>
      <c r="U810" s="157">
        <v>3.2000000000000002E-3</v>
      </c>
      <c r="V810" s="157">
        <v>2.1549999999999998</v>
      </c>
      <c r="W810" s="157">
        <v>9.7959999999999994</v>
      </c>
      <c r="X810" s="149">
        <f t="shared" si="29"/>
        <v>21.110379999999996</v>
      </c>
      <c r="Y810" s="149"/>
    </row>
    <row r="811" spans="1:25" ht="16">
      <c r="A811" s="117" t="s">
        <v>3570</v>
      </c>
      <c r="B811" s="150" t="s">
        <v>882</v>
      </c>
      <c r="C811" s="149" t="s">
        <v>1744</v>
      </c>
      <c r="D811" s="149" t="s">
        <v>3555</v>
      </c>
      <c r="E811" s="149" t="s">
        <v>564</v>
      </c>
      <c r="F811" s="149">
        <v>-25.999166670000001</v>
      </c>
      <c r="G811" s="149">
        <v>135.33250000000001</v>
      </c>
      <c r="H811" s="149">
        <v>206</v>
      </c>
      <c r="I811" s="151">
        <v>42811</v>
      </c>
      <c r="J811" s="149" t="s">
        <v>36</v>
      </c>
      <c r="K811" s="149" t="s">
        <v>419</v>
      </c>
      <c r="L811" s="140" t="s">
        <v>2569</v>
      </c>
      <c r="M811" s="140" t="s">
        <v>2570</v>
      </c>
      <c r="N811" s="140" t="s">
        <v>2571</v>
      </c>
      <c r="O811" s="140" t="s">
        <v>2369</v>
      </c>
      <c r="P811" s="140" t="s">
        <v>3556</v>
      </c>
      <c r="Q811" s="140" t="s">
        <v>2678</v>
      </c>
      <c r="R811" s="140" t="s">
        <v>2712</v>
      </c>
      <c r="S811" s="149">
        <f t="shared" si="30"/>
        <v>1.8E-3</v>
      </c>
      <c r="T811" s="149">
        <v>0</v>
      </c>
      <c r="U811" s="157">
        <v>1.8E-3</v>
      </c>
      <c r="V811" s="157">
        <v>1.9930000000000001</v>
      </c>
      <c r="W811" s="157">
        <v>7.3159999999999998</v>
      </c>
      <c r="X811" s="149">
        <f t="shared" si="29"/>
        <v>14.580788</v>
      </c>
      <c r="Y811" s="149"/>
    </row>
    <row r="812" spans="1:25" ht="16">
      <c r="A812" s="117" t="s">
        <v>3570</v>
      </c>
      <c r="B812" s="150" t="s">
        <v>476</v>
      </c>
      <c r="C812" s="149" t="s">
        <v>1744</v>
      </c>
      <c r="D812" s="149" t="s">
        <v>3555</v>
      </c>
      <c r="E812" s="149" t="s">
        <v>418</v>
      </c>
      <c r="F812" s="149">
        <v>-26.284722200000001</v>
      </c>
      <c r="G812" s="149">
        <v>136.09805556000001</v>
      </c>
      <c r="H812" s="149">
        <v>201</v>
      </c>
      <c r="I812" s="151">
        <v>42816</v>
      </c>
      <c r="J812" s="149" t="s">
        <v>36</v>
      </c>
      <c r="K812" s="149" t="s">
        <v>419</v>
      </c>
      <c r="L812" s="140" t="s">
        <v>2566</v>
      </c>
      <c r="M812" s="140" t="s">
        <v>2574</v>
      </c>
      <c r="N812" s="140" t="s">
        <v>3191</v>
      </c>
      <c r="O812" s="149" t="s">
        <v>2111</v>
      </c>
      <c r="P812" s="149" t="s">
        <v>2739</v>
      </c>
      <c r="Q812" s="140" t="s">
        <v>2692</v>
      </c>
      <c r="R812" s="140" t="s">
        <v>2713</v>
      </c>
      <c r="S812" s="149">
        <f t="shared" si="30"/>
        <v>3.0000000000000001E-3</v>
      </c>
      <c r="T812" s="149">
        <v>0</v>
      </c>
      <c r="U812" s="157">
        <v>3.0000000000000001E-3</v>
      </c>
      <c r="V812" s="157">
        <v>2.1389999999999998</v>
      </c>
      <c r="W812" s="157">
        <v>8.8309999999999995</v>
      </c>
      <c r="X812" s="149">
        <f t="shared" si="29"/>
        <v>18.889508999999997</v>
      </c>
      <c r="Y812" s="149"/>
    </row>
    <row r="813" spans="1:25" ht="16">
      <c r="A813" s="117" t="s">
        <v>3570</v>
      </c>
      <c r="B813" s="150" t="s">
        <v>883</v>
      </c>
      <c r="C813" s="149" t="s">
        <v>1744</v>
      </c>
      <c r="D813" s="149" t="s">
        <v>3555</v>
      </c>
      <c r="E813" s="149" t="s">
        <v>564</v>
      </c>
      <c r="F813" s="149">
        <v>-25.999166670000001</v>
      </c>
      <c r="G813" s="149">
        <v>135.33250000000001</v>
      </c>
      <c r="H813" s="149">
        <v>206</v>
      </c>
      <c r="I813" s="151">
        <v>42811</v>
      </c>
      <c r="J813" s="149" t="s">
        <v>36</v>
      </c>
      <c r="K813" s="149" t="s">
        <v>419</v>
      </c>
      <c r="L813" s="149" t="s">
        <v>2569</v>
      </c>
      <c r="M813" s="149" t="s">
        <v>2570</v>
      </c>
      <c r="N813" s="149" t="s">
        <v>2571</v>
      </c>
      <c r="O813" s="140" t="s">
        <v>2369</v>
      </c>
      <c r="P813" s="140" t="s">
        <v>3556</v>
      </c>
      <c r="Q813" s="140" t="s">
        <v>2673</v>
      </c>
      <c r="R813" s="140" t="s">
        <v>2713</v>
      </c>
      <c r="S813" s="149">
        <f t="shared" si="30"/>
        <v>3.7000000000000002E-3</v>
      </c>
      <c r="T813" s="149">
        <v>0</v>
      </c>
      <c r="U813" s="157">
        <v>3.7000000000000002E-3</v>
      </c>
      <c r="V813" s="157">
        <v>2.3410000000000002</v>
      </c>
      <c r="W813" s="157">
        <v>9.7479999999999993</v>
      </c>
      <c r="X813" s="149">
        <f t="shared" si="29"/>
        <v>22.820067999999999</v>
      </c>
      <c r="Y813" s="149"/>
    </row>
    <row r="814" spans="1:25" ht="16">
      <c r="A814" s="117" t="s">
        <v>3570</v>
      </c>
      <c r="B814" s="150" t="s">
        <v>2092</v>
      </c>
      <c r="C814" s="149" t="s">
        <v>1744</v>
      </c>
      <c r="D814" s="149" t="s">
        <v>3555</v>
      </c>
      <c r="E814" s="149" t="s">
        <v>564</v>
      </c>
      <c r="F814" s="149">
        <v>-25.999166670000001</v>
      </c>
      <c r="G814" s="149">
        <v>135.33250000000001</v>
      </c>
      <c r="H814" s="149">
        <v>206</v>
      </c>
      <c r="I814" s="151">
        <v>42811</v>
      </c>
      <c r="J814" s="149" t="s">
        <v>36</v>
      </c>
      <c r="K814" s="149" t="s">
        <v>419</v>
      </c>
      <c r="L814" s="155" t="s">
        <v>2566</v>
      </c>
      <c r="M814" s="155" t="s">
        <v>2567</v>
      </c>
      <c r="N814" s="155" t="s">
        <v>2668</v>
      </c>
      <c r="O814" s="155" t="s">
        <v>2105</v>
      </c>
      <c r="P814" s="140" t="s">
        <v>2105</v>
      </c>
      <c r="Q814" s="140" t="s">
        <v>2387</v>
      </c>
      <c r="R814" s="155" t="s">
        <v>2712</v>
      </c>
      <c r="S814" s="149">
        <f t="shared" si="30"/>
        <v>2.9999999999999997E-4</v>
      </c>
      <c r="T814" s="149">
        <v>0</v>
      </c>
      <c r="U814" s="157">
        <v>2.9999999999999997E-4</v>
      </c>
      <c r="V814" s="157">
        <v>1.206</v>
      </c>
      <c r="W814" s="157">
        <v>4.8339999999999996</v>
      </c>
      <c r="X814" s="149">
        <f t="shared" si="29"/>
        <v>5.8298039999999993</v>
      </c>
      <c r="Y814" s="149"/>
    </row>
    <row r="815" spans="1:25" ht="16">
      <c r="A815" s="117" t="s">
        <v>3570</v>
      </c>
      <c r="B815" s="150" t="s">
        <v>477</v>
      </c>
      <c r="C815" s="149" t="s">
        <v>1744</v>
      </c>
      <c r="D815" s="149" t="s">
        <v>3555</v>
      </c>
      <c r="E815" s="149" t="s">
        <v>418</v>
      </c>
      <c r="F815" s="149">
        <v>-26.284722200000001</v>
      </c>
      <c r="G815" s="149">
        <v>136.09805556000001</v>
      </c>
      <c r="H815" s="149">
        <v>201</v>
      </c>
      <c r="I815" s="151">
        <v>42816</v>
      </c>
      <c r="J815" s="149" t="s">
        <v>36</v>
      </c>
      <c r="K815" s="149" t="s">
        <v>419</v>
      </c>
      <c r="L815" s="140" t="s">
        <v>2566</v>
      </c>
      <c r="M815" s="140" t="s">
        <v>2574</v>
      </c>
      <c r="N815" s="140" t="s">
        <v>3191</v>
      </c>
      <c r="O815" s="149" t="s">
        <v>2111</v>
      </c>
      <c r="P815" s="149" t="s">
        <v>2739</v>
      </c>
      <c r="Q815" s="140" t="s">
        <v>2692</v>
      </c>
      <c r="R815" s="140" t="s">
        <v>2713</v>
      </c>
      <c r="S815" s="149">
        <f t="shared" si="30"/>
        <v>4.5999999999999999E-3</v>
      </c>
      <c r="T815" s="149">
        <v>0</v>
      </c>
      <c r="U815" s="157">
        <v>4.5999999999999999E-3</v>
      </c>
      <c r="V815" s="157">
        <v>2.4350000000000001</v>
      </c>
      <c r="W815" s="157">
        <v>10.199</v>
      </c>
      <c r="X815" s="149">
        <f t="shared" si="29"/>
        <v>24.834565000000001</v>
      </c>
      <c r="Y815" s="149"/>
    </row>
    <row r="816" spans="1:25" ht="16">
      <c r="A816" s="117" t="s">
        <v>3570</v>
      </c>
      <c r="B816" s="150" t="s">
        <v>478</v>
      </c>
      <c r="C816" s="149" t="s">
        <v>1744</v>
      </c>
      <c r="D816" s="149" t="s">
        <v>3555</v>
      </c>
      <c r="E816" s="149" t="s">
        <v>466</v>
      </c>
      <c r="F816" s="149">
        <v>-26.423333299999999</v>
      </c>
      <c r="G816" s="149">
        <v>135.51333299999999</v>
      </c>
      <c r="H816" s="149">
        <v>201</v>
      </c>
      <c r="I816" s="151">
        <v>42816</v>
      </c>
      <c r="J816" s="149" t="s">
        <v>36</v>
      </c>
      <c r="K816" s="149" t="s">
        <v>419</v>
      </c>
      <c r="L816" s="155" t="s">
        <v>2566</v>
      </c>
      <c r="M816" s="155" t="s">
        <v>2567</v>
      </c>
      <c r="N816" s="155" t="s">
        <v>2668</v>
      </c>
      <c r="O816" s="155" t="s">
        <v>2105</v>
      </c>
      <c r="P816" s="140" t="s">
        <v>2105</v>
      </c>
      <c r="Q816" s="140" t="s">
        <v>2387</v>
      </c>
      <c r="R816" s="155" t="s">
        <v>2713</v>
      </c>
      <c r="S816" s="149">
        <f t="shared" si="30"/>
        <v>5.9999999999999995E-4</v>
      </c>
      <c r="T816" s="149">
        <v>0</v>
      </c>
      <c r="U816" s="157">
        <v>5.9999999999999995E-4</v>
      </c>
      <c r="V816" s="157">
        <v>1.4370000000000001</v>
      </c>
      <c r="W816" s="157">
        <v>6.4779999999999998</v>
      </c>
      <c r="X816" s="149">
        <f t="shared" ref="X816:X878" si="31">V816*W816</f>
        <v>9.3088859999999993</v>
      </c>
      <c r="Y816" s="149"/>
    </row>
    <row r="817" spans="1:25" ht="16">
      <c r="A817" s="117" t="s">
        <v>3570</v>
      </c>
      <c r="B817" s="150" t="s">
        <v>479</v>
      </c>
      <c r="C817" s="149" t="s">
        <v>1744</v>
      </c>
      <c r="D817" s="149" t="s">
        <v>3555</v>
      </c>
      <c r="E817" s="149" t="s">
        <v>466</v>
      </c>
      <c r="F817" s="149">
        <v>-26.423333299999999</v>
      </c>
      <c r="G817" s="149">
        <v>135.51333299999999</v>
      </c>
      <c r="H817" s="149">
        <v>201</v>
      </c>
      <c r="I817" s="151">
        <v>42816</v>
      </c>
      <c r="J817" s="149" t="s">
        <v>36</v>
      </c>
      <c r="K817" s="149" t="s">
        <v>419</v>
      </c>
      <c r="L817" s="155" t="s">
        <v>2566</v>
      </c>
      <c r="M817" s="155" t="s">
        <v>2567</v>
      </c>
      <c r="N817" s="155" t="s">
        <v>2668</v>
      </c>
      <c r="O817" s="155" t="s">
        <v>2105</v>
      </c>
      <c r="P817" s="140" t="s">
        <v>2105</v>
      </c>
      <c r="Q817" s="140" t="s">
        <v>2387</v>
      </c>
      <c r="R817" s="155" t="s">
        <v>2713</v>
      </c>
      <c r="S817" s="149">
        <f t="shared" si="30"/>
        <v>6.9999999999999999E-4</v>
      </c>
      <c r="T817" s="149">
        <v>0</v>
      </c>
      <c r="U817" s="157">
        <v>6.9999999999999999E-4</v>
      </c>
      <c r="V817" s="157">
        <v>1.88</v>
      </c>
      <c r="W817" s="157">
        <v>8.2799999999999994</v>
      </c>
      <c r="X817" s="149">
        <f t="shared" si="31"/>
        <v>15.566399999999998</v>
      </c>
      <c r="Y817" s="149"/>
    </row>
    <row r="818" spans="1:25" ht="16">
      <c r="A818" s="117" t="s">
        <v>3570</v>
      </c>
      <c r="B818" s="150" t="s">
        <v>427</v>
      </c>
      <c r="C818" s="149" t="s">
        <v>1744</v>
      </c>
      <c r="D818" s="149" t="s">
        <v>3555</v>
      </c>
      <c r="E818" s="149" t="s">
        <v>426</v>
      </c>
      <c r="F818" s="149">
        <v>-26.458888890000001</v>
      </c>
      <c r="G818" s="149">
        <v>135.41277778</v>
      </c>
      <c r="H818" s="149">
        <v>202</v>
      </c>
      <c r="I818" s="151">
        <v>42815</v>
      </c>
      <c r="J818" s="149" t="s">
        <v>36</v>
      </c>
      <c r="K818" s="149" t="s">
        <v>419</v>
      </c>
      <c r="L818" s="140" t="s">
        <v>2566</v>
      </c>
      <c r="M818" s="140" t="s">
        <v>2567</v>
      </c>
      <c r="N818" s="140" t="s">
        <v>2668</v>
      </c>
      <c r="O818" s="140" t="s">
        <v>2600</v>
      </c>
      <c r="P818" s="149" t="s">
        <v>2735</v>
      </c>
      <c r="Q818" s="140" t="s">
        <v>2667</v>
      </c>
      <c r="R818" s="149" t="s">
        <v>2713</v>
      </c>
      <c r="S818" s="149">
        <f t="shared" si="30"/>
        <v>4.2799999999999998E-2</v>
      </c>
      <c r="T818" s="140">
        <v>3.8671999999999998E-2</v>
      </c>
      <c r="U818" s="157">
        <v>4.1279999999999997E-3</v>
      </c>
      <c r="V818" s="157">
        <v>2.3109999999999999</v>
      </c>
      <c r="W818" s="157">
        <v>9.9169999999999998</v>
      </c>
      <c r="X818" s="149">
        <f t="shared" si="31"/>
        <v>22.918187</v>
      </c>
      <c r="Y818" s="149"/>
    </row>
    <row r="819" spans="1:25" ht="16">
      <c r="A819" s="117" t="s">
        <v>3570</v>
      </c>
      <c r="B819" s="150" t="s">
        <v>480</v>
      </c>
      <c r="C819" s="149" t="s">
        <v>1744</v>
      </c>
      <c r="D819" s="149" t="s">
        <v>3555</v>
      </c>
      <c r="E819" s="149" t="s">
        <v>466</v>
      </c>
      <c r="F819" s="149">
        <v>-26.423333299999999</v>
      </c>
      <c r="G819" s="149">
        <v>135.51333299999999</v>
      </c>
      <c r="H819" s="149">
        <v>201</v>
      </c>
      <c r="I819" s="151">
        <v>42816</v>
      </c>
      <c r="J819" s="149" t="s">
        <v>36</v>
      </c>
      <c r="K819" s="149" t="s">
        <v>419</v>
      </c>
      <c r="L819" s="155" t="s">
        <v>2566</v>
      </c>
      <c r="M819" s="155" t="s">
        <v>2567</v>
      </c>
      <c r="N819" s="155" t="s">
        <v>2668</v>
      </c>
      <c r="O819" s="140" t="s">
        <v>2600</v>
      </c>
      <c r="P819" s="149" t="s">
        <v>2735</v>
      </c>
      <c r="Q819" s="140" t="s">
        <v>2709</v>
      </c>
      <c r="R819" s="158" t="s">
        <v>2713</v>
      </c>
      <c r="S819" s="149">
        <f t="shared" si="30"/>
        <v>1.1000000000000001E-3</v>
      </c>
      <c r="T819" s="149">
        <v>0</v>
      </c>
      <c r="U819" s="157">
        <v>1.1000000000000001E-3</v>
      </c>
      <c r="V819" s="157">
        <v>1.6339999999999999</v>
      </c>
      <c r="W819" s="157">
        <v>7.0449999999999999</v>
      </c>
      <c r="X819" s="149">
        <f t="shared" si="31"/>
        <v>11.511529999999999</v>
      </c>
      <c r="Y819" s="149"/>
    </row>
    <row r="820" spans="1:25" ht="16">
      <c r="A820" s="117" t="s">
        <v>3570</v>
      </c>
      <c r="B820" s="150" t="s">
        <v>481</v>
      </c>
      <c r="C820" s="149" t="s">
        <v>1744</v>
      </c>
      <c r="D820" s="149" t="s">
        <v>3555</v>
      </c>
      <c r="E820" s="149" t="s">
        <v>466</v>
      </c>
      <c r="F820" s="149">
        <v>-26.423333299999999</v>
      </c>
      <c r="G820" s="149">
        <v>135.51333299999999</v>
      </c>
      <c r="H820" s="149">
        <v>201</v>
      </c>
      <c r="I820" s="151">
        <v>42816</v>
      </c>
      <c r="J820" s="149" t="s">
        <v>36</v>
      </c>
      <c r="K820" s="149" t="s">
        <v>419</v>
      </c>
      <c r="L820" s="155" t="s">
        <v>2566</v>
      </c>
      <c r="M820" s="155" t="s">
        <v>2567</v>
      </c>
      <c r="N820" s="155" t="s">
        <v>2668</v>
      </c>
      <c r="O820" s="140" t="s">
        <v>2600</v>
      </c>
      <c r="P820" s="149" t="s">
        <v>2735</v>
      </c>
      <c r="Q820" s="140" t="s">
        <v>2709</v>
      </c>
      <c r="R820" s="158" t="s">
        <v>2713</v>
      </c>
      <c r="S820" s="149">
        <f t="shared" si="30"/>
        <v>1.5E-3</v>
      </c>
      <c r="T820" s="149">
        <v>0</v>
      </c>
      <c r="U820" s="157">
        <v>1.5E-3</v>
      </c>
      <c r="V820" s="157">
        <v>1.849</v>
      </c>
      <c r="W820" s="157">
        <v>6.7640000000000002</v>
      </c>
      <c r="X820" s="149">
        <f t="shared" si="31"/>
        <v>12.506636</v>
      </c>
      <c r="Y820" s="149"/>
    </row>
    <row r="821" spans="1:25" ht="16">
      <c r="A821" s="117" t="s">
        <v>3570</v>
      </c>
      <c r="B821" s="150" t="s">
        <v>482</v>
      </c>
      <c r="C821" s="149" t="s">
        <v>1744</v>
      </c>
      <c r="D821" s="149" t="s">
        <v>3555</v>
      </c>
      <c r="E821" s="149" t="s">
        <v>466</v>
      </c>
      <c r="F821" s="149">
        <v>-26.423333299999999</v>
      </c>
      <c r="G821" s="149">
        <v>135.51333299999999</v>
      </c>
      <c r="H821" s="149">
        <v>201</v>
      </c>
      <c r="I821" s="151">
        <v>42816</v>
      </c>
      <c r="J821" s="149" t="s">
        <v>36</v>
      </c>
      <c r="K821" s="149" t="s">
        <v>419</v>
      </c>
      <c r="L821" s="140" t="s">
        <v>2566</v>
      </c>
      <c r="M821" s="140" t="s">
        <v>2567</v>
      </c>
      <c r="N821" s="140" t="s">
        <v>2668</v>
      </c>
      <c r="O821" s="140" t="s">
        <v>2105</v>
      </c>
      <c r="P821" s="140" t="s">
        <v>2105</v>
      </c>
      <c r="Q821" s="140" t="s">
        <v>2387</v>
      </c>
      <c r="R821" s="140" t="s">
        <v>2713</v>
      </c>
      <c r="S821" s="149">
        <f t="shared" si="30"/>
        <v>1.6999999999999999E-3</v>
      </c>
      <c r="T821" s="149">
        <v>0</v>
      </c>
      <c r="U821" s="157">
        <v>1.6999999999999999E-3</v>
      </c>
      <c r="V821" s="157">
        <v>1.4279999999999999</v>
      </c>
      <c r="W821" s="157">
        <v>5.68</v>
      </c>
      <c r="X821" s="149">
        <f t="shared" si="31"/>
        <v>8.1110399999999991</v>
      </c>
      <c r="Y821" s="149"/>
    </row>
    <row r="822" spans="1:25" ht="16">
      <c r="A822" s="117" t="s">
        <v>3570</v>
      </c>
      <c r="B822" s="150" t="s">
        <v>483</v>
      </c>
      <c r="C822" s="149" t="s">
        <v>1744</v>
      </c>
      <c r="D822" s="149" t="s">
        <v>3555</v>
      </c>
      <c r="E822" s="149" t="s">
        <v>466</v>
      </c>
      <c r="F822" s="149">
        <v>-26.423333299999999</v>
      </c>
      <c r="G822" s="149">
        <v>135.51333299999999</v>
      </c>
      <c r="H822" s="149">
        <v>201</v>
      </c>
      <c r="I822" s="151">
        <v>42816</v>
      </c>
      <c r="J822" s="149" t="s">
        <v>36</v>
      </c>
      <c r="K822" s="149" t="s">
        <v>419</v>
      </c>
      <c r="L822" s="155" t="s">
        <v>2566</v>
      </c>
      <c r="M822" s="155" t="s">
        <v>2567</v>
      </c>
      <c r="N822" s="155" t="s">
        <v>2668</v>
      </c>
      <c r="O822" s="140" t="s">
        <v>2600</v>
      </c>
      <c r="P822" s="149" t="s">
        <v>2735</v>
      </c>
      <c r="Q822" s="140" t="s">
        <v>2709</v>
      </c>
      <c r="R822" s="158" t="s">
        <v>2713</v>
      </c>
      <c r="S822" s="149">
        <f t="shared" si="30"/>
        <v>1E-3</v>
      </c>
      <c r="T822" s="149">
        <v>0</v>
      </c>
      <c r="U822" s="157">
        <v>1E-3</v>
      </c>
      <c r="V822" s="157">
        <v>1.472</v>
      </c>
      <c r="W822" s="157">
        <v>7.7910000000000004</v>
      </c>
      <c r="X822" s="149">
        <f t="shared" si="31"/>
        <v>11.468352000000001</v>
      </c>
      <c r="Y822" s="149"/>
    </row>
    <row r="823" spans="1:25" ht="16">
      <c r="A823" s="117" t="s">
        <v>3570</v>
      </c>
      <c r="B823" s="150" t="s">
        <v>484</v>
      </c>
      <c r="C823" s="149" t="s">
        <v>1744</v>
      </c>
      <c r="D823" s="149" t="s">
        <v>3555</v>
      </c>
      <c r="E823" s="149" t="s">
        <v>466</v>
      </c>
      <c r="F823" s="149">
        <v>-26.423333299999999</v>
      </c>
      <c r="G823" s="149">
        <v>135.51333299999999</v>
      </c>
      <c r="H823" s="149">
        <v>201</v>
      </c>
      <c r="I823" s="151">
        <v>42816</v>
      </c>
      <c r="J823" s="149" t="s">
        <v>36</v>
      </c>
      <c r="K823" s="149" t="s">
        <v>419</v>
      </c>
      <c r="L823" s="155" t="s">
        <v>2566</v>
      </c>
      <c r="M823" s="155" t="s">
        <v>2567</v>
      </c>
      <c r="N823" s="155" t="s">
        <v>2668</v>
      </c>
      <c r="O823" s="155" t="s">
        <v>2105</v>
      </c>
      <c r="P823" s="140" t="s">
        <v>2105</v>
      </c>
      <c r="Q823" s="140" t="s">
        <v>2387</v>
      </c>
      <c r="R823" s="155" t="s">
        <v>2713</v>
      </c>
      <c r="S823" s="149">
        <f t="shared" si="30"/>
        <v>6.9999999999999999E-4</v>
      </c>
      <c r="T823" s="149">
        <v>0</v>
      </c>
      <c r="U823" s="157">
        <v>6.9999999999999999E-4</v>
      </c>
      <c r="V823" s="157">
        <v>1.641</v>
      </c>
      <c r="W823" s="157">
        <v>6.91</v>
      </c>
      <c r="X823" s="149">
        <f t="shared" si="31"/>
        <v>11.339310000000001</v>
      </c>
      <c r="Y823" s="149"/>
    </row>
    <row r="824" spans="1:25" ht="16">
      <c r="A824" s="117" t="s">
        <v>3570</v>
      </c>
      <c r="B824" s="150" t="s">
        <v>485</v>
      </c>
      <c r="C824" s="149" t="s">
        <v>1744</v>
      </c>
      <c r="D824" s="149" t="s">
        <v>3555</v>
      </c>
      <c r="E824" s="149" t="s">
        <v>466</v>
      </c>
      <c r="F824" s="149">
        <v>-26.423333299999999</v>
      </c>
      <c r="G824" s="149">
        <v>135.51333299999999</v>
      </c>
      <c r="H824" s="149">
        <v>201</v>
      </c>
      <c r="I824" s="151">
        <v>42816</v>
      </c>
      <c r="J824" s="149" t="s">
        <v>36</v>
      </c>
      <c r="K824" s="149" t="s">
        <v>419</v>
      </c>
      <c r="L824" s="140" t="s">
        <v>2566</v>
      </c>
      <c r="M824" s="140" t="s">
        <v>2567</v>
      </c>
      <c r="N824" s="140" t="s">
        <v>2668</v>
      </c>
      <c r="O824" s="140" t="s">
        <v>2105</v>
      </c>
      <c r="P824" s="140" t="s">
        <v>2105</v>
      </c>
      <c r="Q824" s="140" t="s">
        <v>2387</v>
      </c>
      <c r="R824" s="140" t="s">
        <v>2713</v>
      </c>
      <c r="S824" s="149">
        <f t="shared" si="30"/>
        <v>8.0000000000000004E-4</v>
      </c>
      <c r="T824" s="149">
        <v>0</v>
      </c>
      <c r="U824" s="157">
        <v>8.0000000000000004E-4</v>
      </c>
      <c r="V824" s="157">
        <v>1.5329999999999999</v>
      </c>
      <c r="W824" s="157">
        <v>6.641</v>
      </c>
      <c r="X824" s="149">
        <f t="shared" si="31"/>
        <v>10.180653</v>
      </c>
      <c r="Y824" s="149"/>
    </row>
    <row r="825" spans="1:25" ht="16">
      <c r="A825" s="117" t="s">
        <v>3570</v>
      </c>
      <c r="B825" s="150" t="s">
        <v>486</v>
      </c>
      <c r="C825" s="149" t="s">
        <v>1744</v>
      </c>
      <c r="D825" s="149" t="s">
        <v>3555</v>
      </c>
      <c r="E825" s="149" t="s">
        <v>466</v>
      </c>
      <c r="F825" s="149">
        <v>-26.423333299999999</v>
      </c>
      <c r="G825" s="149">
        <v>135.51333299999999</v>
      </c>
      <c r="H825" s="149">
        <v>201</v>
      </c>
      <c r="I825" s="151">
        <v>42816</v>
      </c>
      <c r="J825" s="149" t="s">
        <v>36</v>
      </c>
      <c r="K825" s="149" t="s">
        <v>419</v>
      </c>
      <c r="L825" s="140" t="s">
        <v>2566</v>
      </c>
      <c r="M825" s="140" t="s">
        <v>2567</v>
      </c>
      <c r="N825" s="140" t="s">
        <v>2668</v>
      </c>
      <c r="O825" s="140" t="s">
        <v>2105</v>
      </c>
      <c r="P825" s="140" t="s">
        <v>2105</v>
      </c>
      <c r="Q825" s="140" t="s">
        <v>2387</v>
      </c>
      <c r="R825" s="140" t="s">
        <v>2713</v>
      </c>
      <c r="S825" s="149">
        <f t="shared" si="30"/>
        <v>6.9999999999999999E-4</v>
      </c>
      <c r="T825" s="149">
        <v>0</v>
      </c>
      <c r="U825" s="157">
        <v>6.9999999999999999E-4</v>
      </c>
      <c r="V825" s="157">
        <v>1.486</v>
      </c>
      <c r="W825" s="157">
        <v>6.681</v>
      </c>
      <c r="X825" s="149">
        <f t="shared" si="31"/>
        <v>9.9279659999999996</v>
      </c>
      <c r="Y825" s="149"/>
    </row>
    <row r="826" spans="1:25" ht="16">
      <c r="A826" s="117" t="s">
        <v>3570</v>
      </c>
      <c r="B826" s="150" t="s">
        <v>487</v>
      </c>
      <c r="C826" s="149" t="s">
        <v>1744</v>
      </c>
      <c r="D826" s="149" t="s">
        <v>3555</v>
      </c>
      <c r="E826" s="149" t="s">
        <v>466</v>
      </c>
      <c r="F826" s="149">
        <v>-26.423333299999999</v>
      </c>
      <c r="G826" s="149">
        <v>135.51333299999999</v>
      </c>
      <c r="H826" s="149">
        <v>201</v>
      </c>
      <c r="I826" s="151">
        <v>42816</v>
      </c>
      <c r="J826" s="149" t="s">
        <v>36</v>
      </c>
      <c r="K826" s="149" t="s">
        <v>419</v>
      </c>
      <c r="L826" s="140" t="s">
        <v>2566</v>
      </c>
      <c r="M826" s="140" t="s">
        <v>2567</v>
      </c>
      <c r="N826" s="140" t="s">
        <v>2668</v>
      </c>
      <c r="O826" s="140" t="s">
        <v>2105</v>
      </c>
      <c r="P826" s="140" t="s">
        <v>2105</v>
      </c>
      <c r="Q826" s="140" t="s">
        <v>2387</v>
      </c>
      <c r="R826" s="140" t="s">
        <v>2713</v>
      </c>
      <c r="S826" s="149">
        <f t="shared" si="30"/>
        <v>6.9999999999999999E-4</v>
      </c>
      <c r="T826" s="149">
        <v>0</v>
      </c>
      <c r="U826" s="157">
        <v>6.9999999999999999E-4</v>
      </c>
      <c r="V826" s="157">
        <v>1.601</v>
      </c>
      <c r="W826" s="157">
        <v>8.3629999999999995</v>
      </c>
      <c r="X826" s="149">
        <f t="shared" si="31"/>
        <v>13.389163</v>
      </c>
      <c r="Y826" s="149"/>
    </row>
    <row r="827" spans="1:25" ht="16">
      <c r="A827" s="117" t="s">
        <v>3570</v>
      </c>
      <c r="B827" s="150" t="s">
        <v>488</v>
      </c>
      <c r="C827" s="149" t="s">
        <v>1744</v>
      </c>
      <c r="D827" s="149" t="s">
        <v>3555</v>
      </c>
      <c r="E827" s="149" t="s">
        <v>466</v>
      </c>
      <c r="F827" s="149">
        <v>-26.423333299999999</v>
      </c>
      <c r="G827" s="149">
        <v>135.51333299999999</v>
      </c>
      <c r="H827" s="149">
        <v>201</v>
      </c>
      <c r="I827" s="151">
        <v>42816</v>
      </c>
      <c r="J827" s="149" t="s">
        <v>36</v>
      </c>
      <c r="K827" s="149" t="s">
        <v>419</v>
      </c>
      <c r="L827" s="140" t="s">
        <v>2566</v>
      </c>
      <c r="M827" s="140" t="s">
        <v>2567</v>
      </c>
      <c r="N827" s="140" t="s">
        <v>2668</v>
      </c>
      <c r="O827" s="140" t="s">
        <v>2600</v>
      </c>
      <c r="P827" s="149" t="s">
        <v>2735</v>
      </c>
      <c r="Q827" s="140" t="s">
        <v>2708</v>
      </c>
      <c r="R827" s="140" t="s">
        <v>2713</v>
      </c>
      <c r="S827" s="149">
        <f t="shared" si="30"/>
        <v>3.3E-3</v>
      </c>
      <c r="T827" s="149">
        <v>0</v>
      </c>
      <c r="U827" s="157">
        <v>3.3E-3</v>
      </c>
      <c r="V827" s="157">
        <v>1.9179999999999999</v>
      </c>
      <c r="W827" s="157">
        <v>11.105</v>
      </c>
      <c r="X827" s="149">
        <f t="shared" si="31"/>
        <v>21.299389999999999</v>
      </c>
      <c r="Y827" s="149"/>
    </row>
    <row r="828" spans="1:25" ht="16">
      <c r="A828" s="117" t="s">
        <v>3570</v>
      </c>
      <c r="B828" s="150" t="s">
        <v>489</v>
      </c>
      <c r="C828" s="149" t="s">
        <v>1744</v>
      </c>
      <c r="D828" s="149" t="s">
        <v>3555</v>
      </c>
      <c r="E828" s="149" t="s">
        <v>466</v>
      </c>
      <c r="F828" s="149">
        <v>-26.423333299999999</v>
      </c>
      <c r="G828" s="149">
        <v>135.51333299999999</v>
      </c>
      <c r="H828" s="149">
        <v>201</v>
      </c>
      <c r="I828" s="151">
        <v>42816</v>
      </c>
      <c r="J828" s="149" t="s">
        <v>36</v>
      </c>
      <c r="K828" s="149" t="s">
        <v>419</v>
      </c>
      <c r="L828" s="140" t="s">
        <v>2566</v>
      </c>
      <c r="M828" s="140" t="s">
        <v>2567</v>
      </c>
      <c r="N828" s="140" t="s">
        <v>2668</v>
      </c>
      <c r="O828" s="140" t="s">
        <v>2105</v>
      </c>
      <c r="P828" s="140" t="s">
        <v>2105</v>
      </c>
      <c r="Q828" s="140" t="s">
        <v>2387</v>
      </c>
      <c r="R828" s="140" t="s">
        <v>2713</v>
      </c>
      <c r="S828" s="149">
        <f t="shared" si="30"/>
        <v>8.0000000000000004E-4</v>
      </c>
      <c r="T828" s="149">
        <v>0</v>
      </c>
      <c r="U828" s="157">
        <v>8.0000000000000004E-4</v>
      </c>
      <c r="V828" s="157">
        <v>1.5369999999999999</v>
      </c>
      <c r="W828" s="157">
        <v>6.508</v>
      </c>
      <c r="X828" s="149">
        <f t="shared" si="31"/>
        <v>10.002796</v>
      </c>
      <c r="Y828" s="149"/>
    </row>
    <row r="829" spans="1:25" ht="16">
      <c r="A829" s="117" t="s">
        <v>3570</v>
      </c>
      <c r="B829" s="150" t="s">
        <v>428</v>
      </c>
      <c r="C829" s="149" t="s">
        <v>1744</v>
      </c>
      <c r="D829" s="149" t="s">
        <v>3555</v>
      </c>
      <c r="E829" s="149" t="s">
        <v>418</v>
      </c>
      <c r="F829" s="149">
        <v>-26.284722200000001</v>
      </c>
      <c r="G829" s="149">
        <v>136.09805556000001</v>
      </c>
      <c r="H829" s="149">
        <v>201</v>
      </c>
      <c r="I829" s="151">
        <v>42816</v>
      </c>
      <c r="J829" s="149" t="s">
        <v>36</v>
      </c>
      <c r="K829" s="149" t="s">
        <v>419</v>
      </c>
      <c r="L829" s="140" t="s">
        <v>2566</v>
      </c>
      <c r="M829" s="140" t="s">
        <v>2567</v>
      </c>
      <c r="N829" s="140" t="s">
        <v>2668</v>
      </c>
      <c r="O829" s="140" t="s">
        <v>2600</v>
      </c>
      <c r="P829" s="149" t="s">
        <v>2735</v>
      </c>
      <c r="Q829" s="140" t="s">
        <v>2667</v>
      </c>
      <c r="R829" s="149" t="s">
        <v>2713</v>
      </c>
      <c r="S829" s="149">
        <f t="shared" si="30"/>
        <v>4.1500000000000002E-2</v>
      </c>
      <c r="T829" s="140">
        <v>3.8671999999999998E-2</v>
      </c>
      <c r="U829" s="157">
        <v>2.8280000000000041E-3</v>
      </c>
      <c r="V829" s="157">
        <v>2.2999999999999998</v>
      </c>
      <c r="W829" s="157">
        <v>10.795999999999999</v>
      </c>
      <c r="X829" s="149">
        <f t="shared" si="31"/>
        <v>24.830799999999996</v>
      </c>
      <c r="Y829" s="149"/>
    </row>
    <row r="830" spans="1:25" ht="16">
      <c r="A830" s="117" t="s">
        <v>3570</v>
      </c>
      <c r="B830" s="150" t="s">
        <v>490</v>
      </c>
      <c r="C830" s="149" t="s">
        <v>1744</v>
      </c>
      <c r="D830" s="149" t="s">
        <v>3555</v>
      </c>
      <c r="E830" s="149" t="s">
        <v>466</v>
      </c>
      <c r="F830" s="149">
        <v>-26.423333299999999</v>
      </c>
      <c r="G830" s="149">
        <v>135.51333299999999</v>
      </c>
      <c r="H830" s="149">
        <v>201</v>
      </c>
      <c r="I830" s="151">
        <v>42816</v>
      </c>
      <c r="J830" s="149" t="s">
        <v>36</v>
      </c>
      <c r="K830" s="149" t="s">
        <v>419</v>
      </c>
      <c r="L830" s="140" t="s">
        <v>2566</v>
      </c>
      <c r="M830" s="140" t="s">
        <v>2567</v>
      </c>
      <c r="N830" s="140" t="s">
        <v>2668</v>
      </c>
      <c r="O830" s="140" t="s">
        <v>2600</v>
      </c>
      <c r="P830" s="149" t="s">
        <v>2735</v>
      </c>
      <c r="Q830" s="140" t="s">
        <v>2709</v>
      </c>
      <c r="R830" s="140" t="s">
        <v>2713</v>
      </c>
      <c r="S830" s="149">
        <f t="shared" si="30"/>
        <v>1.2999999999999999E-3</v>
      </c>
      <c r="T830" s="149">
        <v>0</v>
      </c>
      <c r="U830" s="157">
        <v>1.2999999999999999E-3</v>
      </c>
      <c r="V830" s="157">
        <v>1.621</v>
      </c>
      <c r="W830" s="157">
        <v>8.0410000000000004</v>
      </c>
      <c r="X830" s="149">
        <f t="shared" si="31"/>
        <v>13.034461</v>
      </c>
      <c r="Y830" s="149"/>
    </row>
    <row r="831" spans="1:25" ht="16">
      <c r="A831" s="117" t="s">
        <v>3570</v>
      </c>
      <c r="B831" s="150" t="s">
        <v>491</v>
      </c>
      <c r="C831" s="149" t="s">
        <v>1744</v>
      </c>
      <c r="D831" s="149" t="s">
        <v>3555</v>
      </c>
      <c r="E831" s="149" t="s">
        <v>466</v>
      </c>
      <c r="F831" s="149">
        <v>-26.423333299999999</v>
      </c>
      <c r="G831" s="149">
        <v>135.51333299999999</v>
      </c>
      <c r="H831" s="149">
        <v>201</v>
      </c>
      <c r="I831" s="151">
        <v>42816</v>
      </c>
      <c r="J831" s="149" t="s">
        <v>36</v>
      </c>
      <c r="K831" s="149" t="s">
        <v>419</v>
      </c>
      <c r="L831" s="140" t="s">
        <v>2566</v>
      </c>
      <c r="M831" s="140" t="s">
        <v>2567</v>
      </c>
      <c r="N831" s="140" t="s">
        <v>2668</v>
      </c>
      <c r="O831" s="140" t="s">
        <v>2105</v>
      </c>
      <c r="P831" s="140" t="s">
        <v>2105</v>
      </c>
      <c r="Q831" s="140" t="s">
        <v>2387</v>
      </c>
      <c r="R831" s="140" t="s">
        <v>2713</v>
      </c>
      <c r="S831" s="149">
        <f t="shared" si="30"/>
        <v>6.9999999999999999E-4</v>
      </c>
      <c r="T831" s="149">
        <v>0</v>
      </c>
      <c r="U831" s="157">
        <v>6.9999999999999999E-4</v>
      </c>
      <c r="V831" s="157">
        <v>1.5429999999999999</v>
      </c>
      <c r="W831" s="157">
        <v>6.2930000000000001</v>
      </c>
      <c r="X831" s="149">
        <f t="shared" si="31"/>
        <v>9.7100989999999996</v>
      </c>
      <c r="Y831" s="149"/>
    </row>
    <row r="832" spans="1:25" ht="16">
      <c r="A832" s="117" t="s">
        <v>3570</v>
      </c>
      <c r="B832" s="150" t="s">
        <v>492</v>
      </c>
      <c r="C832" s="149" t="s">
        <v>1744</v>
      </c>
      <c r="D832" s="149" t="s">
        <v>3555</v>
      </c>
      <c r="E832" s="149" t="s">
        <v>466</v>
      </c>
      <c r="F832" s="149">
        <v>-26.423333299999999</v>
      </c>
      <c r="G832" s="149">
        <v>135.51333299999999</v>
      </c>
      <c r="H832" s="149">
        <v>201</v>
      </c>
      <c r="I832" s="151">
        <v>42816</v>
      </c>
      <c r="J832" s="149" t="s">
        <v>36</v>
      </c>
      <c r="K832" s="149" t="s">
        <v>419</v>
      </c>
      <c r="L832" s="155" t="s">
        <v>2566</v>
      </c>
      <c r="M832" s="155" t="s">
        <v>2567</v>
      </c>
      <c r="N832" s="155" t="s">
        <v>2668</v>
      </c>
      <c r="O832" s="155" t="s">
        <v>2105</v>
      </c>
      <c r="P832" s="140" t="s">
        <v>2105</v>
      </c>
      <c r="Q832" s="140" t="s">
        <v>2387</v>
      </c>
      <c r="R832" s="155" t="s">
        <v>2713</v>
      </c>
      <c r="S832" s="149">
        <f t="shared" si="30"/>
        <v>1.6000000000000001E-3</v>
      </c>
      <c r="T832" s="149">
        <v>0</v>
      </c>
      <c r="U832" s="157">
        <v>1.6000000000000001E-3</v>
      </c>
      <c r="V832" s="157">
        <v>1.669</v>
      </c>
      <c r="W832" s="157">
        <v>7.681</v>
      </c>
      <c r="X832" s="149">
        <f t="shared" si="31"/>
        <v>12.819589000000001</v>
      </c>
      <c r="Y832" s="149"/>
    </row>
    <row r="833" spans="1:25" ht="16">
      <c r="A833" s="117" t="s">
        <v>3570</v>
      </c>
      <c r="B833" s="150" t="s">
        <v>493</v>
      </c>
      <c r="C833" s="149" t="s">
        <v>1744</v>
      </c>
      <c r="D833" s="149" t="s">
        <v>3555</v>
      </c>
      <c r="E833" s="149" t="s">
        <v>466</v>
      </c>
      <c r="F833" s="149">
        <v>-26.423333299999999</v>
      </c>
      <c r="G833" s="149">
        <v>135.51333299999999</v>
      </c>
      <c r="H833" s="149">
        <v>201</v>
      </c>
      <c r="I833" s="151">
        <v>42816</v>
      </c>
      <c r="J833" s="149" t="s">
        <v>36</v>
      </c>
      <c r="K833" s="149" t="s">
        <v>419</v>
      </c>
      <c r="L833" s="155" t="s">
        <v>2566</v>
      </c>
      <c r="M833" s="155" t="s">
        <v>2567</v>
      </c>
      <c r="N833" s="155" t="s">
        <v>2668</v>
      </c>
      <c r="O833" s="140" t="s">
        <v>2600</v>
      </c>
      <c r="P833" s="149" t="s">
        <v>2735</v>
      </c>
      <c r="Q833" s="140" t="s">
        <v>2709</v>
      </c>
      <c r="R833" s="158" t="s">
        <v>2713</v>
      </c>
      <c r="S833" s="149">
        <f t="shared" si="30"/>
        <v>1.2999999999999999E-3</v>
      </c>
      <c r="T833" s="149">
        <v>0</v>
      </c>
      <c r="U833" s="157">
        <v>1.2999999999999999E-3</v>
      </c>
      <c r="V833" s="157">
        <v>1.3049999999999999</v>
      </c>
      <c r="W833" s="157">
        <v>8.2560000000000002</v>
      </c>
      <c r="X833" s="149">
        <f t="shared" si="31"/>
        <v>10.77408</v>
      </c>
      <c r="Y833" s="149"/>
    </row>
    <row r="834" spans="1:25" ht="16">
      <c r="A834" s="117" t="s">
        <v>3570</v>
      </c>
      <c r="B834" s="150" t="s">
        <v>494</v>
      </c>
      <c r="C834" s="149" t="s">
        <v>1744</v>
      </c>
      <c r="D834" s="149" t="s">
        <v>3555</v>
      </c>
      <c r="E834" s="149" t="s">
        <v>466</v>
      </c>
      <c r="F834" s="149">
        <v>-26.423333299999999</v>
      </c>
      <c r="G834" s="149">
        <v>135.51333299999999</v>
      </c>
      <c r="H834" s="149">
        <v>201</v>
      </c>
      <c r="I834" s="151">
        <v>42816</v>
      </c>
      <c r="J834" s="149" t="s">
        <v>36</v>
      </c>
      <c r="K834" s="149" t="s">
        <v>419</v>
      </c>
      <c r="L834" s="155" t="s">
        <v>2566</v>
      </c>
      <c r="M834" s="155" t="s">
        <v>2567</v>
      </c>
      <c r="N834" s="155" t="s">
        <v>2668</v>
      </c>
      <c r="O834" s="155" t="s">
        <v>2105</v>
      </c>
      <c r="P834" s="140" t="s">
        <v>2105</v>
      </c>
      <c r="Q834" s="140" t="s">
        <v>2387</v>
      </c>
      <c r="R834" s="155" t="s">
        <v>2713</v>
      </c>
      <c r="S834" s="149">
        <f t="shared" si="30"/>
        <v>8.9999999999999998E-4</v>
      </c>
      <c r="T834" s="149">
        <v>0</v>
      </c>
      <c r="U834" s="157">
        <v>8.9999999999999998E-4</v>
      </c>
      <c r="V834" s="157">
        <v>1.3640000000000001</v>
      </c>
      <c r="W834" s="157">
        <v>6.9779999999999998</v>
      </c>
      <c r="X834" s="149">
        <f t="shared" si="31"/>
        <v>9.5179919999999996</v>
      </c>
      <c r="Y834" s="149"/>
    </row>
    <row r="835" spans="1:25" ht="16">
      <c r="A835" s="117" t="s">
        <v>3570</v>
      </c>
      <c r="B835" s="150" t="s">
        <v>495</v>
      </c>
      <c r="C835" s="149" t="s">
        <v>1744</v>
      </c>
      <c r="D835" s="149" t="s">
        <v>3555</v>
      </c>
      <c r="E835" s="149" t="s">
        <v>466</v>
      </c>
      <c r="F835" s="149">
        <v>-26.423333299999999</v>
      </c>
      <c r="G835" s="149">
        <v>135.51333299999999</v>
      </c>
      <c r="H835" s="149">
        <v>201</v>
      </c>
      <c r="I835" s="151">
        <v>42816</v>
      </c>
      <c r="J835" s="149" t="s">
        <v>36</v>
      </c>
      <c r="K835" s="149" t="s">
        <v>419</v>
      </c>
      <c r="L835" s="140" t="s">
        <v>2566</v>
      </c>
      <c r="M835" s="140" t="s">
        <v>2567</v>
      </c>
      <c r="N835" s="140" t="s">
        <v>2668</v>
      </c>
      <c r="O835" s="140" t="s">
        <v>2600</v>
      </c>
      <c r="P835" s="149" t="s">
        <v>2735</v>
      </c>
      <c r="Q835" s="140" t="s">
        <v>2709</v>
      </c>
      <c r="R835" s="140" t="s">
        <v>2713</v>
      </c>
      <c r="S835" s="149">
        <f t="shared" si="30"/>
        <v>1.9E-3</v>
      </c>
      <c r="T835" s="149">
        <v>0</v>
      </c>
      <c r="U835" s="157">
        <v>1.9E-3</v>
      </c>
      <c r="V835" s="157">
        <v>1.4990000000000001</v>
      </c>
      <c r="W835" s="157">
        <v>6.9130000000000003</v>
      </c>
      <c r="X835" s="149">
        <f t="shared" si="31"/>
        <v>10.362587000000001</v>
      </c>
      <c r="Y835" s="149"/>
    </row>
    <row r="836" spans="1:25" ht="16">
      <c r="A836" s="117" t="s">
        <v>3570</v>
      </c>
      <c r="B836" s="150" t="s">
        <v>496</v>
      </c>
      <c r="C836" s="149" t="s">
        <v>1744</v>
      </c>
      <c r="D836" s="149" t="s">
        <v>3555</v>
      </c>
      <c r="E836" s="149" t="s">
        <v>466</v>
      </c>
      <c r="F836" s="149">
        <v>-26.423333299999999</v>
      </c>
      <c r="G836" s="149">
        <v>135.51333299999999</v>
      </c>
      <c r="H836" s="149">
        <v>201</v>
      </c>
      <c r="I836" s="151">
        <v>42816</v>
      </c>
      <c r="J836" s="149" t="s">
        <v>36</v>
      </c>
      <c r="K836" s="149" t="s">
        <v>419</v>
      </c>
      <c r="L836" s="140" t="s">
        <v>2566</v>
      </c>
      <c r="M836" s="140" t="s">
        <v>2574</v>
      </c>
      <c r="N836" s="140" t="s">
        <v>3191</v>
      </c>
      <c r="O836" s="149" t="s">
        <v>2111</v>
      </c>
      <c r="P836" s="149" t="s">
        <v>2739</v>
      </c>
      <c r="Q836" s="140" t="s">
        <v>2692</v>
      </c>
      <c r="R836" s="140" t="s">
        <v>2713</v>
      </c>
      <c r="S836" s="149">
        <f t="shared" si="30"/>
        <v>2.5999999999999999E-3</v>
      </c>
      <c r="T836" s="149">
        <v>0</v>
      </c>
      <c r="U836" s="157">
        <v>2.5999999999999999E-3</v>
      </c>
      <c r="V836" s="157">
        <v>2.2509999999999999</v>
      </c>
      <c r="W836" s="157">
        <v>9.8940000000000001</v>
      </c>
      <c r="X836" s="149">
        <f t="shared" si="31"/>
        <v>22.271394000000001</v>
      </c>
      <c r="Y836" s="149"/>
    </row>
    <row r="837" spans="1:25" ht="16">
      <c r="A837" s="117" t="s">
        <v>3570</v>
      </c>
      <c r="B837" s="150" t="s">
        <v>497</v>
      </c>
      <c r="C837" s="149" t="s">
        <v>1744</v>
      </c>
      <c r="D837" s="149" t="s">
        <v>3555</v>
      </c>
      <c r="E837" s="149" t="s">
        <v>466</v>
      </c>
      <c r="F837" s="149">
        <v>-26.423333299999999</v>
      </c>
      <c r="G837" s="149">
        <v>135.51333299999999</v>
      </c>
      <c r="H837" s="149">
        <v>201</v>
      </c>
      <c r="I837" s="151">
        <v>42816</v>
      </c>
      <c r="J837" s="149" t="s">
        <v>36</v>
      </c>
      <c r="K837" s="149" t="s">
        <v>419</v>
      </c>
      <c r="L837" s="140" t="s">
        <v>2566</v>
      </c>
      <c r="M837" s="140" t="s">
        <v>2567</v>
      </c>
      <c r="N837" s="140" t="s">
        <v>2668</v>
      </c>
      <c r="O837" s="140" t="s">
        <v>2105</v>
      </c>
      <c r="P837" s="140" t="s">
        <v>2105</v>
      </c>
      <c r="Q837" s="140" t="s">
        <v>2387</v>
      </c>
      <c r="R837" s="140" t="s">
        <v>2713</v>
      </c>
      <c r="S837" s="149">
        <f t="shared" si="30"/>
        <v>6.9999999999999999E-4</v>
      </c>
      <c r="T837" s="149">
        <v>0</v>
      </c>
      <c r="U837" s="157">
        <v>6.9999999999999999E-4</v>
      </c>
      <c r="V837" s="157">
        <v>1.5269999999999999</v>
      </c>
      <c r="W837" s="157">
        <v>6.7670000000000003</v>
      </c>
      <c r="X837" s="149">
        <f t="shared" si="31"/>
        <v>10.333209</v>
      </c>
      <c r="Y837" s="149"/>
    </row>
    <row r="838" spans="1:25" ht="16">
      <c r="A838" s="117" t="s">
        <v>3570</v>
      </c>
      <c r="B838" s="150" t="s">
        <v>498</v>
      </c>
      <c r="C838" s="149" t="s">
        <v>1744</v>
      </c>
      <c r="D838" s="149" t="s">
        <v>3555</v>
      </c>
      <c r="E838" s="149" t="s">
        <v>466</v>
      </c>
      <c r="F838" s="149">
        <v>-26.423333299999999</v>
      </c>
      <c r="G838" s="149">
        <v>135.51333299999999</v>
      </c>
      <c r="H838" s="149">
        <v>201</v>
      </c>
      <c r="I838" s="151">
        <v>42816</v>
      </c>
      <c r="J838" s="149" t="s">
        <v>36</v>
      </c>
      <c r="K838" s="149" t="s">
        <v>419</v>
      </c>
      <c r="L838" s="140" t="s">
        <v>2566</v>
      </c>
      <c r="M838" s="140" t="s">
        <v>2567</v>
      </c>
      <c r="N838" s="140" t="s">
        <v>2668</v>
      </c>
      <c r="O838" s="140" t="s">
        <v>2600</v>
      </c>
      <c r="P838" s="149" t="s">
        <v>2735</v>
      </c>
      <c r="Q838" s="140" t="s">
        <v>2709</v>
      </c>
      <c r="R838" s="140" t="s">
        <v>2713</v>
      </c>
      <c r="S838" s="149">
        <f t="shared" si="30"/>
        <v>6.9999999999999999E-4</v>
      </c>
      <c r="T838" s="149">
        <v>0</v>
      </c>
      <c r="U838" s="157">
        <v>6.9999999999999999E-4</v>
      </c>
      <c r="V838" s="157">
        <v>1.722</v>
      </c>
      <c r="W838" s="157">
        <v>6.8520000000000003</v>
      </c>
      <c r="X838" s="149">
        <f t="shared" si="31"/>
        <v>11.799144</v>
      </c>
      <c r="Y838" s="149"/>
    </row>
    <row r="839" spans="1:25" ht="16">
      <c r="A839" s="117" t="s">
        <v>3570</v>
      </c>
      <c r="B839" s="150" t="s">
        <v>499</v>
      </c>
      <c r="C839" s="149" t="s">
        <v>1744</v>
      </c>
      <c r="D839" s="149" t="s">
        <v>3555</v>
      </c>
      <c r="E839" s="149" t="s">
        <v>466</v>
      </c>
      <c r="F839" s="149">
        <v>-26.423333299999999</v>
      </c>
      <c r="G839" s="149">
        <v>135.51333299999999</v>
      </c>
      <c r="H839" s="149">
        <v>201</v>
      </c>
      <c r="I839" s="151">
        <v>42816</v>
      </c>
      <c r="J839" s="149" t="s">
        <v>36</v>
      </c>
      <c r="K839" s="149" t="s">
        <v>419</v>
      </c>
      <c r="L839" s="140" t="s">
        <v>2566</v>
      </c>
      <c r="M839" s="140" t="s">
        <v>2574</v>
      </c>
      <c r="N839" s="140" t="s">
        <v>3191</v>
      </c>
      <c r="O839" s="149" t="s">
        <v>2111</v>
      </c>
      <c r="P839" s="149" t="s">
        <v>2739</v>
      </c>
      <c r="Q839" s="140" t="s">
        <v>2692</v>
      </c>
      <c r="R839" s="140" t="s">
        <v>2713</v>
      </c>
      <c r="S839" s="149">
        <f t="shared" si="30"/>
        <v>3.3999999999999998E-3</v>
      </c>
      <c r="T839" s="149">
        <v>0</v>
      </c>
      <c r="U839" s="157">
        <v>3.3999999999999998E-3</v>
      </c>
      <c r="V839" s="157">
        <v>2.5590000000000002</v>
      </c>
      <c r="W839" s="157">
        <v>10.59</v>
      </c>
      <c r="X839" s="149">
        <f t="shared" si="31"/>
        <v>27.099810000000002</v>
      </c>
      <c r="Y839" s="149"/>
    </row>
    <row r="840" spans="1:25" ht="16">
      <c r="A840" s="117" t="s">
        <v>3570</v>
      </c>
      <c r="B840" s="150" t="s">
        <v>429</v>
      </c>
      <c r="C840" s="149" t="s">
        <v>1744</v>
      </c>
      <c r="D840" s="149" t="s">
        <v>3555</v>
      </c>
      <c r="E840" s="149" t="s">
        <v>418</v>
      </c>
      <c r="F840" s="149">
        <v>-26.284722200000001</v>
      </c>
      <c r="G840" s="149">
        <v>136.09805556000001</v>
      </c>
      <c r="H840" s="149">
        <v>201</v>
      </c>
      <c r="I840" s="151">
        <v>42816</v>
      </c>
      <c r="J840" s="149" t="s">
        <v>36</v>
      </c>
      <c r="K840" s="149" t="s">
        <v>419</v>
      </c>
      <c r="L840" s="140" t="s">
        <v>2566</v>
      </c>
      <c r="M840" s="140" t="s">
        <v>2567</v>
      </c>
      <c r="N840" s="140" t="s">
        <v>2668</v>
      </c>
      <c r="O840" s="140" t="s">
        <v>2600</v>
      </c>
      <c r="P840" s="149" t="s">
        <v>2735</v>
      </c>
      <c r="Q840" s="140" t="s">
        <v>2667</v>
      </c>
      <c r="R840" s="140" t="s">
        <v>2713</v>
      </c>
      <c r="S840" s="149">
        <f t="shared" si="30"/>
        <v>4.7000000000000002E-3</v>
      </c>
      <c r="T840" s="149">
        <v>0</v>
      </c>
      <c r="U840" s="157">
        <v>4.7000000000000002E-3</v>
      </c>
      <c r="V840" s="157">
        <v>2.5</v>
      </c>
      <c r="W840" s="157">
        <v>9.9930000000000003</v>
      </c>
      <c r="X840" s="149">
        <f t="shared" si="31"/>
        <v>24.982500000000002</v>
      </c>
      <c r="Y840" s="149"/>
    </row>
    <row r="841" spans="1:25" ht="16">
      <c r="A841" s="117" t="s">
        <v>3570</v>
      </c>
      <c r="B841" s="150" t="s">
        <v>501</v>
      </c>
      <c r="C841" s="149" t="s">
        <v>1744</v>
      </c>
      <c r="D841" s="149" t="s">
        <v>3555</v>
      </c>
      <c r="E841" s="149" t="s">
        <v>466</v>
      </c>
      <c r="F841" s="149">
        <v>-26.423333299999999</v>
      </c>
      <c r="G841" s="149">
        <v>135.51333299999999</v>
      </c>
      <c r="H841" s="149">
        <v>201</v>
      </c>
      <c r="I841" s="151">
        <v>42816</v>
      </c>
      <c r="J841" s="149" t="s">
        <v>36</v>
      </c>
      <c r="K841" s="149" t="s">
        <v>419</v>
      </c>
      <c r="L841" s="155" t="s">
        <v>2566</v>
      </c>
      <c r="M841" s="155" t="s">
        <v>2567</v>
      </c>
      <c r="N841" s="155" t="s">
        <v>2668</v>
      </c>
      <c r="O841" s="155" t="s">
        <v>2105</v>
      </c>
      <c r="P841" s="140" t="s">
        <v>2105</v>
      </c>
      <c r="Q841" s="140" t="s">
        <v>2387</v>
      </c>
      <c r="R841" s="155" t="s">
        <v>2713</v>
      </c>
      <c r="S841" s="149">
        <f t="shared" si="30"/>
        <v>6.9999999999999999E-4</v>
      </c>
      <c r="T841" s="149">
        <v>0</v>
      </c>
      <c r="U841" s="157">
        <v>6.9999999999999999E-4</v>
      </c>
      <c r="V841" s="157">
        <v>1.5629999999999999</v>
      </c>
      <c r="W841" s="157">
        <v>6.9390000000000001</v>
      </c>
      <c r="X841" s="149">
        <f t="shared" si="31"/>
        <v>10.845656999999999</v>
      </c>
      <c r="Y841" s="149"/>
    </row>
    <row r="842" spans="1:25" ht="16">
      <c r="A842" s="117" t="s">
        <v>3570</v>
      </c>
      <c r="B842" s="150" t="s">
        <v>502</v>
      </c>
      <c r="C842" s="149" t="s">
        <v>1744</v>
      </c>
      <c r="D842" s="149" t="s">
        <v>3555</v>
      </c>
      <c r="E842" s="149" t="s">
        <v>466</v>
      </c>
      <c r="F842" s="149">
        <v>-26.423333299999999</v>
      </c>
      <c r="G842" s="149">
        <v>135.51333299999999</v>
      </c>
      <c r="H842" s="149">
        <v>201</v>
      </c>
      <c r="I842" s="151">
        <v>42816</v>
      </c>
      <c r="J842" s="149" t="s">
        <v>36</v>
      </c>
      <c r="K842" s="149" t="s">
        <v>419</v>
      </c>
      <c r="L842" s="140" t="s">
        <v>2569</v>
      </c>
      <c r="M842" s="140" t="s">
        <v>2570</v>
      </c>
      <c r="N842" s="140" t="s">
        <v>2571</v>
      </c>
      <c r="O842" s="140" t="s">
        <v>2369</v>
      </c>
      <c r="P842" s="140" t="s">
        <v>3556</v>
      </c>
      <c r="Q842" s="140" t="s">
        <v>2669</v>
      </c>
      <c r="R842" s="140" t="s">
        <v>2712</v>
      </c>
      <c r="S842" s="149">
        <f t="shared" si="30"/>
        <v>4.8999999999999998E-3</v>
      </c>
      <c r="T842" s="149">
        <v>0</v>
      </c>
      <c r="U842" s="157">
        <v>4.8999999999999998E-3</v>
      </c>
      <c r="V842" s="157">
        <v>2.7269999999999999</v>
      </c>
      <c r="W842" s="157">
        <v>11.72</v>
      </c>
      <c r="X842" s="149">
        <f t="shared" si="31"/>
        <v>31.960440000000002</v>
      </c>
      <c r="Y842" s="149"/>
    </row>
    <row r="843" spans="1:25" ht="16">
      <c r="A843" s="117" t="s">
        <v>3570</v>
      </c>
      <c r="B843" s="150" t="s">
        <v>503</v>
      </c>
      <c r="C843" s="149" t="s">
        <v>1744</v>
      </c>
      <c r="D843" s="149" t="s">
        <v>3555</v>
      </c>
      <c r="E843" s="149" t="s">
        <v>466</v>
      </c>
      <c r="F843" s="149">
        <v>-26.423333299999999</v>
      </c>
      <c r="G843" s="149">
        <v>135.51333299999999</v>
      </c>
      <c r="H843" s="149">
        <v>201</v>
      </c>
      <c r="I843" s="151">
        <v>42816</v>
      </c>
      <c r="J843" s="149" t="s">
        <v>36</v>
      </c>
      <c r="K843" s="149" t="s">
        <v>419</v>
      </c>
      <c r="L843" s="140" t="s">
        <v>2566</v>
      </c>
      <c r="M843" s="140" t="s">
        <v>2574</v>
      </c>
      <c r="N843" s="140" t="s">
        <v>3191</v>
      </c>
      <c r="O843" s="149" t="s">
        <v>2111</v>
      </c>
      <c r="P843" s="149" t="s">
        <v>2739</v>
      </c>
      <c r="Q843" s="140" t="s">
        <v>2692</v>
      </c>
      <c r="R843" s="140" t="s">
        <v>2713</v>
      </c>
      <c r="S843" s="149">
        <f t="shared" si="30"/>
        <v>4.1999999999999997E-3</v>
      </c>
      <c r="T843" s="149">
        <v>0</v>
      </c>
      <c r="U843" s="157">
        <v>4.1999999999999997E-3</v>
      </c>
      <c r="V843" s="157">
        <v>2.573</v>
      </c>
      <c r="W843" s="157">
        <v>11.587</v>
      </c>
      <c r="X843" s="149">
        <f t="shared" si="31"/>
        <v>29.813350999999997</v>
      </c>
      <c r="Y843" s="149"/>
    </row>
    <row r="844" spans="1:25" ht="16">
      <c r="A844" s="117" t="s">
        <v>3570</v>
      </c>
      <c r="B844" s="150" t="s">
        <v>504</v>
      </c>
      <c r="C844" s="149" t="s">
        <v>1744</v>
      </c>
      <c r="D844" s="149" t="s">
        <v>3555</v>
      </c>
      <c r="E844" s="149" t="s">
        <v>466</v>
      </c>
      <c r="F844" s="149">
        <v>-26.423333299999999</v>
      </c>
      <c r="G844" s="149">
        <v>135.51333299999999</v>
      </c>
      <c r="H844" s="149">
        <v>201</v>
      </c>
      <c r="I844" s="151">
        <v>42816</v>
      </c>
      <c r="J844" s="149" t="s">
        <v>36</v>
      </c>
      <c r="K844" s="149" t="s">
        <v>419</v>
      </c>
      <c r="L844" s="155" t="s">
        <v>2566</v>
      </c>
      <c r="M844" s="155" t="s">
        <v>2567</v>
      </c>
      <c r="N844" s="155" t="s">
        <v>2668</v>
      </c>
      <c r="O844" s="155" t="s">
        <v>2105</v>
      </c>
      <c r="P844" s="140" t="s">
        <v>2105</v>
      </c>
      <c r="Q844" s="140" t="s">
        <v>2387</v>
      </c>
      <c r="R844" s="155" t="s">
        <v>2713</v>
      </c>
      <c r="S844" s="149">
        <f t="shared" si="30"/>
        <v>6.9999999999999999E-4</v>
      </c>
      <c r="T844" s="149">
        <v>0</v>
      </c>
      <c r="U844" s="157">
        <v>6.9999999999999999E-4</v>
      </c>
      <c r="V844" s="157">
        <v>1.2909999999999999</v>
      </c>
      <c r="W844" s="157">
        <v>5.7009999999999996</v>
      </c>
      <c r="X844" s="149">
        <f t="shared" si="31"/>
        <v>7.3599909999999991</v>
      </c>
      <c r="Y844" s="149"/>
    </row>
    <row r="845" spans="1:25" ht="16">
      <c r="A845" s="117" t="s">
        <v>3570</v>
      </c>
      <c r="B845" s="150" t="s">
        <v>505</v>
      </c>
      <c r="C845" s="149" t="s">
        <v>1744</v>
      </c>
      <c r="D845" s="149" t="s">
        <v>3555</v>
      </c>
      <c r="E845" s="149" t="s">
        <v>466</v>
      </c>
      <c r="F845" s="149">
        <v>-26.423333299999999</v>
      </c>
      <c r="G845" s="149">
        <v>135.51333299999999</v>
      </c>
      <c r="H845" s="149">
        <v>201</v>
      </c>
      <c r="I845" s="151">
        <v>42816</v>
      </c>
      <c r="J845" s="149" t="s">
        <v>36</v>
      </c>
      <c r="K845" s="149" t="s">
        <v>419</v>
      </c>
      <c r="L845" s="140" t="s">
        <v>2566</v>
      </c>
      <c r="M845" s="140" t="s">
        <v>2574</v>
      </c>
      <c r="N845" s="140" t="s">
        <v>3191</v>
      </c>
      <c r="O845" s="149" t="s">
        <v>2111</v>
      </c>
      <c r="P845" s="149" t="s">
        <v>2739</v>
      </c>
      <c r="Q845" s="140" t="s">
        <v>2692</v>
      </c>
      <c r="R845" s="140" t="s">
        <v>2712</v>
      </c>
      <c r="S845" s="149">
        <f t="shared" si="30"/>
        <v>3.0000000000000001E-3</v>
      </c>
      <c r="T845" s="149">
        <v>0</v>
      </c>
      <c r="U845" s="157">
        <v>3.0000000000000001E-3</v>
      </c>
      <c r="V845" s="157">
        <v>2.2189999999999999</v>
      </c>
      <c r="W845" s="157">
        <v>9.8740000000000006</v>
      </c>
      <c r="X845" s="149">
        <f t="shared" si="31"/>
        <v>21.910405999999998</v>
      </c>
      <c r="Y845" s="149"/>
    </row>
    <row r="846" spans="1:25" ht="16">
      <c r="A846" s="117" t="s">
        <v>3570</v>
      </c>
      <c r="B846" s="150" t="s">
        <v>507</v>
      </c>
      <c r="C846" s="149" t="s">
        <v>1744</v>
      </c>
      <c r="D846" s="149" t="s">
        <v>3555</v>
      </c>
      <c r="E846" s="149" t="s">
        <v>466</v>
      </c>
      <c r="F846" s="149">
        <v>-26.423333299999999</v>
      </c>
      <c r="G846" s="149">
        <v>135.51333299999999</v>
      </c>
      <c r="H846" s="149">
        <v>201</v>
      </c>
      <c r="I846" s="151">
        <v>42816</v>
      </c>
      <c r="J846" s="149" t="s">
        <v>36</v>
      </c>
      <c r="K846" s="149" t="s">
        <v>419</v>
      </c>
      <c r="L846" s="155" t="s">
        <v>2566</v>
      </c>
      <c r="M846" s="155" t="s">
        <v>2567</v>
      </c>
      <c r="N846" s="155" t="s">
        <v>2668</v>
      </c>
      <c r="O846" s="155" t="s">
        <v>2105</v>
      </c>
      <c r="P846" s="140" t="s">
        <v>2105</v>
      </c>
      <c r="Q846" s="140" t="s">
        <v>2387</v>
      </c>
      <c r="R846" s="155" t="s">
        <v>2713</v>
      </c>
      <c r="S846" s="149">
        <f t="shared" si="30"/>
        <v>5.9999999999999995E-4</v>
      </c>
      <c r="T846" s="149">
        <v>0</v>
      </c>
      <c r="U846" s="157">
        <v>5.9999999999999995E-4</v>
      </c>
      <c r="V846" s="157">
        <v>1.3839999999999999</v>
      </c>
      <c r="W846" s="157">
        <v>7.1020000000000003</v>
      </c>
      <c r="X846" s="149">
        <f t="shared" si="31"/>
        <v>9.8291679999999992</v>
      </c>
      <c r="Y846" s="149"/>
    </row>
    <row r="847" spans="1:25" ht="16">
      <c r="A847" s="117" t="s">
        <v>3570</v>
      </c>
      <c r="B847" s="150" t="s">
        <v>508</v>
      </c>
      <c r="C847" s="149" t="s">
        <v>1744</v>
      </c>
      <c r="D847" s="149" t="s">
        <v>3555</v>
      </c>
      <c r="E847" s="149" t="s">
        <v>466</v>
      </c>
      <c r="F847" s="149">
        <v>-26.423333299999999</v>
      </c>
      <c r="G847" s="149">
        <v>135.51333299999999</v>
      </c>
      <c r="H847" s="149">
        <v>201</v>
      </c>
      <c r="I847" s="151">
        <v>42816</v>
      </c>
      <c r="J847" s="149" t="s">
        <v>36</v>
      </c>
      <c r="K847" s="149" t="s">
        <v>419</v>
      </c>
      <c r="L847" s="155" t="s">
        <v>2566</v>
      </c>
      <c r="M847" s="155" t="s">
        <v>2567</v>
      </c>
      <c r="N847" s="155" t="s">
        <v>2668</v>
      </c>
      <c r="O847" s="140" t="s">
        <v>2600</v>
      </c>
      <c r="P847" s="149" t="s">
        <v>2735</v>
      </c>
      <c r="Q847" s="140" t="s">
        <v>2709</v>
      </c>
      <c r="R847" s="158" t="s">
        <v>2713</v>
      </c>
      <c r="S847" s="149">
        <f t="shared" si="30"/>
        <v>8.9999999999999998E-4</v>
      </c>
      <c r="T847" s="149">
        <v>0</v>
      </c>
      <c r="U847" s="157">
        <v>8.9999999999999998E-4</v>
      </c>
      <c r="V847" s="157">
        <v>1.446</v>
      </c>
      <c r="W847" s="157">
        <v>7.3680000000000003</v>
      </c>
      <c r="X847" s="149">
        <f t="shared" si="31"/>
        <v>10.654128</v>
      </c>
      <c r="Y847" s="149"/>
    </row>
    <row r="848" spans="1:25" ht="16">
      <c r="A848" s="117" t="s">
        <v>3570</v>
      </c>
      <c r="B848" s="150" t="s">
        <v>509</v>
      </c>
      <c r="C848" s="149" t="s">
        <v>1744</v>
      </c>
      <c r="D848" s="149" t="s">
        <v>3555</v>
      </c>
      <c r="E848" s="149" t="s">
        <v>466</v>
      </c>
      <c r="F848" s="149">
        <v>-26.423333299999999</v>
      </c>
      <c r="G848" s="149">
        <v>135.51333299999999</v>
      </c>
      <c r="H848" s="149">
        <v>201</v>
      </c>
      <c r="I848" s="151">
        <v>42816</v>
      </c>
      <c r="J848" s="149" t="s">
        <v>36</v>
      </c>
      <c r="K848" s="149" t="s">
        <v>419</v>
      </c>
      <c r="L848" s="140" t="s">
        <v>2566</v>
      </c>
      <c r="M848" s="140" t="s">
        <v>2567</v>
      </c>
      <c r="N848" s="140" t="s">
        <v>2668</v>
      </c>
      <c r="O848" s="140" t="s">
        <v>2600</v>
      </c>
      <c r="P848" s="149" t="s">
        <v>2735</v>
      </c>
      <c r="Q848" s="140" t="s">
        <v>2708</v>
      </c>
      <c r="R848" s="140" t="s">
        <v>2713</v>
      </c>
      <c r="S848" s="149">
        <f t="shared" si="30"/>
        <v>2.3E-3</v>
      </c>
      <c r="T848" s="149">
        <v>0</v>
      </c>
      <c r="U848" s="157">
        <v>2.3E-3</v>
      </c>
      <c r="V848" s="157">
        <v>1.486</v>
      </c>
      <c r="W848" s="157">
        <v>6.2030000000000003</v>
      </c>
      <c r="X848" s="149">
        <f t="shared" si="31"/>
        <v>9.2176580000000001</v>
      </c>
      <c r="Y848" s="149"/>
    </row>
    <row r="849" spans="1:25" ht="16">
      <c r="A849" s="117" t="s">
        <v>3570</v>
      </c>
      <c r="B849" s="150" t="s">
        <v>510</v>
      </c>
      <c r="C849" s="149" t="s">
        <v>1744</v>
      </c>
      <c r="D849" s="149" t="s">
        <v>3555</v>
      </c>
      <c r="E849" s="149" t="s">
        <v>463</v>
      </c>
      <c r="F849" s="149">
        <v>-25.754722220000001</v>
      </c>
      <c r="G849" s="149">
        <v>135.26305556</v>
      </c>
      <c r="H849" s="149">
        <v>202</v>
      </c>
      <c r="I849" s="151">
        <v>42815</v>
      </c>
      <c r="J849" s="149" t="s">
        <v>36</v>
      </c>
      <c r="K849" s="149" t="s">
        <v>419</v>
      </c>
      <c r="L849" s="140" t="s">
        <v>2566</v>
      </c>
      <c r="M849" s="140" t="s">
        <v>2574</v>
      </c>
      <c r="N849" s="140" t="s">
        <v>3191</v>
      </c>
      <c r="O849" s="149" t="s">
        <v>2111</v>
      </c>
      <c r="P849" s="149" t="s">
        <v>2739</v>
      </c>
      <c r="Q849" s="140" t="s">
        <v>2692</v>
      </c>
      <c r="R849" s="140" t="s">
        <v>2712</v>
      </c>
      <c r="S849" s="149">
        <f t="shared" si="30"/>
        <v>5.3E-3</v>
      </c>
      <c r="T849" s="149">
        <v>0</v>
      </c>
      <c r="U849" s="157">
        <v>5.3E-3</v>
      </c>
      <c r="V849" s="157">
        <v>2.8490000000000002</v>
      </c>
      <c r="W849" s="157">
        <v>12.414999999999999</v>
      </c>
      <c r="X849" s="149">
        <f t="shared" si="31"/>
        <v>35.370334999999997</v>
      </c>
      <c r="Y849" s="149"/>
    </row>
    <row r="850" spans="1:25" ht="16">
      <c r="A850" s="117" t="s">
        <v>3570</v>
      </c>
      <c r="B850" s="150" t="s">
        <v>512</v>
      </c>
      <c r="C850" s="149" t="s">
        <v>1744</v>
      </c>
      <c r="D850" s="149" t="s">
        <v>3555</v>
      </c>
      <c r="E850" s="149" t="s">
        <v>463</v>
      </c>
      <c r="F850" s="149">
        <v>-25.754722220000001</v>
      </c>
      <c r="G850" s="149">
        <v>135.26305556</v>
      </c>
      <c r="H850" s="149">
        <v>202</v>
      </c>
      <c r="I850" s="151">
        <v>42815</v>
      </c>
      <c r="J850" s="149" t="s">
        <v>36</v>
      </c>
      <c r="K850" s="149" t="s">
        <v>419</v>
      </c>
      <c r="L850" s="140" t="s">
        <v>2569</v>
      </c>
      <c r="M850" s="140" t="s">
        <v>2570</v>
      </c>
      <c r="N850" s="140" t="s">
        <v>2571</v>
      </c>
      <c r="O850" s="140" t="s">
        <v>2369</v>
      </c>
      <c r="P850" s="140" t="s">
        <v>3556</v>
      </c>
      <c r="Q850" s="140" t="s">
        <v>2673</v>
      </c>
      <c r="R850" s="140" t="s">
        <v>2713</v>
      </c>
      <c r="S850" s="149">
        <f t="shared" si="30"/>
        <v>4.1999999999999997E-3</v>
      </c>
      <c r="T850" s="149">
        <v>0</v>
      </c>
      <c r="U850" s="157">
        <v>4.1999999999999997E-3</v>
      </c>
      <c r="V850" s="157">
        <v>2.4449999999999998</v>
      </c>
      <c r="W850" s="157">
        <v>11.102</v>
      </c>
      <c r="X850" s="149">
        <f t="shared" si="31"/>
        <v>27.144389999999998</v>
      </c>
      <c r="Y850" s="149"/>
    </row>
    <row r="851" spans="1:25" ht="16">
      <c r="A851" s="117" t="s">
        <v>3570</v>
      </c>
      <c r="B851" s="150" t="s">
        <v>513</v>
      </c>
      <c r="C851" s="149" t="s">
        <v>1744</v>
      </c>
      <c r="D851" s="149" t="s">
        <v>3555</v>
      </c>
      <c r="E851" s="149" t="s">
        <v>463</v>
      </c>
      <c r="F851" s="149">
        <v>-25.754722220000001</v>
      </c>
      <c r="G851" s="149">
        <v>135.26305556</v>
      </c>
      <c r="H851" s="149">
        <v>202</v>
      </c>
      <c r="I851" s="151">
        <v>42815</v>
      </c>
      <c r="J851" s="149" t="s">
        <v>36</v>
      </c>
      <c r="K851" s="149" t="s">
        <v>419</v>
      </c>
      <c r="L851" s="140" t="s">
        <v>2569</v>
      </c>
      <c r="M851" s="140" t="s">
        <v>2570</v>
      </c>
      <c r="N851" s="140" t="s">
        <v>2571</v>
      </c>
      <c r="O851" s="140" t="s">
        <v>2369</v>
      </c>
      <c r="P851" s="140" t="s">
        <v>2737</v>
      </c>
      <c r="Q851" s="140" t="s">
        <v>2671</v>
      </c>
      <c r="R851" s="140" t="s">
        <v>2712</v>
      </c>
      <c r="S851" s="149">
        <f t="shared" si="30"/>
        <v>8.2000000000000007E-3</v>
      </c>
      <c r="T851" s="149">
        <v>0</v>
      </c>
      <c r="U851" s="157">
        <v>8.2000000000000007E-3</v>
      </c>
      <c r="V851" s="157">
        <v>3.367</v>
      </c>
      <c r="W851" s="157">
        <v>13.137</v>
      </c>
      <c r="X851" s="149">
        <f t="shared" si="31"/>
        <v>44.232278999999998</v>
      </c>
      <c r="Y851" s="149"/>
    </row>
    <row r="852" spans="1:25" ht="16">
      <c r="A852" s="117" t="s">
        <v>3570</v>
      </c>
      <c r="B852" s="150" t="s">
        <v>514</v>
      </c>
      <c r="C852" s="149" t="s">
        <v>1744</v>
      </c>
      <c r="D852" s="149" t="s">
        <v>3555</v>
      </c>
      <c r="E852" s="149" t="s">
        <v>466</v>
      </c>
      <c r="F852" s="149">
        <v>-26.423333299999999</v>
      </c>
      <c r="G852" s="149">
        <v>135.51333299999999</v>
      </c>
      <c r="H852" s="149">
        <v>201</v>
      </c>
      <c r="I852" s="151">
        <v>42816</v>
      </c>
      <c r="J852" s="149" t="s">
        <v>36</v>
      </c>
      <c r="K852" s="149" t="s">
        <v>419</v>
      </c>
      <c r="L852" s="155" t="s">
        <v>2566</v>
      </c>
      <c r="M852" s="155" t="s">
        <v>2567</v>
      </c>
      <c r="N852" s="155" t="s">
        <v>2668</v>
      </c>
      <c r="O852" s="140" t="s">
        <v>2600</v>
      </c>
      <c r="P852" s="149" t="s">
        <v>2735</v>
      </c>
      <c r="Q852" s="140" t="s">
        <v>2709</v>
      </c>
      <c r="R852" s="158" t="s">
        <v>2713</v>
      </c>
      <c r="S852" s="149">
        <f t="shared" si="30"/>
        <v>5.9999999999999995E-4</v>
      </c>
      <c r="T852" s="149">
        <v>0</v>
      </c>
      <c r="U852" s="157">
        <v>5.9999999999999995E-4</v>
      </c>
      <c r="V852" s="157">
        <v>1.52</v>
      </c>
      <c r="W852" s="157">
        <v>8.0730000000000004</v>
      </c>
      <c r="X852" s="149">
        <f t="shared" si="31"/>
        <v>12.270960000000001</v>
      </c>
      <c r="Y852" s="149"/>
    </row>
    <row r="853" spans="1:25" ht="16">
      <c r="A853" s="117" t="s">
        <v>3570</v>
      </c>
      <c r="B853" s="150" t="s">
        <v>515</v>
      </c>
      <c r="C853" s="149" t="s">
        <v>1744</v>
      </c>
      <c r="D853" s="149" t="s">
        <v>3555</v>
      </c>
      <c r="E853" s="149" t="s">
        <v>463</v>
      </c>
      <c r="F853" s="149">
        <v>-25.754722220000001</v>
      </c>
      <c r="G853" s="149">
        <v>135.26305556</v>
      </c>
      <c r="H853" s="149">
        <v>202</v>
      </c>
      <c r="I853" s="151">
        <v>42815</v>
      </c>
      <c r="J853" s="149" t="s">
        <v>36</v>
      </c>
      <c r="K853" s="149" t="s">
        <v>419</v>
      </c>
      <c r="L853" s="140" t="s">
        <v>2569</v>
      </c>
      <c r="M853" s="140" t="s">
        <v>2570</v>
      </c>
      <c r="N853" s="140" t="s">
        <v>2571</v>
      </c>
      <c r="O853" s="140" t="s">
        <v>2369</v>
      </c>
      <c r="P853" s="140" t="s">
        <v>3556</v>
      </c>
      <c r="Q853" s="140" t="s">
        <v>2669</v>
      </c>
      <c r="R853" s="140" t="s">
        <v>2713</v>
      </c>
      <c r="S853" s="149">
        <f t="shared" si="30"/>
        <v>6.1000000000000004E-3</v>
      </c>
      <c r="T853" s="149">
        <v>0</v>
      </c>
      <c r="U853" s="157">
        <v>6.1000000000000004E-3</v>
      </c>
      <c r="V853" s="157">
        <v>2.7959999999999998</v>
      </c>
      <c r="W853" s="157">
        <v>11.231999999999999</v>
      </c>
      <c r="X853" s="149">
        <f t="shared" si="31"/>
        <v>31.404671999999994</v>
      </c>
      <c r="Y853" s="149"/>
    </row>
    <row r="854" spans="1:25" ht="16">
      <c r="A854" s="117" t="s">
        <v>3570</v>
      </c>
      <c r="B854" s="150" t="s">
        <v>516</v>
      </c>
      <c r="C854" s="149" t="s">
        <v>1744</v>
      </c>
      <c r="D854" s="149" t="s">
        <v>3555</v>
      </c>
      <c r="E854" s="149" t="s">
        <v>463</v>
      </c>
      <c r="F854" s="149">
        <v>-25.754722220000001</v>
      </c>
      <c r="G854" s="149">
        <v>135.26305556</v>
      </c>
      <c r="H854" s="149">
        <v>202</v>
      </c>
      <c r="I854" s="151">
        <v>42815</v>
      </c>
      <c r="J854" s="149" t="s">
        <v>36</v>
      </c>
      <c r="K854" s="149" t="s">
        <v>419</v>
      </c>
      <c r="L854" s="140" t="s">
        <v>2566</v>
      </c>
      <c r="M854" s="140" t="s">
        <v>2574</v>
      </c>
      <c r="N854" s="140" t="s">
        <v>3191</v>
      </c>
      <c r="O854" s="149" t="s">
        <v>2111</v>
      </c>
      <c r="P854" s="149" t="s">
        <v>2739</v>
      </c>
      <c r="Q854" s="140" t="s">
        <v>2692</v>
      </c>
      <c r="R854" s="140" t="s">
        <v>2713</v>
      </c>
      <c r="S854" s="149">
        <f t="shared" ref="S854:S878" si="32">T854+U854</f>
        <v>6.0000000000000001E-3</v>
      </c>
      <c r="T854" s="149">
        <v>0</v>
      </c>
      <c r="U854" s="157">
        <v>6.0000000000000001E-3</v>
      </c>
      <c r="V854" s="157">
        <v>2.5659999999999998</v>
      </c>
      <c r="W854" s="157">
        <v>11.362</v>
      </c>
      <c r="X854" s="149">
        <f t="shared" si="31"/>
        <v>29.154891999999997</v>
      </c>
      <c r="Y854" s="149"/>
    </row>
    <row r="855" spans="1:25" ht="16">
      <c r="A855" s="117" t="s">
        <v>3570</v>
      </c>
      <c r="B855" s="150" t="s">
        <v>517</v>
      </c>
      <c r="C855" s="149" t="s">
        <v>1744</v>
      </c>
      <c r="D855" s="149" t="s">
        <v>3555</v>
      </c>
      <c r="E855" s="149" t="s">
        <v>463</v>
      </c>
      <c r="F855" s="149">
        <v>-25.754722220000001</v>
      </c>
      <c r="G855" s="149">
        <v>135.26305556</v>
      </c>
      <c r="H855" s="149">
        <v>202</v>
      </c>
      <c r="I855" s="151">
        <v>42815</v>
      </c>
      <c r="J855" s="149" t="s">
        <v>36</v>
      </c>
      <c r="K855" s="149" t="s">
        <v>419</v>
      </c>
      <c r="L855" s="140" t="s">
        <v>2566</v>
      </c>
      <c r="M855" s="140" t="s">
        <v>2574</v>
      </c>
      <c r="N855" s="140" t="s">
        <v>3191</v>
      </c>
      <c r="O855" s="149" t="s">
        <v>2111</v>
      </c>
      <c r="P855" s="149" t="s">
        <v>2739</v>
      </c>
      <c r="Q855" s="140" t="s">
        <v>2692</v>
      </c>
      <c r="R855" s="140" t="s">
        <v>2712</v>
      </c>
      <c r="S855" s="149">
        <f t="shared" si="32"/>
        <v>5.1999999999999998E-3</v>
      </c>
      <c r="T855" s="149">
        <v>0</v>
      </c>
      <c r="U855" s="157">
        <v>5.1999999999999998E-3</v>
      </c>
      <c r="V855" s="157">
        <v>2.5329999999999999</v>
      </c>
      <c r="W855" s="157">
        <v>8.9090000000000007</v>
      </c>
      <c r="X855" s="149">
        <f t="shared" si="31"/>
        <v>22.566497000000002</v>
      </c>
      <c r="Y855" s="149"/>
    </row>
    <row r="856" spans="1:25" ht="16">
      <c r="A856" s="117" t="s">
        <v>3570</v>
      </c>
      <c r="B856" s="150" t="s">
        <v>518</v>
      </c>
      <c r="C856" s="149" t="s">
        <v>1744</v>
      </c>
      <c r="D856" s="149" t="s">
        <v>3555</v>
      </c>
      <c r="E856" s="149" t="s">
        <v>466</v>
      </c>
      <c r="F856" s="149">
        <v>-26.423333299999999</v>
      </c>
      <c r="G856" s="149">
        <v>135.51333299999999</v>
      </c>
      <c r="H856" s="149">
        <v>201</v>
      </c>
      <c r="I856" s="151">
        <v>42816</v>
      </c>
      <c r="J856" s="149" t="s">
        <v>36</v>
      </c>
      <c r="K856" s="149" t="s">
        <v>419</v>
      </c>
      <c r="L856" s="155" t="s">
        <v>2566</v>
      </c>
      <c r="M856" s="155" t="s">
        <v>2567</v>
      </c>
      <c r="N856" s="155" t="s">
        <v>2668</v>
      </c>
      <c r="O856" s="158" t="s">
        <v>2105</v>
      </c>
      <c r="P856" s="140" t="s">
        <v>2105</v>
      </c>
      <c r="Q856" s="140" t="s">
        <v>2387</v>
      </c>
      <c r="R856" s="158" t="s">
        <v>2713</v>
      </c>
      <c r="S856" s="149">
        <f t="shared" si="32"/>
        <v>5.9999999999999995E-4</v>
      </c>
      <c r="T856" s="149">
        <v>0</v>
      </c>
      <c r="U856" s="157">
        <v>5.9999999999999995E-4</v>
      </c>
      <c r="V856" s="157">
        <v>1.405</v>
      </c>
      <c r="W856" s="157">
        <v>6.5369999999999999</v>
      </c>
      <c r="X856" s="149">
        <f t="shared" si="31"/>
        <v>9.1844850000000005</v>
      </c>
      <c r="Y856" s="149"/>
    </row>
    <row r="857" spans="1:25" ht="16">
      <c r="A857" s="117" t="s">
        <v>3570</v>
      </c>
      <c r="B857" s="150" t="s">
        <v>519</v>
      </c>
      <c r="C857" s="149" t="s">
        <v>1744</v>
      </c>
      <c r="D857" s="149" t="s">
        <v>3555</v>
      </c>
      <c r="E857" s="149" t="s">
        <v>466</v>
      </c>
      <c r="F857" s="149">
        <v>-26.423333299999999</v>
      </c>
      <c r="G857" s="149">
        <v>135.51333299999999</v>
      </c>
      <c r="H857" s="149">
        <v>201</v>
      </c>
      <c r="I857" s="151">
        <v>42816</v>
      </c>
      <c r="J857" s="149" t="s">
        <v>36</v>
      </c>
      <c r="K857" s="149" t="s">
        <v>419</v>
      </c>
      <c r="L857" s="155" t="s">
        <v>2566</v>
      </c>
      <c r="M857" s="155" t="s">
        <v>2567</v>
      </c>
      <c r="N857" s="155" t="s">
        <v>2668</v>
      </c>
      <c r="O857" s="140" t="s">
        <v>2600</v>
      </c>
      <c r="P857" s="149" t="s">
        <v>2735</v>
      </c>
      <c r="Q857" s="140" t="s">
        <v>2709</v>
      </c>
      <c r="R857" s="158" t="s">
        <v>2713</v>
      </c>
      <c r="S857" s="149">
        <f t="shared" si="32"/>
        <v>8.9999999999999998E-4</v>
      </c>
      <c r="T857" s="149">
        <v>0</v>
      </c>
      <c r="U857" s="157">
        <v>8.9999999999999998E-4</v>
      </c>
      <c r="V857" s="157">
        <v>1.6160000000000001</v>
      </c>
      <c r="W857" s="157">
        <v>7.0720000000000001</v>
      </c>
      <c r="X857" s="149">
        <f t="shared" si="31"/>
        <v>11.428352</v>
      </c>
      <c r="Y857" s="149"/>
    </row>
    <row r="858" spans="1:25" ht="16">
      <c r="A858" s="117" t="s">
        <v>3570</v>
      </c>
      <c r="B858" s="150" t="s">
        <v>520</v>
      </c>
      <c r="C858" s="149" t="s">
        <v>1744</v>
      </c>
      <c r="D858" s="149" t="s">
        <v>3555</v>
      </c>
      <c r="E858" s="149" t="s">
        <v>463</v>
      </c>
      <c r="F858" s="149">
        <v>-25.754722220000001</v>
      </c>
      <c r="G858" s="149">
        <v>135.26305556</v>
      </c>
      <c r="H858" s="149">
        <v>202</v>
      </c>
      <c r="I858" s="151">
        <v>42815</v>
      </c>
      <c r="J858" s="149" t="s">
        <v>36</v>
      </c>
      <c r="K858" s="149" t="s">
        <v>419</v>
      </c>
      <c r="L858" s="140" t="s">
        <v>2572</v>
      </c>
      <c r="M858" s="140" t="s">
        <v>2576</v>
      </c>
      <c r="N858" s="140" t="s">
        <v>36</v>
      </c>
      <c r="O858" s="140" t="s">
        <v>2679</v>
      </c>
      <c r="P858" s="140" t="s">
        <v>2679</v>
      </c>
      <c r="Q858" s="140" t="s">
        <v>2680</v>
      </c>
      <c r="R858" s="140" t="s">
        <v>2712</v>
      </c>
      <c r="S858" s="149">
        <f t="shared" si="32"/>
        <v>5.4000000000000003E-3</v>
      </c>
      <c r="T858" s="149">
        <v>0</v>
      </c>
      <c r="U858" s="157">
        <v>5.4000000000000003E-3</v>
      </c>
      <c r="V858" s="157">
        <v>3.141</v>
      </c>
      <c r="W858" s="157">
        <v>13.755000000000001</v>
      </c>
      <c r="X858" s="149">
        <f t="shared" si="31"/>
        <v>43.204455000000003</v>
      </c>
      <c r="Y858" s="149"/>
    </row>
    <row r="859" spans="1:25" ht="16">
      <c r="A859" s="117" t="s">
        <v>3570</v>
      </c>
      <c r="B859" s="150" t="s">
        <v>432</v>
      </c>
      <c r="C859" s="149" t="s">
        <v>1744</v>
      </c>
      <c r="D859" s="149" t="s">
        <v>3555</v>
      </c>
      <c r="E859" s="149" t="s">
        <v>418</v>
      </c>
      <c r="F859" s="149">
        <v>-26.284722200000001</v>
      </c>
      <c r="G859" s="149">
        <v>136.09805556000001</v>
      </c>
      <c r="H859" s="149">
        <v>201</v>
      </c>
      <c r="I859" s="151">
        <v>42816</v>
      </c>
      <c r="J859" s="149" t="s">
        <v>36</v>
      </c>
      <c r="K859" s="149" t="s">
        <v>419</v>
      </c>
      <c r="L859" s="140" t="s">
        <v>2566</v>
      </c>
      <c r="M859" s="140" t="s">
        <v>2574</v>
      </c>
      <c r="N859" s="140" t="s">
        <v>3191</v>
      </c>
      <c r="O859" s="149" t="s">
        <v>2111</v>
      </c>
      <c r="P859" s="149" t="s">
        <v>2739</v>
      </c>
      <c r="Q859" s="140" t="s">
        <v>2693</v>
      </c>
      <c r="R859" s="140" t="s">
        <v>2713</v>
      </c>
      <c r="S859" s="149">
        <f t="shared" si="32"/>
        <v>5.04E-2</v>
      </c>
      <c r="T859" s="140">
        <v>3.8671999999999998E-2</v>
      </c>
      <c r="U859" s="157">
        <v>1.1728000000000002E-2</v>
      </c>
      <c r="V859" s="157">
        <v>3.2669999999999999</v>
      </c>
      <c r="W859" s="157">
        <v>15.914</v>
      </c>
      <c r="X859" s="149">
        <f t="shared" si="31"/>
        <v>51.991037999999996</v>
      </c>
      <c r="Y859" s="149"/>
    </row>
    <row r="860" spans="1:25" ht="16">
      <c r="A860" s="117" t="s">
        <v>3570</v>
      </c>
      <c r="B860" s="150" t="s">
        <v>521</v>
      </c>
      <c r="C860" s="149" t="s">
        <v>1744</v>
      </c>
      <c r="D860" s="149" t="s">
        <v>3555</v>
      </c>
      <c r="E860" s="149" t="s">
        <v>466</v>
      </c>
      <c r="F860" s="149">
        <v>-26.423333299999999</v>
      </c>
      <c r="G860" s="149">
        <v>135.51333299999999</v>
      </c>
      <c r="H860" s="149">
        <v>201</v>
      </c>
      <c r="I860" s="151">
        <v>42816</v>
      </c>
      <c r="J860" s="149" t="s">
        <v>36</v>
      </c>
      <c r="K860" s="149" t="s">
        <v>419</v>
      </c>
      <c r="L860" s="155" t="s">
        <v>2566</v>
      </c>
      <c r="M860" s="155" t="s">
        <v>2567</v>
      </c>
      <c r="N860" s="155" t="s">
        <v>2668</v>
      </c>
      <c r="O860" s="155" t="s">
        <v>2105</v>
      </c>
      <c r="P860" s="140" t="s">
        <v>2105</v>
      </c>
      <c r="Q860" s="140" t="s">
        <v>2387</v>
      </c>
      <c r="R860" s="155" t="s">
        <v>2712</v>
      </c>
      <c r="S860" s="149">
        <f t="shared" si="32"/>
        <v>5.0000000000000001E-4</v>
      </c>
      <c r="T860" s="149">
        <v>0</v>
      </c>
      <c r="U860" s="157">
        <v>5.0000000000000001E-4</v>
      </c>
      <c r="V860" s="157">
        <v>1.1539999999999999</v>
      </c>
      <c r="W860" s="157">
        <v>5.1740000000000004</v>
      </c>
      <c r="X860" s="149">
        <f t="shared" si="31"/>
        <v>5.970796</v>
      </c>
      <c r="Y860" s="149"/>
    </row>
    <row r="861" spans="1:25" ht="16">
      <c r="A861" s="117" t="s">
        <v>3570</v>
      </c>
      <c r="B861" s="150" t="s">
        <v>523</v>
      </c>
      <c r="C861" s="149" t="s">
        <v>1744</v>
      </c>
      <c r="D861" s="149" t="s">
        <v>3555</v>
      </c>
      <c r="E861" s="149" t="s">
        <v>466</v>
      </c>
      <c r="F861" s="149">
        <v>-26.423333299999999</v>
      </c>
      <c r="G861" s="149">
        <v>135.51333299999999</v>
      </c>
      <c r="H861" s="149">
        <v>201</v>
      </c>
      <c r="I861" s="151">
        <v>42816</v>
      </c>
      <c r="J861" s="149" t="s">
        <v>36</v>
      </c>
      <c r="K861" s="149" t="s">
        <v>419</v>
      </c>
      <c r="L861" s="155" t="s">
        <v>2566</v>
      </c>
      <c r="M861" s="155" t="s">
        <v>2567</v>
      </c>
      <c r="N861" s="155" t="s">
        <v>2668</v>
      </c>
      <c r="O861" s="155" t="s">
        <v>2105</v>
      </c>
      <c r="P861" s="140" t="s">
        <v>2105</v>
      </c>
      <c r="Q861" s="140" t="s">
        <v>2387</v>
      </c>
      <c r="R861" s="155" t="s">
        <v>2712</v>
      </c>
      <c r="S861" s="149">
        <f t="shared" si="32"/>
        <v>4.0000000000000002E-4</v>
      </c>
      <c r="T861" s="149">
        <v>0</v>
      </c>
      <c r="U861" s="157">
        <v>4.0000000000000002E-4</v>
      </c>
      <c r="V861" s="157">
        <v>1.1020000000000001</v>
      </c>
      <c r="W861" s="157">
        <v>4.835</v>
      </c>
      <c r="X861" s="149">
        <f t="shared" si="31"/>
        <v>5.3281700000000001</v>
      </c>
      <c r="Y861" s="149"/>
    </row>
    <row r="862" spans="1:25" ht="16">
      <c r="A862" s="117" t="s">
        <v>3570</v>
      </c>
      <c r="B862" s="150" t="s">
        <v>524</v>
      </c>
      <c r="C862" s="149" t="s">
        <v>1744</v>
      </c>
      <c r="D862" s="149" t="s">
        <v>3555</v>
      </c>
      <c r="E862" s="149" t="s">
        <v>466</v>
      </c>
      <c r="F862" s="149">
        <v>-26.423333299999999</v>
      </c>
      <c r="G862" s="149">
        <v>135.51333299999999</v>
      </c>
      <c r="H862" s="149">
        <v>201</v>
      </c>
      <c r="I862" s="151">
        <v>42816</v>
      </c>
      <c r="J862" s="149" t="s">
        <v>36</v>
      </c>
      <c r="K862" s="149" t="s">
        <v>419</v>
      </c>
      <c r="L862" s="140" t="s">
        <v>2566</v>
      </c>
      <c r="M862" s="140" t="s">
        <v>2567</v>
      </c>
      <c r="N862" s="140" t="s">
        <v>2668</v>
      </c>
      <c r="O862" s="140" t="s">
        <v>2105</v>
      </c>
      <c r="P862" s="140" t="s">
        <v>2105</v>
      </c>
      <c r="Q862" s="140" t="s">
        <v>2387</v>
      </c>
      <c r="R862" s="140" t="s">
        <v>2713</v>
      </c>
      <c r="S862" s="149">
        <f t="shared" si="32"/>
        <v>8.0000000000000004E-4</v>
      </c>
      <c r="T862" s="149">
        <v>0</v>
      </c>
      <c r="U862" s="157">
        <v>8.0000000000000004E-4</v>
      </c>
      <c r="V862" s="157">
        <v>1.5129999999999999</v>
      </c>
      <c r="W862" s="157">
        <v>6.62</v>
      </c>
      <c r="X862" s="149">
        <f t="shared" si="31"/>
        <v>10.01606</v>
      </c>
      <c r="Y862" s="149"/>
    </row>
    <row r="863" spans="1:25" ht="16">
      <c r="A863" s="117" t="s">
        <v>3570</v>
      </c>
      <c r="B863" s="150" t="s">
        <v>525</v>
      </c>
      <c r="C863" s="149" t="s">
        <v>1744</v>
      </c>
      <c r="D863" s="149" t="s">
        <v>3555</v>
      </c>
      <c r="E863" s="149" t="s">
        <v>466</v>
      </c>
      <c r="F863" s="149">
        <v>-26.423333299999999</v>
      </c>
      <c r="G863" s="149">
        <v>135.51333299999999</v>
      </c>
      <c r="H863" s="149">
        <v>201</v>
      </c>
      <c r="I863" s="151">
        <v>42816</v>
      </c>
      <c r="J863" s="149" t="s">
        <v>36</v>
      </c>
      <c r="K863" s="149" t="s">
        <v>419</v>
      </c>
      <c r="L863" s="155" t="s">
        <v>2566</v>
      </c>
      <c r="M863" s="155" t="s">
        <v>2567</v>
      </c>
      <c r="N863" s="155" t="s">
        <v>2668</v>
      </c>
      <c r="O863" s="155" t="s">
        <v>2105</v>
      </c>
      <c r="P863" s="140" t="s">
        <v>2105</v>
      </c>
      <c r="Q863" s="140" t="s">
        <v>2387</v>
      </c>
      <c r="R863" s="155" t="s">
        <v>2712</v>
      </c>
      <c r="S863" s="149">
        <f t="shared" si="32"/>
        <v>5.9999999999999995E-4</v>
      </c>
      <c r="T863" s="149">
        <v>0</v>
      </c>
      <c r="U863" s="157">
        <v>5.9999999999999995E-4</v>
      </c>
      <c r="V863" s="157">
        <v>1.157</v>
      </c>
      <c r="W863" s="157">
        <v>5.2859999999999996</v>
      </c>
      <c r="X863" s="149">
        <f t="shared" si="31"/>
        <v>6.1159019999999993</v>
      </c>
      <c r="Y863" s="149"/>
    </row>
    <row r="864" spans="1:25" ht="16">
      <c r="A864" s="117" t="s">
        <v>3570</v>
      </c>
      <c r="B864" s="150" t="s">
        <v>526</v>
      </c>
      <c r="C864" s="149" t="s">
        <v>1744</v>
      </c>
      <c r="D864" s="149" t="s">
        <v>3555</v>
      </c>
      <c r="E864" s="149" t="s">
        <v>466</v>
      </c>
      <c r="F864" s="149">
        <v>-26.423333299999999</v>
      </c>
      <c r="G864" s="149">
        <v>135.51333299999999</v>
      </c>
      <c r="H864" s="149">
        <v>201</v>
      </c>
      <c r="I864" s="151">
        <v>42816</v>
      </c>
      <c r="J864" s="149" t="s">
        <v>36</v>
      </c>
      <c r="K864" s="149" t="s">
        <v>419</v>
      </c>
      <c r="L864" s="140" t="s">
        <v>2566</v>
      </c>
      <c r="M864" s="140" t="s">
        <v>2567</v>
      </c>
      <c r="N864" s="140" t="s">
        <v>2668</v>
      </c>
      <c r="O864" s="140" t="s">
        <v>2105</v>
      </c>
      <c r="P864" s="140" t="s">
        <v>2105</v>
      </c>
      <c r="Q864" s="140" t="s">
        <v>2387</v>
      </c>
      <c r="R864" s="140" t="s">
        <v>2712</v>
      </c>
      <c r="S864" s="149">
        <f t="shared" si="32"/>
        <v>4.0000000000000002E-4</v>
      </c>
      <c r="T864" s="149">
        <v>0</v>
      </c>
      <c r="U864" s="157">
        <v>4.0000000000000002E-4</v>
      </c>
      <c r="V864" s="157">
        <v>0.998</v>
      </c>
      <c r="W864" s="157">
        <v>4.3440000000000003</v>
      </c>
      <c r="X864" s="149">
        <f t="shared" si="31"/>
        <v>4.3353120000000001</v>
      </c>
      <c r="Y864" s="149"/>
    </row>
    <row r="865" spans="1:25" ht="16">
      <c r="A865" s="117" t="s">
        <v>3570</v>
      </c>
      <c r="B865" s="150" t="s">
        <v>527</v>
      </c>
      <c r="C865" s="149" t="s">
        <v>1744</v>
      </c>
      <c r="D865" s="149" t="s">
        <v>3555</v>
      </c>
      <c r="E865" s="149" t="s">
        <v>466</v>
      </c>
      <c r="F865" s="149">
        <v>-26.423333299999999</v>
      </c>
      <c r="G865" s="149">
        <v>135.51333299999999</v>
      </c>
      <c r="H865" s="149">
        <v>201</v>
      </c>
      <c r="I865" s="151">
        <v>42816</v>
      </c>
      <c r="J865" s="149" t="s">
        <v>36</v>
      </c>
      <c r="K865" s="149" t="s">
        <v>419</v>
      </c>
      <c r="L865" s="140" t="s">
        <v>2566</v>
      </c>
      <c r="M865" s="140" t="s">
        <v>2567</v>
      </c>
      <c r="N865" s="140" t="s">
        <v>2668</v>
      </c>
      <c r="O865" s="140" t="s">
        <v>2105</v>
      </c>
      <c r="P865" s="140" t="s">
        <v>2105</v>
      </c>
      <c r="Q865" s="140" t="s">
        <v>2387</v>
      </c>
      <c r="R865" s="140" t="s">
        <v>2713</v>
      </c>
      <c r="S865" s="149">
        <f t="shared" si="32"/>
        <v>5.0000000000000001E-4</v>
      </c>
      <c r="T865" s="149">
        <v>0</v>
      </c>
      <c r="U865" s="157">
        <v>5.0000000000000001E-4</v>
      </c>
      <c r="V865" s="157">
        <v>1.671</v>
      </c>
      <c r="W865" s="157">
        <v>6.907</v>
      </c>
      <c r="X865" s="149">
        <f t="shared" si="31"/>
        <v>11.541597000000001</v>
      </c>
      <c r="Y865" s="149"/>
    </row>
    <row r="866" spans="1:25" ht="16">
      <c r="A866" s="117" t="s">
        <v>3570</v>
      </c>
      <c r="B866" s="150" t="s">
        <v>528</v>
      </c>
      <c r="C866" s="149" t="s">
        <v>1744</v>
      </c>
      <c r="D866" s="149" t="s">
        <v>3555</v>
      </c>
      <c r="E866" s="149" t="s">
        <v>466</v>
      </c>
      <c r="F866" s="149">
        <v>-26.423333299999999</v>
      </c>
      <c r="G866" s="149">
        <v>135.51333299999999</v>
      </c>
      <c r="H866" s="149">
        <v>201</v>
      </c>
      <c r="I866" s="151">
        <v>42816</v>
      </c>
      <c r="J866" s="149" t="s">
        <v>36</v>
      </c>
      <c r="K866" s="149" t="s">
        <v>419</v>
      </c>
      <c r="L866" s="140" t="s">
        <v>2566</v>
      </c>
      <c r="M866" s="140" t="s">
        <v>2567</v>
      </c>
      <c r="N866" s="140" t="s">
        <v>2668</v>
      </c>
      <c r="O866" s="140" t="s">
        <v>2105</v>
      </c>
      <c r="P866" s="140" t="s">
        <v>2105</v>
      </c>
      <c r="Q866" s="140" t="s">
        <v>2387</v>
      </c>
      <c r="R866" s="140" t="s">
        <v>2713</v>
      </c>
      <c r="S866" s="149">
        <f t="shared" si="32"/>
        <v>5.9999999999999995E-4</v>
      </c>
      <c r="T866" s="149">
        <v>0</v>
      </c>
      <c r="U866" s="157">
        <v>5.9999999999999995E-4</v>
      </c>
      <c r="V866" s="157">
        <v>1.776</v>
      </c>
      <c r="W866" s="157">
        <v>7.0839999999999996</v>
      </c>
      <c r="X866" s="149">
        <f t="shared" si="31"/>
        <v>12.581184</v>
      </c>
      <c r="Y866" s="149"/>
    </row>
    <row r="867" spans="1:25" ht="16">
      <c r="A867" s="117" t="s">
        <v>3570</v>
      </c>
      <c r="B867" s="150" t="s">
        <v>529</v>
      </c>
      <c r="C867" s="149" t="s">
        <v>1744</v>
      </c>
      <c r="D867" s="149" t="s">
        <v>3555</v>
      </c>
      <c r="E867" s="149" t="s">
        <v>466</v>
      </c>
      <c r="F867" s="149">
        <v>-26.423333299999999</v>
      </c>
      <c r="G867" s="149">
        <v>135.51333299999999</v>
      </c>
      <c r="H867" s="149">
        <v>201</v>
      </c>
      <c r="I867" s="151">
        <v>42816</v>
      </c>
      <c r="J867" s="149" t="s">
        <v>36</v>
      </c>
      <c r="K867" s="149" t="s">
        <v>419</v>
      </c>
      <c r="L867" s="140" t="s">
        <v>2566</v>
      </c>
      <c r="M867" s="140" t="s">
        <v>2567</v>
      </c>
      <c r="N867" s="140" t="s">
        <v>2668</v>
      </c>
      <c r="O867" s="140" t="s">
        <v>2105</v>
      </c>
      <c r="P867" s="140" t="s">
        <v>2105</v>
      </c>
      <c r="Q867" s="140" t="s">
        <v>2387</v>
      </c>
      <c r="R867" s="140" t="s">
        <v>2712</v>
      </c>
      <c r="S867" s="149">
        <f t="shared" si="32"/>
        <v>2.0000000000000001E-4</v>
      </c>
      <c r="T867" s="149">
        <v>0</v>
      </c>
      <c r="U867" s="157">
        <v>2.0000000000000001E-4</v>
      </c>
      <c r="V867" s="157">
        <v>1.212</v>
      </c>
      <c r="W867" s="157">
        <v>4.4989999999999997</v>
      </c>
      <c r="X867" s="149">
        <f t="shared" si="31"/>
        <v>5.4527879999999991</v>
      </c>
      <c r="Y867" s="149"/>
    </row>
    <row r="868" spans="1:25" ht="16">
      <c r="A868" s="117" t="s">
        <v>3570</v>
      </c>
      <c r="B868" s="150" t="s">
        <v>530</v>
      </c>
      <c r="C868" s="149" t="s">
        <v>1744</v>
      </c>
      <c r="D868" s="149" t="s">
        <v>3555</v>
      </c>
      <c r="E868" s="149" t="s">
        <v>466</v>
      </c>
      <c r="F868" s="149">
        <v>-26.423333299999999</v>
      </c>
      <c r="G868" s="149">
        <v>135.51333299999999</v>
      </c>
      <c r="H868" s="149">
        <v>201</v>
      </c>
      <c r="I868" s="151">
        <v>42816</v>
      </c>
      <c r="J868" s="149" t="s">
        <v>36</v>
      </c>
      <c r="K868" s="149" t="s">
        <v>419</v>
      </c>
      <c r="L868" s="155" t="s">
        <v>2566</v>
      </c>
      <c r="M868" s="155" t="s">
        <v>2567</v>
      </c>
      <c r="N868" s="155" t="s">
        <v>2668</v>
      </c>
      <c r="O868" s="155" t="s">
        <v>2105</v>
      </c>
      <c r="P868" s="140" t="s">
        <v>2105</v>
      </c>
      <c r="Q868" s="140" t="s">
        <v>2387</v>
      </c>
      <c r="R868" s="155" t="s">
        <v>2712</v>
      </c>
      <c r="S868" s="149">
        <f t="shared" si="32"/>
        <v>5.0000000000000001E-4</v>
      </c>
      <c r="T868" s="149">
        <v>0</v>
      </c>
      <c r="U868" s="157">
        <v>5.0000000000000001E-4</v>
      </c>
      <c r="V868" s="157">
        <v>1.179</v>
      </c>
      <c r="W868" s="157">
        <v>5.3810000000000002</v>
      </c>
      <c r="X868" s="149">
        <f t="shared" si="31"/>
        <v>6.3441990000000006</v>
      </c>
      <c r="Y868" s="149"/>
    </row>
    <row r="869" spans="1:25" ht="16">
      <c r="A869" s="117" t="s">
        <v>3570</v>
      </c>
      <c r="B869" s="150" t="s">
        <v>536</v>
      </c>
      <c r="C869" s="149" t="s">
        <v>1744</v>
      </c>
      <c r="D869" s="149" t="s">
        <v>3555</v>
      </c>
      <c r="E869" s="149" t="s">
        <v>466</v>
      </c>
      <c r="F869" s="149">
        <v>-26.423333299999999</v>
      </c>
      <c r="G869" s="149">
        <v>135.51333299999999</v>
      </c>
      <c r="H869" s="149">
        <v>201</v>
      </c>
      <c r="I869" s="151">
        <v>42816</v>
      </c>
      <c r="J869" s="149" t="s">
        <v>36</v>
      </c>
      <c r="K869" s="149" t="s">
        <v>419</v>
      </c>
      <c r="L869" s="140" t="s">
        <v>2566</v>
      </c>
      <c r="M869" s="140" t="s">
        <v>2567</v>
      </c>
      <c r="N869" s="140" t="s">
        <v>2668</v>
      </c>
      <c r="O869" s="140" t="s">
        <v>2600</v>
      </c>
      <c r="P869" s="149" t="s">
        <v>2735</v>
      </c>
      <c r="Q869" s="140" t="s">
        <v>2709</v>
      </c>
      <c r="R869" s="149" t="s">
        <v>2713</v>
      </c>
      <c r="S869" s="149">
        <f t="shared" si="32"/>
        <v>1E-3</v>
      </c>
      <c r="T869" s="149">
        <v>0</v>
      </c>
      <c r="U869" s="157">
        <v>1E-3</v>
      </c>
      <c r="V869" s="157">
        <v>1.5329999999999999</v>
      </c>
      <c r="W869" s="157">
        <v>7.1879999999999997</v>
      </c>
      <c r="X869" s="149">
        <f t="shared" si="31"/>
        <v>11.019203999999998</v>
      </c>
      <c r="Y869" s="149"/>
    </row>
    <row r="870" spans="1:25" ht="16">
      <c r="A870" s="117" t="s">
        <v>3570</v>
      </c>
      <c r="B870" s="150" t="s">
        <v>506</v>
      </c>
      <c r="C870" s="149" t="s">
        <v>1744</v>
      </c>
      <c r="D870" s="149" t="s">
        <v>3555</v>
      </c>
      <c r="E870" s="149" t="s">
        <v>466</v>
      </c>
      <c r="F870" s="149">
        <v>-26.423333299999999</v>
      </c>
      <c r="G870" s="149">
        <v>135.51333299999999</v>
      </c>
      <c r="H870" s="149">
        <v>201</v>
      </c>
      <c r="I870" s="151">
        <v>42816</v>
      </c>
      <c r="J870" s="149" t="s">
        <v>36</v>
      </c>
      <c r="K870" s="149" t="s">
        <v>419</v>
      </c>
      <c r="L870" s="140" t="s">
        <v>2569</v>
      </c>
      <c r="M870" s="140" t="s">
        <v>2570</v>
      </c>
      <c r="N870" s="140" t="s">
        <v>2571</v>
      </c>
      <c r="O870" s="140" t="s">
        <v>2369</v>
      </c>
      <c r="P870" s="140" t="s">
        <v>3556</v>
      </c>
      <c r="Q870" s="140" t="s">
        <v>2669</v>
      </c>
      <c r="R870" s="149" t="s">
        <v>2713</v>
      </c>
      <c r="S870" s="149">
        <f t="shared" si="32"/>
        <v>7.3000000000000001E-3</v>
      </c>
      <c r="T870" s="149">
        <v>0</v>
      </c>
      <c r="U870" s="157">
        <v>7.3000000000000001E-3</v>
      </c>
      <c r="V870" s="157">
        <v>2.9889999999999999</v>
      </c>
      <c r="W870" s="157">
        <v>11.215</v>
      </c>
      <c r="X870" s="149">
        <f t="shared" si="31"/>
        <v>33.521634999999996</v>
      </c>
      <c r="Y870" s="149"/>
    </row>
    <row r="871" spans="1:25" ht="16">
      <c r="A871" s="117" t="s">
        <v>3570</v>
      </c>
      <c r="B871" s="150" t="s">
        <v>805</v>
      </c>
      <c r="C871" s="149" t="s">
        <v>1744</v>
      </c>
      <c r="D871" s="149" t="s">
        <v>3555</v>
      </c>
      <c r="E871" s="149" t="s">
        <v>593</v>
      </c>
      <c r="F871" s="149">
        <v>-26.365555560000001</v>
      </c>
      <c r="G871" s="149">
        <v>135.79</v>
      </c>
      <c r="H871" s="149">
        <v>201</v>
      </c>
      <c r="I871" s="151">
        <v>42816</v>
      </c>
      <c r="J871" s="149" t="s">
        <v>36</v>
      </c>
      <c r="K871" s="149" t="s">
        <v>419</v>
      </c>
      <c r="L871" s="140" t="s">
        <v>2566</v>
      </c>
      <c r="M871" s="140" t="s">
        <v>2567</v>
      </c>
      <c r="N871" s="140" t="s">
        <v>2668</v>
      </c>
      <c r="O871" s="140" t="s">
        <v>2105</v>
      </c>
      <c r="P871" s="140" t="s">
        <v>2105</v>
      </c>
      <c r="Q871" s="140" t="s">
        <v>2387</v>
      </c>
      <c r="R871" s="149" t="s">
        <v>2713</v>
      </c>
      <c r="S871" s="149">
        <f t="shared" si="32"/>
        <v>5.0000000000000001E-4</v>
      </c>
      <c r="T871" s="149">
        <v>0</v>
      </c>
      <c r="U871" s="157">
        <v>5.0000000000000001E-4</v>
      </c>
      <c r="V871" s="157">
        <v>1.5820000000000001</v>
      </c>
      <c r="W871" s="157">
        <v>6.226</v>
      </c>
      <c r="X871" s="149">
        <f t="shared" si="31"/>
        <v>9.849532</v>
      </c>
      <c r="Y871" s="149"/>
    </row>
    <row r="872" spans="1:25" ht="16">
      <c r="A872" s="117" t="s">
        <v>3570</v>
      </c>
      <c r="B872" s="150" t="s">
        <v>806</v>
      </c>
      <c r="C872" s="149" t="s">
        <v>1744</v>
      </c>
      <c r="D872" s="149" t="s">
        <v>3555</v>
      </c>
      <c r="E872" s="149" t="s">
        <v>593</v>
      </c>
      <c r="F872" s="149">
        <v>-26.365555560000001</v>
      </c>
      <c r="G872" s="149">
        <v>135.79</v>
      </c>
      <c r="H872" s="149">
        <v>201</v>
      </c>
      <c r="I872" s="151">
        <v>42816</v>
      </c>
      <c r="J872" s="149" t="s">
        <v>36</v>
      </c>
      <c r="K872" s="149" t="s">
        <v>419</v>
      </c>
      <c r="L872" s="140" t="s">
        <v>2566</v>
      </c>
      <c r="M872" s="140" t="s">
        <v>2567</v>
      </c>
      <c r="N872" s="140" t="s">
        <v>2668</v>
      </c>
      <c r="O872" s="140" t="s">
        <v>2105</v>
      </c>
      <c r="P872" s="140" t="s">
        <v>2105</v>
      </c>
      <c r="Q872" s="140" t="s">
        <v>2387</v>
      </c>
      <c r="R872" s="149" t="s">
        <v>2713</v>
      </c>
      <c r="S872" s="149">
        <f t="shared" si="32"/>
        <v>6.9999999999999999E-4</v>
      </c>
      <c r="T872" s="149">
        <v>0</v>
      </c>
      <c r="U872" s="157">
        <v>6.9999999999999999E-4</v>
      </c>
      <c r="V872" s="157">
        <v>1.4650000000000001</v>
      </c>
      <c r="W872" s="157">
        <v>5.96</v>
      </c>
      <c r="X872" s="149">
        <f t="shared" si="31"/>
        <v>8.7314000000000007</v>
      </c>
      <c r="Y872" s="149"/>
    </row>
    <row r="873" spans="1:25" ht="16">
      <c r="A873" s="117" t="s">
        <v>3570</v>
      </c>
      <c r="B873" s="150" t="s">
        <v>808</v>
      </c>
      <c r="C873" s="149" t="s">
        <v>1744</v>
      </c>
      <c r="D873" s="149" t="s">
        <v>3555</v>
      </c>
      <c r="E873" s="149" t="s">
        <v>593</v>
      </c>
      <c r="F873" s="149">
        <v>-26.365555560000001</v>
      </c>
      <c r="G873" s="149">
        <v>135.79</v>
      </c>
      <c r="H873" s="149">
        <v>201</v>
      </c>
      <c r="I873" s="151">
        <v>42816</v>
      </c>
      <c r="J873" s="149" t="s">
        <v>36</v>
      </c>
      <c r="K873" s="149" t="s">
        <v>419</v>
      </c>
      <c r="L873" s="140" t="s">
        <v>2566</v>
      </c>
      <c r="M873" s="140" t="s">
        <v>2567</v>
      </c>
      <c r="N873" s="140" t="s">
        <v>2668</v>
      </c>
      <c r="O873" s="140" t="s">
        <v>2105</v>
      </c>
      <c r="P873" s="140" t="s">
        <v>2105</v>
      </c>
      <c r="Q873" s="140" t="s">
        <v>2387</v>
      </c>
      <c r="R873" s="149" t="s">
        <v>2713</v>
      </c>
      <c r="S873" s="149">
        <f t="shared" si="32"/>
        <v>8.0000000000000004E-4</v>
      </c>
      <c r="T873" s="149">
        <v>0</v>
      </c>
      <c r="U873" s="157">
        <v>8.0000000000000004E-4</v>
      </c>
      <c r="V873" s="157">
        <v>1.407</v>
      </c>
      <c r="W873" s="157">
        <v>6.2460000000000004</v>
      </c>
      <c r="X873" s="149">
        <f t="shared" si="31"/>
        <v>8.7881220000000013</v>
      </c>
      <c r="Y873" s="149"/>
    </row>
    <row r="874" spans="1:25" ht="16">
      <c r="A874" s="117" t="s">
        <v>3570</v>
      </c>
      <c r="B874" s="150" t="s">
        <v>801</v>
      </c>
      <c r="C874" s="149" t="s">
        <v>1744</v>
      </c>
      <c r="D874" s="149" t="s">
        <v>3555</v>
      </c>
      <c r="E874" s="149" t="s">
        <v>593</v>
      </c>
      <c r="F874" s="149">
        <v>-26.365555560000001</v>
      </c>
      <c r="G874" s="149">
        <v>135.79</v>
      </c>
      <c r="H874" s="149">
        <v>201</v>
      </c>
      <c r="I874" s="151">
        <v>42816</v>
      </c>
      <c r="J874" s="149" t="s">
        <v>36</v>
      </c>
      <c r="K874" s="149" t="s">
        <v>419</v>
      </c>
      <c r="L874" s="140" t="s">
        <v>2566</v>
      </c>
      <c r="M874" s="140" t="s">
        <v>2567</v>
      </c>
      <c r="N874" s="140" t="s">
        <v>2668</v>
      </c>
      <c r="O874" s="140" t="s">
        <v>2105</v>
      </c>
      <c r="P874" s="140" t="s">
        <v>2105</v>
      </c>
      <c r="Q874" s="140" t="s">
        <v>2387</v>
      </c>
      <c r="R874" s="149" t="s">
        <v>2713</v>
      </c>
      <c r="S874" s="149">
        <f t="shared" si="32"/>
        <v>8.9999999999999998E-4</v>
      </c>
      <c r="T874" s="149">
        <v>0</v>
      </c>
      <c r="U874" s="157">
        <v>8.9999999999999998E-4</v>
      </c>
      <c r="V874" s="157">
        <v>1.55</v>
      </c>
      <c r="W874" s="157">
        <v>6.2039999999999997</v>
      </c>
      <c r="X874" s="149">
        <f t="shared" si="31"/>
        <v>9.6161999999999992</v>
      </c>
      <c r="Y874" s="149"/>
    </row>
    <row r="875" spans="1:25" ht="16">
      <c r="A875" s="117" t="s">
        <v>3570</v>
      </c>
      <c r="B875" s="150" t="s">
        <v>672</v>
      </c>
      <c r="C875" s="149" t="s">
        <v>1744</v>
      </c>
      <c r="D875" s="149" t="s">
        <v>3555</v>
      </c>
      <c r="E875" s="149" t="s">
        <v>593</v>
      </c>
      <c r="F875" s="149">
        <v>-26.365555560000001</v>
      </c>
      <c r="G875" s="149">
        <v>135.79</v>
      </c>
      <c r="H875" s="149">
        <v>201</v>
      </c>
      <c r="I875" s="151">
        <v>42816</v>
      </c>
      <c r="J875" s="149" t="s">
        <v>36</v>
      </c>
      <c r="K875" s="149" t="s">
        <v>419</v>
      </c>
      <c r="L875" s="140" t="s">
        <v>2566</v>
      </c>
      <c r="M875" s="140" t="s">
        <v>2567</v>
      </c>
      <c r="N875" s="140" t="s">
        <v>2668</v>
      </c>
      <c r="O875" s="140" t="s">
        <v>2105</v>
      </c>
      <c r="P875" s="140" t="s">
        <v>2105</v>
      </c>
      <c r="Q875" s="140" t="s">
        <v>2387</v>
      </c>
      <c r="R875" s="149" t="s">
        <v>2713</v>
      </c>
      <c r="S875" s="149">
        <f t="shared" si="32"/>
        <v>6.9999999999999999E-4</v>
      </c>
      <c r="T875" s="149">
        <v>0</v>
      </c>
      <c r="U875" s="157">
        <v>6.9999999999999999E-4</v>
      </c>
      <c r="V875" s="157">
        <v>1.476</v>
      </c>
      <c r="W875" s="157">
        <v>4.8319999999999999</v>
      </c>
      <c r="X875" s="149">
        <f t="shared" si="31"/>
        <v>7.1320319999999997</v>
      </c>
      <c r="Y875" s="149"/>
    </row>
    <row r="876" spans="1:25" ht="16">
      <c r="A876" s="117" t="s">
        <v>3570</v>
      </c>
      <c r="B876" s="150" t="s">
        <v>622</v>
      </c>
      <c r="C876" s="149" t="s">
        <v>1744</v>
      </c>
      <c r="D876" s="149" t="s">
        <v>3555</v>
      </c>
      <c r="E876" s="149" t="s">
        <v>593</v>
      </c>
      <c r="F876" s="149">
        <v>-26.365555560000001</v>
      </c>
      <c r="G876" s="149">
        <v>135.79</v>
      </c>
      <c r="H876" s="149">
        <v>201</v>
      </c>
      <c r="I876" s="151">
        <v>42816</v>
      </c>
      <c r="J876" s="149" t="s">
        <v>36</v>
      </c>
      <c r="K876" s="149" t="s">
        <v>419</v>
      </c>
      <c r="L876" s="140" t="s">
        <v>2566</v>
      </c>
      <c r="M876" s="140" t="s">
        <v>2567</v>
      </c>
      <c r="N876" s="140" t="s">
        <v>2668</v>
      </c>
      <c r="O876" s="140" t="s">
        <v>2105</v>
      </c>
      <c r="P876" s="140" t="s">
        <v>2105</v>
      </c>
      <c r="Q876" s="140" t="s">
        <v>2387</v>
      </c>
      <c r="R876" s="149" t="s">
        <v>2713</v>
      </c>
      <c r="S876" s="149">
        <f t="shared" si="32"/>
        <v>5.0000000000000001E-4</v>
      </c>
      <c r="T876" s="149">
        <v>0</v>
      </c>
      <c r="U876" s="157">
        <v>5.0000000000000001E-4</v>
      </c>
      <c r="V876" s="157">
        <v>1.5069999999999999</v>
      </c>
      <c r="W876" s="157">
        <v>5.7839999999999998</v>
      </c>
      <c r="X876" s="149">
        <f t="shared" si="31"/>
        <v>8.7164879999999982</v>
      </c>
      <c r="Y876" s="149"/>
    </row>
    <row r="877" spans="1:25" ht="16">
      <c r="A877" s="117" t="s">
        <v>3570</v>
      </c>
      <c r="B877" s="150" t="s">
        <v>610</v>
      </c>
      <c r="C877" s="149" t="s">
        <v>1744</v>
      </c>
      <c r="D877" s="149" t="s">
        <v>3555</v>
      </c>
      <c r="E877" s="149" t="s">
        <v>593</v>
      </c>
      <c r="F877" s="149">
        <v>-26.365555560000001</v>
      </c>
      <c r="G877" s="149">
        <v>135.79</v>
      </c>
      <c r="H877" s="149">
        <v>201</v>
      </c>
      <c r="I877" s="151">
        <v>42816</v>
      </c>
      <c r="J877" s="149" t="s">
        <v>36</v>
      </c>
      <c r="K877" s="149" t="s">
        <v>419</v>
      </c>
      <c r="L877" s="140" t="s">
        <v>2566</v>
      </c>
      <c r="M877" s="140" t="s">
        <v>2567</v>
      </c>
      <c r="N877" s="140" t="s">
        <v>2668</v>
      </c>
      <c r="O877" s="140" t="s">
        <v>2105</v>
      </c>
      <c r="P877" s="140" t="s">
        <v>2105</v>
      </c>
      <c r="Q877" s="140" t="s">
        <v>2387</v>
      </c>
      <c r="R877" s="149" t="s">
        <v>2713</v>
      </c>
      <c r="S877" s="149">
        <f t="shared" si="32"/>
        <v>1.1000000000000001E-3</v>
      </c>
      <c r="T877" s="149">
        <v>0</v>
      </c>
      <c r="U877" s="157">
        <v>1.1000000000000001E-3</v>
      </c>
      <c r="V877" s="157">
        <v>1.58</v>
      </c>
      <c r="W877" s="157">
        <v>7.1539999999999999</v>
      </c>
      <c r="X877" s="149">
        <f t="shared" si="31"/>
        <v>11.303320000000001</v>
      </c>
      <c r="Y877" s="149"/>
    </row>
    <row r="878" spans="1:25" ht="16">
      <c r="A878" s="117" t="s">
        <v>3570</v>
      </c>
      <c r="B878" s="150" t="s">
        <v>571</v>
      </c>
      <c r="C878" s="149" t="s">
        <v>1744</v>
      </c>
      <c r="D878" s="149" t="s">
        <v>3555</v>
      </c>
      <c r="E878" s="149" t="s">
        <v>564</v>
      </c>
      <c r="F878" s="149">
        <v>-25.999166670000001</v>
      </c>
      <c r="G878" s="149">
        <v>135.33250000000001</v>
      </c>
      <c r="H878" s="149">
        <v>206</v>
      </c>
      <c r="I878" s="151">
        <v>42811</v>
      </c>
      <c r="J878" s="149" t="s">
        <v>36</v>
      </c>
      <c r="K878" s="149" t="s">
        <v>419</v>
      </c>
      <c r="L878" s="140" t="s">
        <v>2566</v>
      </c>
      <c r="M878" s="140" t="s">
        <v>2567</v>
      </c>
      <c r="N878" s="140" t="s">
        <v>2668</v>
      </c>
      <c r="O878" s="140" t="s">
        <v>2105</v>
      </c>
      <c r="P878" s="140" t="s">
        <v>2105</v>
      </c>
      <c r="Q878" s="140" t="s">
        <v>2387</v>
      </c>
      <c r="R878" s="149" t="s">
        <v>2713</v>
      </c>
      <c r="S878" s="149">
        <f t="shared" si="32"/>
        <v>1.1000000000000001E-3</v>
      </c>
      <c r="T878" s="149">
        <v>0</v>
      </c>
      <c r="U878" s="157">
        <v>1.1000000000000001E-3</v>
      </c>
      <c r="V878" s="157">
        <v>1.6439999999999999</v>
      </c>
      <c r="W878" s="157">
        <v>6.5830000000000002</v>
      </c>
      <c r="X878" s="149">
        <f t="shared" si="31"/>
        <v>10.822452</v>
      </c>
      <c r="Y878" s="149"/>
    </row>
    <row r="879" spans="1:25" ht="16">
      <c r="A879" s="117" t="s">
        <v>3570</v>
      </c>
      <c r="B879" s="150" t="s">
        <v>879</v>
      </c>
      <c r="C879" s="149" t="s">
        <v>1744</v>
      </c>
      <c r="D879" s="149" t="s">
        <v>3555</v>
      </c>
      <c r="E879" s="149" t="s">
        <v>564</v>
      </c>
      <c r="F879" s="149">
        <v>-25.999166670000001</v>
      </c>
      <c r="G879" s="149">
        <v>135.33250000000001</v>
      </c>
      <c r="H879" s="149">
        <v>206</v>
      </c>
      <c r="I879" s="151">
        <v>42811</v>
      </c>
      <c r="J879" s="149" t="s">
        <v>36</v>
      </c>
      <c r="K879" s="149" t="s">
        <v>419</v>
      </c>
      <c r="L879" s="140" t="s">
        <v>2566</v>
      </c>
      <c r="M879" s="140" t="s">
        <v>2567</v>
      </c>
      <c r="N879" s="140" t="s">
        <v>2668</v>
      </c>
      <c r="O879" s="140" t="s">
        <v>2600</v>
      </c>
      <c r="P879" s="149" t="s">
        <v>2735</v>
      </c>
      <c r="Q879" s="140" t="s">
        <v>2705</v>
      </c>
      <c r="R879" s="149" t="s">
        <v>2713</v>
      </c>
      <c r="S879" s="149">
        <f>T879+U879</f>
        <v>3.0000000000000001E-3</v>
      </c>
      <c r="T879" s="149">
        <v>0</v>
      </c>
      <c r="U879" s="157">
        <v>3.0000000000000001E-3</v>
      </c>
      <c r="V879" s="157">
        <v>2.4209999999999998</v>
      </c>
      <c r="W879" s="157">
        <v>10.018000000000001</v>
      </c>
      <c r="X879" s="149">
        <f>V879*W879</f>
        <v>24.253578000000001</v>
      </c>
      <c r="Y879" s="149"/>
    </row>
    <row r="880" spans="1:25" ht="16">
      <c r="A880" s="117" t="s">
        <v>3570</v>
      </c>
      <c r="B880" s="139" t="s">
        <v>3256</v>
      </c>
      <c r="C880" s="140" t="s">
        <v>1744</v>
      </c>
      <c r="D880" s="140" t="s">
        <v>3551</v>
      </c>
      <c r="E880" s="140" t="s">
        <v>3194</v>
      </c>
      <c r="F880" s="140">
        <v>81</v>
      </c>
      <c r="G880" s="140"/>
      <c r="H880" s="140">
        <v>60</v>
      </c>
      <c r="I880" s="141">
        <v>42095</v>
      </c>
      <c r="J880" s="140" t="s">
        <v>36</v>
      </c>
      <c r="K880" s="140" t="s">
        <v>154</v>
      </c>
      <c r="L880" s="140" t="s">
        <v>2566</v>
      </c>
      <c r="M880" s="140" t="s">
        <v>2574</v>
      </c>
      <c r="N880" s="140" t="s">
        <v>3191</v>
      </c>
      <c r="O880" s="140" t="s">
        <v>2111</v>
      </c>
      <c r="P880" s="140" t="s">
        <v>2739</v>
      </c>
      <c r="Q880" s="140" t="s">
        <v>2399</v>
      </c>
      <c r="R880" s="149" t="s">
        <v>2713</v>
      </c>
      <c r="S880" s="140">
        <v>5.4800000000000001E-2</v>
      </c>
      <c r="T880" s="140">
        <v>3.5361290322580646E-2</v>
      </c>
      <c r="U880" s="140">
        <f>S880-T880</f>
        <v>1.9438709677419355E-2</v>
      </c>
      <c r="V880" s="140">
        <v>4.1639999999999997</v>
      </c>
      <c r="W880" s="140">
        <f>7.729+4.511+4.271</f>
        <v>16.510999999999999</v>
      </c>
      <c r="X880" s="149">
        <f t="shared" ref="X880:X943" si="33">V880*W880</f>
        <v>68.751803999999993</v>
      </c>
      <c r="Y880" s="149"/>
    </row>
    <row r="881" spans="1:25" ht="16">
      <c r="A881" s="117" t="s">
        <v>3570</v>
      </c>
      <c r="B881" s="139" t="s">
        <v>3257</v>
      </c>
      <c r="C881" s="140" t="s">
        <v>1744</v>
      </c>
      <c r="D881" s="140" t="s">
        <v>3551</v>
      </c>
      <c r="E881" s="140" t="s">
        <v>3195</v>
      </c>
      <c r="F881" s="140" t="s">
        <v>36</v>
      </c>
      <c r="G881" s="140"/>
      <c r="H881" s="140">
        <v>60</v>
      </c>
      <c r="I881" s="141">
        <v>42096</v>
      </c>
      <c r="J881" s="140" t="s">
        <v>36</v>
      </c>
      <c r="K881" s="140" t="s">
        <v>154</v>
      </c>
      <c r="L881" s="140" t="s">
        <v>2566</v>
      </c>
      <c r="M881" s="140" t="s">
        <v>2574</v>
      </c>
      <c r="N881" s="140" t="s">
        <v>3191</v>
      </c>
      <c r="O881" s="140" t="s">
        <v>2111</v>
      </c>
      <c r="P881" s="140" t="s">
        <v>2739</v>
      </c>
      <c r="Q881" s="140" t="s">
        <v>2399</v>
      </c>
      <c r="R881" s="149" t="s">
        <v>2713</v>
      </c>
      <c r="S881" s="140">
        <v>5.79E-2</v>
      </c>
      <c r="T881" s="140">
        <v>3.5361290322580646E-2</v>
      </c>
      <c r="U881" s="140">
        <f t="shared" ref="U881:U944" si="34">S881-T881</f>
        <v>2.2538709677419354E-2</v>
      </c>
      <c r="V881" s="140">
        <v>4.2729999999999997</v>
      </c>
      <c r="W881" s="140">
        <f>8.358+3.367+4.703</f>
        <v>16.428000000000001</v>
      </c>
      <c r="X881" s="149">
        <f t="shared" si="33"/>
        <v>70.196843999999999</v>
      </c>
      <c r="Y881" s="149"/>
    </row>
    <row r="882" spans="1:25" ht="16">
      <c r="A882" s="117" t="s">
        <v>3570</v>
      </c>
      <c r="B882" s="139" t="s">
        <v>3258</v>
      </c>
      <c r="C882" s="140" t="s">
        <v>1744</v>
      </c>
      <c r="D882" s="140" t="s">
        <v>3551</v>
      </c>
      <c r="E882" s="140" t="s">
        <v>3196</v>
      </c>
      <c r="F882" s="140">
        <v>74</v>
      </c>
      <c r="G882" s="140"/>
      <c r="H882" s="140">
        <v>60</v>
      </c>
      <c r="I882" s="141">
        <v>42097</v>
      </c>
      <c r="J882" s="140" t="s">
        <v>36</v>
      </c>
      <c r="K882" s="140" t="s">
        <v>154</v>
      </c>
      <c r="L882" s="140" t="s">
        <v>2566</v>
      </c>
      <c r="M882" s="140" t="s">
        <v>2574</v>
      </c>
      <c r="N882" s="140" t="s">
        <v>3191</v>
      </c>
      <c r="O882" s="140" t="s">
        <v>2111</v>
      </c>
      <c r="P882" s="140" t="s">
        <v>2739</v>
      </c>
      <c r="Q882" s="140" t="s">
        <v>2399</v>
      </c>
      <c r="R882" s="140" t="s">
        <v>2712</v>
      </c>
      <c r="S882" s="140">
        <v>5.4800000000000001E-2</v>
      </c>
      <c r="T882" s="140">
        <v>3.5361290322580646E-2</v>
      </c>
      <c r="U882" s="140">
        <f t="shared" si="34"/>
        <v>1.9438709677419355E-2</v>
      </c>
      <c r="V882" s="140">
        <v>4.1109999999999998</v>
      </c>
      <c r="W882" s="140">
        <f>7.567+3.711+4.605</f>
        <v>15.883000000000001</v>
      </c>
      <c r="X882" s="149">
        <f t="shared" si="33"/>
        <v>65.295012999999997</v>
      </c>
      <c r="Y882" s="149"/>
    </row>
    <row r="883" spans="1:25" ht="16">
      <c r="A883" s="117" t="s">
        <v>3570</v>
      </c>
      <c r="B883" s="139" t="s">
        <v>3255</v>
      </c>
      <c r="C883" s="140" t="s">
        <v>1744</v>
      </c>
      <c r="D883" s="140" t="s">
        <v>3551</v>
      </c>
      <c r="E883" s="140" t="s">
        <v>3197</v>
      </c>
      <c r="F883" s="140">
        <v>15</v>
      </c>
      <c r="G883" s="140"/>
      <c r="H883" s="140">
        <v>60</v>
      </c>
      <c r="I883" s="141">
        <v>42098</v>
      </c>
      <c r="J883" s="140" t="s">
        <v>36</v>
      </c>
      <c r="K883" s="140" t="s">
        <v>154</v>
      </c>
      <c r="L883" s="140" t="s">
        <v>2566</v>
      </c>
      <c r="M883" s="140" t="s">
        <v>2574</v>
      </c>
      <c r="N883" s="140" t="s">
        <v>3191</v>
      </c>
      <c r="O883" s="140" t="s">
        <v>2111</v>
      </c>
      <c r="P883" s="140" t="s">
        <v>2739</v>
      </c>
      <c r="Q883" s="140" t="s">
        <v>2399</v>
      </c>
      <c r="R883" s="149" t="s">
        <v>2713</v>
      </c>
      <c r="S883" s="140">
        <v>5.4899999999999997E-2</v>
      </c>
      <c r="T883" s="140">
        <v>3.5361290322580646E-2</v>
      </c>
      <c r="U883" s="140">
        <f t="shared" si="34"/>
        <v>1.9538709677419351E-2</v>
      </c>
      <c r="V883" s="140">
        <v>4.125</v>
      </c>
      <c r="W883" s="140">
        <f>7.954+9.355</f>
        <v>17.309000000000001</v>
      </c>
      <c r="X883" s="149">
        <f t="shared" si="33"/>
        <v>71.399625</v>
      </c>
      <c r="Y883" s="149"/>
    </row>
    <row r="884" spans="1:25" ht="16">
      <c r="A884" s="117" t="s">
        <v>3570</v>
      </c>
      <c r="B884" s="139" t="s">
        <v>3259</v>
      </c>
      <c r="C884" s="140" t="s">
        <v>1744</v>
      </c>
      <c r="D884" s="140" t="s">
        <v>3551</v>
      </c>
      <c r="E884" s="140" t="s">
        <v>3198</v>
      </c>
      <c r="F884" s="140">
        <v>386</v>
      </c>
      <c r="G884" s="140"/>
      <c r="H884" s="140">
        <v>60</v>
      </c>
      <c r="I884" s="141">
        <v>42099</v>
      </c>
      <c r="J884" s="140" t="s">
        <v>36</v>
      </c>
      <c r="K884" s="140" t="s">
        <v>154</v>
      </c>
      <c r="L884" s="140" t="s">
        <v>2566</v>
      </c>
      <c r="M884" s="140" t="s">
        <v>2574</v>
      </c>
      <c r="N884" s="140" t="s">
        <v>3191</v>
      </c>
      <c r="O884" s="140" t="s">
        <v>2111</v>
      </c>
      <c r="P884" s="140" t="s">
        <v>2739</v>
      </c>
      <c r="Q884" s="140" t="s">
        <v>2399</v>
      </c>
      <c r="R884" s="149" t="s">
        <v>2713</v>
      </c>
      <c r="S884" s="140">
        <v>5.6300000000000003E-2</v>
      </c>
      <c r="T884" s="140">
        <v>3.5361290322580646E-2</v>
      </c>
      <c r="U884" s="140">
        <f t="shared" si="34"/>
        <v>2.0938709677419357E-2</v>
      </c>
      <c r="V884" s="140">
        <v>4.37</v>
      </c>
      <c r="W884" s="140">
        <f>7.924+8.865</f>
        <v>16.789000000000001</v>
      </c>
      <c r="X884" s="149">
        <f t="shared" si="33"/>
        <v>73.367930000000001</v>
      </c>
      <c r="Y884" s="149"/>
    </row>
    <row r="885" spans="1:25" ht="16">
      <c r="A885" s="117" t="s">
        <v>3570</v>
      </c>
      <c r="B885" s="139" t="s">
        <v>3260</v>
      </c>
      <c r="C885" s="140" t="s">
        <v>1744</v>
      </c>
      <c r="D885" s="140" t="s">
        <v>3551</v>
      </c>
      <c r="E885" s="140" t="s">
        <v>3197</v>
      </c>
      <c r="F885" s="140">
        <v>24</v>
      </c>
      <c r="G885" s="140"/>
      <c r="H885" s="140">
        <v>60</v>
      </c>
      <c r="I885" s="141">
        <v>42100</v>
      </c>
      <c r="J885" s="140" t="s">
        <v>36</v>
      </c>
      <c r="K885" s="140" t="s">
        <v>154</v>
      </c>
      <c r="L885" s="140" t="s">
        <v>2566</v>
      </c>
      <c r="M885" s="140" t="s">
        <v>2574</v>
      </c>
      <c r="N885" s="140" t="s">
        <v>3191</v>
      </c>
      <c r="O885" s="140" t="s">
        <v>2111</v>
      </c>
      <c r="P885" s="140" t="s">
        <v>2739</v>
      </c>
      <c r="Q885" s="140" t="s">
        <v>2399</v>
      </c>
      <c r="R885" s="149" t="s">
        <v>2713</v>
      </c>
      <c r="S885" s="140">
        <v>5.4399999999999997E-2</v>
      </c>
      <c r="T885" s="140">
        <v>3.5361290322580646E-2</v>
      </c>
      <c r="U885" s="140">
        <f t="shared" si="34"/>
        <v>1.9038709677419351E-2</v>
      </c>
      <c r="V885" s="140">
        <v>4.1740000000000004</v>
      </c>
      <c r="W885" s="140">
        <f>7.492+9.102</f>
        <v>16.594000000000001</v>
      </c>
      <c r="X885" s="149">
        <f t="shared" si="33"/>
        <v>69.263356000000016</v>
      </c>
      <c r="Y885" s="149"/>
    </row>
    <row r="886" spans="1:25" ht="16">
      <c r="A886" s="117" t="s">
        <v>3570</v>
      </c>
      <c r="B886" s="139" t="s">
        <v>3261</v>
      </c>
      <c r="C886" s="140" t="s">
        <v>1744</v>
      </c>
      <c r="D886" s="140" t="s">
        <v>3551</v>
      </c>
      <c r="E886" s="140" t="s">
        <v>3199</v>
      </c>
      <c r="F886" s="140" t="s">
        <v>36</v>
      </c>
      <c r="G886" s="140"/>
      <c r="H886" s="140">
        <v>60</v>
      </c>
      <c r="I886" s="141">
        <v>42101</v>
      </c>
      <c r="J886" s="140" t="s">
        <v>36</v>
      </c>
      <c r="K886" s="140" t="s">
        <v>154</v>
      </c>
      <c r="L886" s="140" t="s">
        <v>2566</v>
      </c>
      <c r="M886" s="140" t="s">
        <v>2574</v>
      </c>
      <c r="N886" s="140" t="s">
        <v>3191</v>
      </c>
      <c r="O886" s="140" t="s">
        <v>2111</v>
      </c>
      <c r="P886" s="140" t="s">
        <v>2739</v>
      </c>
      <c r="Q886" s="140" t="s">
        <v>2399</v>
      </c>
      <c r="R886" s="149" t="s">
        <v>2713</v>
      </c>
      <c r="S886" s="140">
        <v>5.3600000000000002E-2</v>
      </c>
      <c r="T886" s="140">
        <v>3.5361290322580646E-2</v>
      </c>
      <c r="U886" s="140">
        <f t="shared" si="34"/>
        <v>1.8238709677419356E-2</v>
      </c>
      <c r="V886" s="140">
        <v>3.8730000000000002</v>
      </c>
      <c r="W886" s="140">
        <f>7.739+8.027</f>
        <v>15.765999999999998</v>
      </c>
      <c r="X886" s="149">
        <f t="shared" si="33"/>
        <v>61.061717999999999</v>
      </c>
      <c r="Y886" s="149"/>
    </row>
    <row r="887" spans="1:25" ht="16">
      <c r="A887" s="117" t="s">
        <v>3570</v>
      </c>
      <c r="B887" s="139" t="s">
        <v>3262</v>
      </c>
      <c r="C887" s="140" t="s">
        <v>1744</v>
      </c>
      <c r="D887" s="140" t="s">
        <v>3551</v>
      </c>
      <c r="E887" s="140" t="s">
        <v>3201</v>
      </c>
      <c r="F887" s="140" t="s">
        <v>36</v>
      </c>
      <c r="G887" s="140"/>
      <c r="H887" s="140">
        <v>60</v>
      </c>
      <c r="I887" s="141">
        <v>42102</v>
      </c>
      <c r="J887" s="140" t="s">
        <v>36</v>
      </c>
      <c r="K887" s="140" t="s">
        <v>154</v>
      </c>
      <c r="L887" s="140" t="s">
        <v>2566</v>
      </c>
      <c r="M887" s="140" t="s">
        <v>2574</v>
      </c>
      <c r="N887" s="140" t="s">
        <v>3191</v>
      </c>
      <c r="O887" s="140" t="s">
        <v>2111</v>
      </c>
      <c r="P887" s="140" t="s">
        <v>2739</v>
      </c>
      <c r="Q887" s="140" t="s">
        <v>2399</v>
      </c>
      <c r="R887" s="149" t="s">
        <v>2713</v>
      </c>
      <c r="S887" s="140">
        <v>5.1499999999999997E-2</v>
      </c>
      <c r="T887" s="140">
        <v>3.5361290322580646E-2</v>
      </c>
      <c r="U887" s="140">
        <f t="shared" si="34"/>
        <v>1.6138709677419351E-2</v>
      </c>
      <c r="V887" s="140">
        <v>3.5510000000000002</v>
      </c>
      <c r="W887" s="140">
        <f>7.37+7.005</f>
        <v>14.375</v>
      </c>
      <c r="X887" s="149">
        <f t="shared" si="33"/>
        <v>51.045625000000001</v>
      </c>
      <c r="Y887" s="149"/>
    </row>
    <row r="888" spans="1:25" ht="16">
      <c r="A888" s="117" t="s">
        <v>3570</v>
      </c>
      <c r="B888" s="139" t="s">
        <v>3263</v>
      </c>
      <c r="C888" s="140" t="s">
        <v>1744</v>
      </c>
      <c r="D888" s="140" t="s">
        <v>3551</v>
      </c>
      <c r="E888" s="140" t="s">
        <v>3202</v>
      </c>
      <c r="F888" s="140">
        <v>680</v>
      </c>
      <c r="G888" s="140"/>
      <c r="H888" s="140">
        <v>60</v>
      </c>
      <c r="I888" s="141">
        <v>42103</v>
      </c>
      <c r="J888" s="140" t="s">
        <v>36</v>
      </c>
      <c r="K888" s="140" t="s">
        <v>154</v>
      </c>
      <c r="L888" s="140" t="s">
        <v>2566</v>
      </c>
      <c r="M888" s="140" t="s">
        <v>2574</v>
      </c>
      <c r="N888" s="140" t="s">
        <v>3191</v>
      </c>
      <c r="O888" s="140" t="s">
        <v>2111</v>
      </c>
      <c r="P888" s="140" t="s">
        <v>2739</v>
      </c>
      <c r="Q888" s="140" t="s">
        <v>3546</v>
      </c>
      <c r="R888" s="149" t="s">
        <v>2713</v>
      </c>
      <c r="S888" s="140">
        <v>4.2999999999999997E-2</v>
      </c>
      <c r="T888" s="140">
        <v>3.5361290322580646E-2</v>
      </c>
      <c r="U888" s="140">
        <f t="shared" si="34"/>
        <v>7.6387096774193503E-3</v>
      </c>
      <c r="V888" s="140">
        <v>2.798</v>
      </c>
      <c r="W888" s="140">
        <v>10.964</v>
      </c>
      <c r="X888" s="149">
        <f t="shared" si="33"/>
        <v>30.677272000000002</v>
      </c>
      <c r="Y888" s="149"/>
    </row>
    <row r="889" spans="1:25" ht="16">
      <c r="A889" s="117" t="s">
        <v>3570</v>
      </c>
      <c r="B889" s="139" t="s">
        <v>3264</v>
      </c>
      <c r="C889" s="140" t="s">
        <v>1744</v>
      </c>
      <c r="D889" s="140" t="s">
        <v>3551</v>
      </c>
      <c r="E889" s="140" t="s">
        <v>3203</v>
      </c>
      <c r="F889" s="140" t="s">
        <v>36</v>
      </c>
      <c r="G889" s="140"/>
      <c r="H889" s="140">
        <v>60</v>
      </c>
      <c r="I889" s="141">
        <v>42104</v>
      </c>
      <c r="J889" s="140" t="s">
        <v>36</v>
      </c>
      <c r="K889" s="140" t="s">
        <v>154</v>
      </c>
      <c r="L889" s="140" t="s">
        <v>2566</v>
      </c>
      <c r="M889" s="140" t="s">
        <v>2574</v>
      </c>
      <c r="N889" s="140" t="s">
        <v>3191</v>
      </c>
      <c r="O889" s="140" t="s">
        <v>2111</v>
      </c>
      <c r="P889" s="140" t="s">
        <v>2739</v>
      </c>
      <c r="Q889" s="140" t="s">
        <v>3546</v>
      </c>
      <c r="R889" s="149" t="s">
        <v>2713</v>
      </c>
      <c r="S889" s="140">
        <v>4.02E-2</v>
      </c>
      <c r="T889" s="140">
        <v>3.5361290322580646E-2</v>
      </c>
      <c r="U889" s="140">
        <f t="shared" si="34"/>
        <v>4.8387096774193533E-3</v>
      </c>
      <c r="V889" s="140">
        <v>2.4</v>
      </c>
      <c r="W889" s="140">
        <f>4.785+4.623</f>
        <v>9.4080000000000013</v>
      </c>
      <c r="X889" s="149">
        <f t="shared" si="33"/>
        <v>22.579200000000004</v>
      </c>
      <c r="Y889" s="149"/>
    </row>
    <row r="890" spans="1:25" ht="16">
      <c r="A890" s="117" t="s">
        <v>3570</v>
      </c>
      <c r="B890" s="139" t="s">
        <v>3265</v>
      </c>
      <c r="C890" s="140" t="s">
        <v>1744</v>
      </c>
      <c r="D890" s="140" t="s">
        <v>3551</v>
      </c>
      <c r="E890" s="140" t="s">
        <v>3204</v>
      </c>
      <c r="F890" s="140" t="s">
        <v>36</v>
      </c>
      <c r="G890" s="140"/>
      <c r="H890" s="140">
        <v>60</v>
      </c>
      <c r="I890" s="141">
        <v>42105</v>
      </c>
      <c r="J890" s="140" t="s">
        <v>36</v>
      </c>
      <c r="K890" s="140" t="s">
        <v>154</v>
      </c>
      <c r="L890" s="140" t="s">
        <v>2566</v>
      </c>
      <c r="M890" s="140" t="s">
        <v>2574</v>
      </c>
      <c r="N890" s="140" t="s">
        <v>3191</v>
      </c>
      <c r="O890" s="140" t="s">
        <v>2111</v>
      </c>
      <c r="P890" s="140" t="s">
        <v>2739</v>
      </c>
      <c r="Q890" s="140" t="s">
        <v>3546</v>
      </c>
      <c r="R890" s="149" t="s">
        <v>2713</v>
      </c>
      <c r="S890" s="140">
        <v>4.2900000000000001E-2</v>
      </c>
      <c r="T890" s="140">
        <v>3.5361290322580646E-2</v>
      </c>
      <c r="U890" s="140">
        <f t="shared" si="34"/>
        <v>7.5387096774193543E-3</v>
      </c>
      <c r="V890" s="140">
        <v>2.669</v>
      </c>
      <c r="W890" s="140">
        <f>5.961+5.605</f>
        <v>11.566000000000001</v>
      </c>
      <c r="X890" s="149">
        <f t="shared" si="33"/>
        <v>30.869654000000004</v>
      </c>
      <c r="Y890" s="149"/>
    </row>
    <row r="891" spans="1:25" ht="16">
      <c r="A891" s="117" t="s">
        <v>3570</v>
      </c>
      <c r="B891" s="139" t="s">
        <v>3266</v>
      </c>
      <c r="C891" s="140" t="s">
        <v>1744</v>
      </c>
      <c r="D891" s="140" t="s">
        <v>3551</v>
      </c>
      <c r="E891" s="140" t="s">
        <v>3206</v>
      </c>
      <c r="F891" s="140">
        <v>84</v>
      </c>
      <c r="G891" s="140"/>
      <c r="H891" s="140">
        <v>60</v>
      </c>
      <c r="I891" s="141">
        <v>42106</v>
      </c>
      <c r="J891" s="140" t="s">
        <v>36</v>
      </c>
      <c r="K891" s="140" t="s">
        <v>154</v>
      </c>
      <c r="L891" s="140" t="s">
        <v>2566</v>
      </c>
      <c r="M891" s="140" t="s">
        <v>2574</v>
      </c>
      <c r="N891" s="140" t="s">
        <v>3191</v>
      </c>
      <c r="O891" s="140" t="s">
        <v>2111</v>
      </c>
      <c r="P891" s="140" t="s">
        <v>2739</v>
      </c>
      <c r="Q891" s="140" t="s">
        <v>3547</v>
      </c>
      <c r="R891" s="149" t="s">
        <v>2713</v>
      </c>
      <c r="S891" s="140">
        <v>4.5199999999999997E-2</v>
      </c>
      <c r="T891" s="140">
        <v>3.5361290322580646E-2</v>
      </c>
      <c r="U891" s="140">
        <f t="shared" si="34"/>
        <v>9.8387096774193508E-3</v>
      </c>
      <c r="V891" s="140">
        <v>2.9470000000000001</v>
      </c>
      <c r="W891" s="140">
        <f>6.359+5.274</f>
        <v>11.632999999999999</v>
      </c>
      <c r="X891" s="149">
        <f t="shared" si="33"/>
        <v>34.282450999999995</v>
      </c>
      <c r="Y891" s="149"/>
    </row>
    <row r="892" spans="1:25" ht="16">
      <c r="A892" s="117" t="s">
        <v>3570</v>
      </c>
      <c r="B892" s="139" t="s">
        <v>3267</v>
      </c>
      <c r="C892" s="140" t="s">
        <v>1744</v>
      </c>
      <c r="D892" s="140" t="s">
        <v>3551</v>
      </c>
      <c r="E892" s="140" t="s">
        <v>3207</v>
      </c>
      <c r="F892" s="140">
        <v>55</v>
      </c>
      <c r="G892" s="140"/>
      <c r="H892" s="140">
        <v>60</v>
      </c>
      <c r="I892" s="141">
        <v>42107</v>
      </c>
      <c r="J892" s="140" t="s">
        <v>36</v>
      </c>
      <c r="K892" s="140" t="s">
        <v>154</v>
      </c>
      <c r="L892" s="140" t="s">
        <v>2566</v>
      </c>
      <c r="M892" s="140" t="s">
        <v>2574</v>
      </c>
      <c r="N892" s="140" t="s">
        <v>3191</v>
      </c>
      <c r="O892" s="140" t="s">
        <v>2111</v>
      </c>
      <c r="P892" s="140" t="s">
        <v>2739</v>
      </c>
      <c r="Q892" s="140" t="s">
        <v>3547</v>
      </c>
      <c r="R892" s="149" t="s">
        <v>2713</v>
      </c>
      <c r="S892" s="140">
        <v>4.48E-2</v>
      </c>
      <c r="T892" s="140">
        <v>3.5361290322580646E-2</v>
      </c>
      <c r="U892" s="140">
        <f t="shared" si="34"/>
        <v>9.4387096774193532E-3</v>
      </c>
      <c r="V892" s="140">
        <v>3.0569999999999999</v>
      </c>
      <c r="W892" s="140">
        <f>5.948+5.947</f>
        <v>11.895</v>
      </c>
      <c r="X892" s="149">
        <f t="shared" si="33"/>
        <v>36.363014999999997</v>
      </c>
      <c r="Y892" s="149"/>
    </row>
    <row r="893" spans="1:25" ht="16">
      <c r="A893" s="117" t="s">
        <v>3570</v>
      </c>
      <c r="B893" s="139" t="s">
        <v>3268</v>
      </c>
      <c r="C893" s="140" t="s">
        <v>1744</v>
      </c>
      <c r="D893" s="140" t="s">
        <v>3551</v>
      </c>
      <c r="E893" s="140" t="s">
        <v>3208</v>
      </c>
      <c r="F893" s="140" t="s">
        <v>36</v>
      </c>
      <c r="G893" s="140"/>
      <c r="H893" s="140">
        <v>60</v>
      </c>
      <c r="I893" s="141">
        <v>42108</v>
      </c>
      <c r="J893" s="140" t="s">
        <v>36</v>
      </c>
      <c r="K893" s="140" t="s">
        <v>154</v>
      </c>
      <c r="L893" s="140" t="s">
        <v>2566</v>
      </c>
      <c r="M893" s="140" t="s">
        <v>2574</v>
      </c>
      <c r="N893" s="140" t="s">
        <v>3191</v>
      </c>
      <c r="O893" s="140" t="s">
        <v>2111</v>
      </c>
      <c r="P893" s="140" t="s">
        <v>2739</v>
      </c>
      <c r="Q893" s="140" t="s">
        <v>3547</v>
      </c>
      <c r="R893" s="149" t="s">
        <v>2713</v>
      </c>
      <c r="S893" s="140">
        <v>4.5499999999999999E-2</v>
      </c>
      <c r="T893" s="140">
        <v>3.5361290322580646E-2</v>
      </c>
      <c r="U893" s="140">
        <f t="shared" si="34"/>
        <v>1.0138709677419352E-2</v>
      </c>
      <c r="V893" s="140">
        <v>2.9510000000000001</v>
      </c>
      <c r="W893" s="140">
        <f>5.805+6.409</f>
        <v>12.213999999999999</v>
      </c>
      <c r="X893" s="149">
        <f t="shared" si="33"/>
        <v>36.043513999999995</v>
      </c>
      <c r="Y893" s="149"/>
    </row>
    <row r="894" spans="1:25" ht="16">
      <c r="A894" s="117" t="s">
        <v>3570</v>
      </c>
      <c r="B894" s="139" t="s">
        <v>3269</v>
      </c>
      <c r="C894" s="140" t="s">
        <v>1744</v>
      </c>
      <c r="D894" s="140" t="s">
        <v>3551</v>
      </c>
      <c r="E894" s="140" t="s">
        <v>3209</v>
      </c>
      <c r="F894" s="140">
        <v>225</v>
      </c>
      <c r="G894" s="140"/>
      <c r="H894" s="140">
        <v>60</v>
      </c>
      <c r="I894" s="141">
        <v>42109</v>
      </c>
      <c r="J894" s="140" t="s">
        <v>36</v>
      </c>
      <c r="K894" s="140" t="s">
        <v>154</v>
      </c>
      <c r="L894" s="140" t="s">
        <v>2566</v>
      </c>
      <c r="M894" s="140" t="s">
        <v>2574</v>
      </c>
      <c r="N894" s="140" t="s">
        <v>3191</v>
      </c>
      <c r="O894" s="140" t="s">
        <v>2111</v>
      </c>
      <c r="P894" s="140" t="s">
        <v>2739</v>
      </c>
      <c r="Q894" s="140" t="s">
        <v>3547</v>
      </c>
      <c r="R894" s="149" t="s">
        <v>2713</v>
      </c>
      <c r="S894" s="140">
        <v>4.5999999999999999E-2</v>
      </c>
      <c r="T894" s="140">
        <v>3.5361290322580646E-2</v>
      </c>
      <c r="U894" s="140">
        <f t="shared" si="34"/>
        <v>1.0638709677419353E-2</v>
      </c>
      <c r="V894" s="140">
        <v>3.2040000000000002</v>
      </c>
      <c r="W894" s="140">
        <f>5.943+7.258</f>
        <v>13.201000000000001</v>
      </c>
      <c r="X894" s="149">
        <f t="shared" si="33"/>
        <v>42.296004000000003</v>
      </c>
      <c r="Y894" s="149"/>
    </row>
    <row r="895" spans="1:25" ht="16">
      <c r="A895" s="117" t="s">
        <v>3570</v>
      </c>
      <c r="B895" s="139" t="s">
        <v>3270</v>
      </c>
      <c r="C895" s="140" t="s">
        <v>1744</v>
      </c>
      <c r="D895" s="140" t="s">
        <v>3551</v>
      </c>
      <c r="E895" s="140" t="s">
        <v>3210</v>
      </c>
      <c r="F895" s="140">
        <v>347</v>
      </c>
      <c r="G895" s="140"/>
      <c r="H895" s="140">
        <v>60</v>
      </c>
      <c r="I895" s="141">
        <v>42110</v>
      </c>
      <c r="J895" s="140" t="s">
        <v>36</v>
      </c>
      <c r="K895" s="140" t="s">
        <v>154</v>
      </c>
      <c r="L895" s="140" t="s">
        <v>2566</v>
      </c>
      <c r="M895" s="140" t="s">
        <v>2574</v>
      </c>
      <c r="N895" s="140" t="s">
        <v>3191</v>
      </c>
      <c r="O895" s="140" t="s">
        <v>2111</v>
      </c>
      <c r="P895" s="140" t="s">
        <v>2739</v>
      </c>
      <c r="Q895" s="140" t="s">
        <v>3547</v>
      </c>
      <c r="R895" s="149" t="s">
        <v>2713</v>
      </c>
      <c r="S895" s="140">
        <v>4.41E-2</v>
      </c>
      <c r="T895" s="140">
        <v>3.5361290322580646E-2</v>
      </c>
      <c r="U895" s="140">
        <f t="shared" si="34"/>
        <v>8.738709677419354E-3</v>
      </c>
      <c r="V895" s="140">
        <v>2.7759999999999998</v>
      </c>
      <c r="W895" s="140">
        <f>5.415+5.846</f>
        <v>11.260999999999999</v>
      </c>
      <c r="X895" s="149">
        <f t="shared" si="33"/>
        <v>31.260535999999995</v>
      </c>
      <c r="Y895" s="149"/>
    </row>
    <row r="896" spans="1:25" ht="16">
      <c r="A896" s="117" t="s">
        <v>3570</v>
      </c>
      <c r="B896" s="139" t="s">
        <v>3271</v>
      </c>
      <c r="C896" s="140" t="s">
        <v>1744</v>
      </c>
      <c r="D896" s="140" t="s">
        <v>3551</v>
      </c>
      <c r="E896" s="140" t="s">
        <v>3211</v>
      </c>
      <c r="F896" s="140" t="s">
        <v>36</v>
      </c>
      <c r="G896" s="140"/>
      <c r="H896" s="140">
        <v>60</v>
      </c>
      <c r="I896" s="141">
        <v>42111</v>
      </c>
      <c r="J896" s="140" t="s">
        <v>36</v>
      </c>
      <c r="K896" s="140" t="s">
        <v>154</v>
      </c>
      <c r="L896" s="140" t="s">
        <v>2566</v>
      </c>
      <c r="M896" s="140" t="s">
        <v>2574</v>
      </c>
      <c r="N896" s="140" t="s">
        <v>3191</v>
      </c>
      <c r="O896" s="140" t="s">
        <v>2111</v>
      </c>
      <c r="P896" s="140" t="s">
        <v>2739</v>
      </c>
      <c r="Q896" s="140" t="s">
        <v>3547</v>
      </c>
      <c r="R896" s="149" t="s">
        <v>2713</v>
      </c>
      <c r="S896" s="140">
        <v>4.4299999999999999E-2</v>
      </c>
      <c r="T896" s="140">
        <v>3.5361290322580646E-2</v>
      </c>
      <c r="U896" s="140">
        <f t="shared" si="34"/>
        <v>8.9387096774193528E-3</v>
      </c>
      <c r="V896" s="140">
        <v>2.831</v>
      </c>
      <c r="W896" s="140">
        <f>5.621+6.436</f>
        <v>12.057</v>
      </c>
      <c r="X896" s="149">
        <f t="shared" si="33"/>
        <v>34.133367</v>
      </c>
      <c r="Y896" s="149"/>
    </row>
    <row r="897" spans="1:25" ht="16">
      <c r="A897" s="117" t="s">
        <v>3570</v>
      </c>
      <c r="B897" s="139" t="s">
        <v>3272</v>
      </c>
      <c r="C897" s="140" t="s">
        <v>1744</v>
      </c>
      <c r="D897" s="140" t="s">
        <v>3551</v>
      </c>
      <c r="E897" s="140" t="s">
        <v>3212</v>
      </c>
      <c r="F897" s="140">
        <v>144</v>
      </c>
      <c r="G897" s="140"/>
      <c r="H897" s="140">
        <v>60</v>
      </c>
      <c r="I897" s="141">
        <v>42112</v>
      </c>
      <c r="J897" s="140" t="s">
        <v>36</v>
      </c>
      <c r="K897" s="140" t="s">
        <v>154</v>
      </c>
      <c r="L897" s="140" t="s">
        <v>2566</v>
      </c>
      <c r="M897" s="140" t="s">
        <v>2574</v>
      </c>
      <c r="N897" s="140" t="s">
        <v>3191</v>
      </c>
      <c r="O897" s="140" t="s">
        <v>2111</v>
      </c>
      <c r="P897" s="140" t="s">
        <v>2739</v>
      </c>
      <c r="Q897" s="140" t="s">
        <v>3547</v>
      </c>
      <c r="R897" s="149" t="s">
        <v>2713</v>
      </c>
      <c r="S897" s="140">
        <v>4.53E-2</v>
      </c>
      <c r="T897" s="140">
        <v>3.5361290322580646E-2</v>
      </c>
      <c r="U897" s="140">
        <f t="shared" si="34"/>
        <v>9.9387096774193537E-3</v>
      </c>
      <c r="V897" s="140">
        <v>2.9590000000000001</v>
      </c>
      <c r="W897" s="140">
        <f>6.145+6.161</f>
        <v>12.305999999999999</v>
      </c>
      <c r="X897" s="149">
        <f t="shared" si="33"/>
        <v>36.413454000000002</v>
      </c>
      <c r="Y897" s="149"/>
    </row>
    <row r="898" spans="1:25" ht="16">
      <c r="A898" s="117" t="s">
        <v>3570</v>
      </c>
      <c r="B898" s="139" t="s">
        <v>3273</v>
      </c>
      <c r="C898" s="140" t="s">
        <v>1744</v>
      </c>
      <c r="D898" s="140" t="s">
        <v>3551</v>
      </c>
      <c r="E898" s="140" t="s">
        <v>3213</v>
      </c>
      <c r="F898" s="140" t="s">
        <v>36</v>
      </c>
      <c r="G898" s="140"/>
      <c r="H898" s="140">
        <v>60</v>
      </c>
      <c r="I898" s="141">
        <v>42113</v>
      </c>
      <c r="J898" s="140" t="s">
        <v>36</v>
      </c>
      <c r="K898" s="140" t="s">
        <v>154</v>
      </c>
      <c r="L898" s="140" t="s">
        <v>2566</v>
      </c>
      <c r="M898" s="140" t="s">
        <v>2574</v>
      </c>
      <c r="N898" s="140" t="s">
        <v>3191</v>
      </c>
      <c r="O898" s="140" t="s">
        <v>2111</v>
      </c>
      <c r="P898" s="140" t="s">
        <v>2739</v>
      </c>
      <c r="Q898" s="140" t="s">
        <v>3547</v>
      </c>
      <c r="R898" s="149" t="s">
        <v>2713</v>
      </c>
      <c r="S898" s="140">
        <v>4.4600000000000001E-2</v>
      </c>
      <c r="T898" s="140">
        <v>3.5361290322580646E-2</v>
      </c>
      <c r="U898" s="140">
        <f t="shared" si="34"/>
        <v>9.2387096774193544E-3</v>
      </c>
      <c r="V898" s="140">
        <v>3.0419999999999998</v>
      </c>
      <c r="W898" s="140">
        <f>6.029+6.628</f>
        <v>12.657</v>
      </c>
      <c r="X898" s="149">
        <f t="shared" si="33"/>
        <v>38.502593999999995</v>
      </c>
      <c r="Y898" s="149"/>
    </row>
    <row r="899" spans="1:25" ht="16">
      <c r="A899" s="117" t="s">
        <v>3570</v>
      </c>
      <c r="B899" s="139" t="s">
        <v>3274</v>
      </c>
      <c r="C899" s="140" t="s">
        <v>1744</v>
      </c>
      <c r="D899" s="140" t="s">
        <v>3551</v>
      </c>
      <c r="E899" s="140" t="s">
        <v>3214</v>
      </c>
      <c r="F899" s="140" t="s">
        <v>36</v>
      </c>
      <c r="G899" s="140"/>
      <c r="H899" s="140">
        <v>60</v>
      </c>
      <c r="I899" s="141">
        <v>42114</v>
      </c>
      <c r="J899" s="140" t="s">
        <v>36</v>
      </c>
      <c r="K899" s="140" t="s">
        <v>154</v>
      </c>
      <c r="L899" s="140" t="s">
        <v>2566</v>
      </c>
      <c r="M899" s="140" t="s">
        <v>2574</v>
      </c>
      <c r="N899" s="140" t="s">
        <v>3191</v>
      </c>
      <c r="O899" s="140" t="s">
        <v>2111</v>
      </c>
      <c r="P899" s="140" t="s">
        <v>2739</v>
      </c>
      <c r="Q899" s="140" t="s">
        <v>3547</v>
      </c>
      <c r="R899" s="149" t="s">
        <v>2713</v>
      </c>
      <c r="S899" s="140">
        <v>4.5100000000000001E-2</v>
      </c>
      <c r="T899" s="140">
        <v>3.5361290322580646E-2</v>
      </c>
      <c r="U899" s="140">
        <f t="shared" si="34"/>
        <v>9.7387096774193549E-3</v>
      </c>
      <c r="V899" s="140">
        <v>2.8130000000000002</v>
      </c>
      <c r="W899" s="140">
        <f>5.484+6.945</f>
        <v>12.429</v>
      </c>
      <c r="X899" s="149">
        <f t="shared" si="33"/>
        <v>34.962777000000003</v>
      </c>
      <c r="Y899" s="149"/>
    </row>
    <row r="900" spans="1:25" ht="16">
      <c r="A900" s="117" t="s">
        <v>3570</v>
      </c>
      <c r="B900" s="139" t="s">
        <v>3275</v>
      </c>
      <c r="C900" s="140" t="s">
        <v>1744</v>
      </c>
      <c r="D900" s="140" t="s">
        <v>3551</v>
      </c>
      <c r="E900" s="140" t="s">
        <v>3215</v>
      </c>
      <c r="F900" s="140" t="s">
        <v>36</v>
      </c>
      <c r="G900" s="140"/>
      <c r="H900" s="140">
        <v>60</v>
      </c>
      <c r="I900" s="141">
        <v>42115</v>
      </c>
      <c r="J900" s="140" t="s">
        <v>36</v>
      </c>
      <c r="K900" s="140" t="s">
        <v>154</v>
      </c>
      <c r="L900" s="140" t="s">
        <v>2566</v>
      </c>
      <c r="M900" s="140" t="s">
        <v>2574</v>
      </c>
      <c r="N900" s="140" t="s">
        <v>3191</v>
      </c>
      <c r="O900" s="140" t="s">
        <v>2111</v>
      </c>
      <c r="P900" s="140" t="s">
        <v>2739</v>
      </c>
      <c r="Q900" s="140" t="s">
        <v>3547</v>
      </c>
      <c r="R900" s="149" t="s">
        <v>2713</v>
      </c>
      <c r="S900" s="140">
        <v>4.58E-2</v>
      </c>
      <c r="T900" s="140">
        <v>3.5361290322580646E-2</v>
      </c>
      <c r="U900" s="140">
        <f t="shared" si="34"/>
        <v>1.0438709677419354E-2</v>
      </c>
      <c r="V900" s="140">
        <v>2.9159999999999999</v>
      </c>
      <c r="W900" s="140">
        <f>6.172+5.609</f>
        <v>11.780999999999999</v>
      </c>
      <c r="X900" s="149">
        <f t="shared" si="33"/>
        <v>34.353395999999996</v>
      </c>
      <c r="Y900" s="149"/>
    </row>
    <row r="901" spans="1:25" ht="16">
      <c r="A901" s="117" t="s">
        <v>3570</v>
      </c>
      <c r="B901" s="139" t="s">
        <v>3276</v>
      </c>
      <c r="C901" s="140" t="s">
        <v>1744</v>
      </c>
      <c r="D901" s="140" t="s">
        <v>3551</v>
      </c>
      <c r="E901" s="140" t="s">
        <v>3216</v>
      </c>
      <c r="F901" s="140" t="s">
        <v>36</v>
      </c>
      <c r="G901" s="140"/>
      <c r="H901" s="140">
        <v>60</v>
      </c>
      <c r="I901" s="141">
        <v>42116</v>
      </c>
      <c r="J901" s="140" t="s">
        <v>36</v>
      </c>
      <c r="K901" s="140" t="s">
        <v>154</v>
      </c>
      <c r="L901" s="140" t="s">
        <v>2566</v>
      </c>
      <c r="M901" s="140" t="s">
        <v>2574</v>
      </c>
      <c r="N901" s="140" t="s">
        <v>3191</v>
      </c>
      <c r="O901" s="140" t="s">
        <v>2111</v>
      </c>
      <c r="P901" s="140" t="s">
        <v>2739</v>
      </c>
      <c r="Q901" s="140" t="s">
        <v>3547</v>
      </c>
      <c r="R901" s="149" t="s">
        <v>2713</v>
      </c>
      <c r="S901" s="140">
        <v>4.41E-2</v>
      </c>
      <c r="T901" s="140">
        <v>3.5361290322580646E-2</v>
      </c>
      <c r="U901" s="140">
        <f t="shared" si="34"/>
        <v>8.738709677419354E-3</v>
      </c>
      <c r="V901" s="140">
        <v>2.8460000000000001</v>
      </c>
      <c r="W901" s="140">
        <f>5.653+6.067</f>
        <v>11.719999999999999</v>
      </c>
      <c r="X901" s="149">
        <f t="shared" si="33"/>
        <v>33.355119999999999</v>
      </c>
      <c r="Y901" s="149"/>
    </row>
    <row r="902" spans="1:25" ht="16">
      <c r="A902" s="117" t="s">
        <v>3570</v>
      </c>
      <c r="B902" s="139" t="s">
        <v>3277</v>
      </c>
      <c r="C902" s="140" t="s">
        <v>1744</v>
      </c>
      <c r="D902" s="140" t="s">
        <v>3551</v>
      </c>
      <c r="E902" s="140" t="s">
        <v>3217</v>
      </c>
      <c r="F902" s="140">
        <v>661</v>
      </c>
      <c r="G902" s="140"/>
      <c r="H902" s="140">
        <v>60</v>
      </c>
      <c r="I902" s="141">
        <v>42117</v>
      </c>
      <c r="J902" s="140" t="s">
        <v>36</v>
      </c>
      <c r="K902" s="140" t="s">
        <v>154</v>
      </c>
      <c r="L902" s="140" t="s">
        <v>2566</v>
      </c>
      <c r="M902" s="140" t="s">
        <v>2574</v>
      </c>
      <c r="N902" s="140" t="s">
        <v>3191</v>
      </c>
      <c r="O902" s="140" t="s">
        <v>2111</v>
      </c>
      <c r="P902" s="140" t="s">
        <v>2739</v>
      </c>
      <c r="Q902" s="140" t="s">
        <v>3547</v>
      </c>
      <c r="R902" s="149" t="s">
        <v>2713</v>
      </c>
      <c r="S902" s="140">
        <v>4.4499999999999998E-2</v>
      </c>
      <c r="T902" s="140">
        <v>3.5361290322580646E-2</v>
      </c>
      <c r="U902" s="140">
        <f t="shared" si="34"/>
        <v>9.1387096774193516E-3</v>
      </c>
      <c r="V902" s="140">
        <v>2.9940000000000002</v>
      </c>
      <c r="W902" s="140">
        <f>5.988+7.248</f>
        <v>13.236000000000001</v>
      </c>
      <c r="X902" s="149">
        <f t="shared" si="33"/>
        <v>39.628584000000004</v>
      </c>
      <c r="Y902" s="149"/>
    </row>
    <row r="903" spans="1:25" ht="16">
      <c r="A903" s="117" t="s">
        <v>3570</v>
      </c>
      <c r="B903" s="139" t="s">
        <v>3278</v>
      </c>
      <c r="C903" s="140" t="s">
        <v>1744</v>
      </c>
      <c r="D903" s="140" t="s">
        <v>3551</v>
      </c>
      <c r="E903" s="140" t="s">
        <v>3218</v>
      </c>
      <c r="F903" s="140">
        <v>663</v>
      </c>
      <c r="G903" s="140"/>
      <c r="H903" s="140">
        <v>60</v>
      </c>
      <c r="I903" s="141">
        <v>42118</v>
      </c>
      <c r="J903" s="140" t="s">
        <v>36</v>
      </c>
      <c r="K903" s="140" t="s">
        <v>154</v>
      </c>
      <c r="L903" s="140" t="s">
        <v>2566</v>
      </c>
      <c r="M903" s="140" t="s">
        <v>2574</v>
      </c>
      <c r="N903" s="140" t="s">
        <v>3191</v>
      </c>
      <c r="O903" s="140" t="s">
        <v>2111</v>
      </c>
      <c r="P903" s="140" t="s">
        <v>2739</v>
      </c>
      <c r="Q903" s="140" t="s">
        <v>3547</v>
      </c>
      <c r="R903" s="149" t="s">
        <v>2713</v>
      </c>
      <c r="S903" s="140">
        <v>4.3499999999999997E-2</v>
      </c>
      <c r="T903" s="140">
        <v>3.5361290322580646E-2</v>
      </c>
      <c r="U903" s="140">
        <f t="shared" si="34"/>
        <v>8.1387096774193507E-3</v>
      </c>
      <c r="V903" s="140">
        <v>2.887</v>
      </c>
      <c r="W903" s="140">
        <f>7.242+4.811</f>
        <v>12.053000000000001</v>
      </c>
      <c r="X903" s="149">
        <f t="shared" si="33"/>
        <v>34.797011000000005</v>
      </c>
      <c r="Y903" s="149"/>
    </row>
    <row r="904" spans="1:25" ht="16">
      <c r="A904" s="117" t="s">
        <v>3570</v>
      </c>
      <c r="B904" s="139" t="s">
        <v>3279</v>
      </c>
      <c r="C904" s="140" t="s">
        <v>1744</v>
      </c>
      <c r="D904" s="140" t="s">
        <v>3551</v>
      </c>
      <c r="E904" s="140" t="s">
        <v>3219</v>
      </c>
      <c r="F904" s="140" t="s">
        <v>36</v>
      </c>
      <c r="G904" s="140"/>
      <c r="H904" s="140">
        <v>60</v>
      </c>
      <c r="I904" s="141">
        <v>42119</v>
      </c>
      <c r="J904" s="140" t="s">
        <v>36</v>
      </c>
      <c r="K904" s="140" t="s">
        <v>154</v>
      </c>
      <c r="L904" s="140" t="s">
        <v>2566</v>
      </c>
      <c r="M904" s="140" t="s">
        <v>2574</v>
      </c>
      <c r="N904" s="140" t="s">
        <v>3191</v>
      </c>
      <c r="O904" s="140" t="s">
        <v>2111</v>
      </c>
      <c r="P904" s="140" t="s">
        <v>2739</v>
      </c>
      <c r="Q904" s="140" t="s">
        <v>3547</v>
      </c>
      <c r="R904" s="149" t="s">
        <v>2713</v>
      </c>
      <c r="S904" s="140">
        <v>4.5499999999999999E-2</v>
      </c>
      <c r="T904" s="140">
        <v>3.5361290322580646E-2</v>
      </c>
      <c r="U904" s="140">
        <f t="shared" si="34"/>
        <v>1.0138709677419352E-2</v>
      </c>
      <c r="V904" s="140">
        <v>3.056</v>
      </c>
      <c r="W904" s="140">
        <f>5.98+6.871</f>
        <v>12.851000000000001</v>
      </c>
      <c r="X904" s="149">
        <f t="shared" si="33"/>
        <v>39.272656000000005</v>
      </c>
      <c r="Y904" s="149"/>
    </row>
    <row r="905" spans="1:25" ht="16">
      <c r="A905" s="117" t="s">
        <v>3570</v>
      </c>
      <c r="B905" s="139" t="s">
        <v>3280</v>
      </c>
      <c r="C905" s="140" t="s">
        <v>1744</v>
      </c>
      <c r="D905" s="140" t="s">
        <v>3551</v>
      </c>
      <c r="E905" s="140" t="s">
        <v>3200</v>
      </c>
      <c r="F905" s="140" t="s">
        <v>3205</v>
      </c>
      <c r="G905" s="140"/>
      <c r="H905" s="140">
        <v>60</v>
      </c>
      <c r="I905" s="141">
        <v>42120</v>
      </c>
      <c r="J905" s="140" t="s">
        <v>36</v>
      </c>
      <c r="K905" s="140" t="s">
        <v>154</v>
      </c>
      <c r="L905" s="140" t="s">
        <v>2572</v>
      </c>
      <c r="M905" s="140" t="s">
        <v>2576</v>
      </c>
      <c r="N905" s="140" t="s">
        <v>3192</v>
      </c>
      <c r="O905" s="140" t="s">
        <v>2777</v>
      </c>
      <c r="P905" s="140" t="s">
        <v>2777</v>
      </c>
      <c r="Q905" s="140" t="s">
        <v>3220</v>
      </c>
      <c r="R905" s="149" t="s">
        <v>2713</v>
      </c>
      <c r="S905" s="140">
        <v>4.5999999999999999E-2</v>
      </c>
      <c r="T905" s="140">
        <v>3.5361290322580646E-2</v>
      </c>
      <c r="U905" s="140">
        <f t="shared" si="34"/>
        <v>1.0638709677419353E-2</v>
      </c>
      <c r="V905" s="140">
        <v>3.6869999999999998</v>
      </c>
      <c r="W905" s="140">
        <f>7.037+7.622</f>
        <v>14.658999999999999</v>
      </c>
      <c r="X905" s="149">
        <f t="shared" si="33"/>
        <v>54.047732999999994</v>
      </c>
      <c r="Y905" s="149"/>
    </row>
    <row r="906" spans="1:25" ht="16">
      <c r="A906" s="117" t="s">
        <v>3570</v>
      </c>
      <c r="B906" s="139" t="s">
        <v>3281</v>
      </c>
      <c r="C906" s="140" t="s">
        <v>1744</v>
      </c>
      <c r="D906" s="140" t="s">
        <v>3551</v>
      </c>
      <c r="E906" s="140" t="s">
        <v>3221</v>
      </c>
      <c r="F906" s="140" t="s">
        <v>3205</v>
      </c>
      <c r="G906" s="140"/>
      <c r="H906" s="140">
        <v>60</v>
      </c>
      <c r="I906" s="141">
        <v>42121</v>
      </c>
      <c r="J906" s="140" t="s">
        <v>36</v>
      </c>
      <c r="K906" s="140" t="s">
        <v>154</v>
      </c>
      <c r="L906" s="140" t="s">
        <v>2572</v>
      </c>
      <c r="M906" s="140" t="s">
        <v>2576</v>
      </c>
      <c r="N906" s="140" t="s">
        <v>3192</v>
      </c>
      <c r="O906" s="140" t="s">
        <v>2777</v>
      </c>
      <c r="P906" s="140" t="s">
        <v>2777</v>
      </c>
      <c r="Q906" s="140" t="s">
        <v>3222</v>
      </c>
      <c r="R906" s="140" t="s">
        <v>2712</v>
      </c>
      <c r="S906" s="140">
        <v>4.36E-2</v>
      </c>
      <c r="T906" s="140">
        <v>3.5361290322580646E-2</v>
      </c>
      <c r="U906" s="140">
        <f t="shared" si="34"/>
        <v>8.2387096774193536E-3</v>
      </c>
      <c r="V906" s="140">
        <v>3.18</v>
      </c>
      <c r="W906" s="140">
        <v>12.297000000000001</v>
      </c>
      <c r="X906" s="149">
        <f t="shared" si="33"/>
        <v>39.104460000000003</v>
      </c>
      <c r="Y906" s="149"/>
    </row>
    <row r="907" spans="1:25" ht="16">
      <c r="A907" s="117" t="s">
        <v>3570</v>
      </c>
      <c r="B907" s="139" t="s">
        <v>3282</v>
      </c>
      <c r="C907" s="140" t="s">
        <v>1744</v>
      </c>
      <c r="D907" s="140" t="s">
        <v>3551</v>
      </c>
      <c r="E907" s="140" t="s">
        <v>3223</v>
      </c>
      <c r="F907" s="140">
        <v>387</v>
      </c>
      <c r="G907" s="140"/>
      <c r="H907" s="140">
        <v>60</v>
      </c>
      <c r="I907" s="141">
        <v>42122</v>
      </c>
      <c r="J907" s="140" t="s">
        <v>36</v>
      </c>
      <c r="K907" s="140" t="s">
        <v>154</v>
      </c>
      <c r="L907" s="140" t="s">
        <v>2572</v>
      </c>
      <c r="M907" s="140" t="s">
        <v>2576</v>
      </c>
      <c r="N907" s="140" t="s">
        <v>3192</v>
      </c>
      <c r="O907" s="140" t="s">
        <v>2777</v>
      </c>
      <c r="P907" s="140" t="s">
        <v>2777</v>
      </c>
      <c r="Q907" s="140" t="s">
        <v>3222</v>
      </c>
      <c r="R907" s="140" t="s">
        <v>2712</v>
      </c>
      <c r="S907" s="140">
        <v>4.1700000000000001E-2</v>
      </c>
      <c r="T907" s="140">
        <v>3.5361290322580646E-2</v>
      </c>
      <c r="U907" s="140">
        <f t="shared" si="34"/>
        <v>6.3387096774193546E-3</v>
      </c>
      <c r="V907" s="140">
        <v>2.665</v>
      </c>
      <c r="W907" s="140">
        <f>5.496+5.051</f>
        <v>10.547000000000001</v>
      </c>
      <c r="X907" s="149">
        <f t="shared" si="33"/>
        <v>28.107755000000001</v>
      </c>
      <c r="Y907" s="149"/>
    </row>
    <row r="908" spans="1:25" ht="16">
      <c r="A908" s="117" t="s">
        <v>3570</v>
      </c>
      <c r="B908" s="139" t="s">
        <v>3283</v>
      </c>
      <c r="C908" s="140" t="s">
        <v>1744</v>
      </c>
      <c r="D908" s="140" t="s">
        <v>3551</v>
      </c>
      <c r="E908" s="140" t="s">
        <v>3224</v>
      </c>
      <c r="F908" s="140">
        <v>111</v>
      </c>
      <c r="G908" s="140"/>
      <c r="H908" s="140">
        <v>60</v>
      </c>
      <c r="I908" s="141">
        <v>42123</v>
      </c>
      <c r="J908" s="140" t="s">
        <v>36</v>
      </c>
      <c r="K908" s="140" t="s">
        <v>154</v>
      </c>
      <c r="L908" s="140" t="s">
        <v>2572</v>
      </c>
      <c r="M908" s="140" t="s">
        <v>2576</v>
      </c>
      <c r="N908" s="140" t="s">
        <v>3192</v>
      </c>
      <c r="O908" s="140" t="s">
        <v>2777</v>
      </c>
      <c r="P908" s="140" t="s">
        <v>2777</v>
      </c>
      <c r="Q908" s="140" t="s">
        <v>3222</v>
      </c>
      <c r="R908" s="140" t="s">
        <v>2712</v>
      </c>
      <c r="S908" s="140">
        <v>4.2900000000000001E-2</v>
      </c>
      <c r="T908" s="140">
        <v>3.5361290322580646E-2</v>
      </c>
      <c r="U908" s="140">
        <f t="shared" si="34"/>
        <v>7.5387096774193543E-3</v>
      </c>
      <c r="V908" s="140">
        <v>3.0670000000000002</v>
      </c>
      <c r="W908" s="140">
        <v>13.292</v>
      </c>
      <c r="X908" s="149">
        <f t="shared" si="33"/>
        <v>40.766564000000002</v>
      </c>
      <c r="Y908" s="149"/>
    </row>
    <row r="909" spans="1:25" ht="16">
      <c r="A909" s="117" t="s">
        <v>3570</v>
      </c>
      <c r="B909" s="139" t="s">
        <v>3284</v>
      </c>
      <c r="C909" s="140" t="s">
        <v>1744</v>
      </c>
      <c r="D909" s="140" t="s">
        <v>3551</v>
      </c>
      <c r="E909" s="140" t="s">
        <v>3223</v>
      </c>
      <c r="F909" s="140">
        <v>368</v>
      </c>
      <c r="G909" s="140"/>
      <c r="H909" s="140">
        <v>60</v>
      </c>
      <c r="I909" s="141">
        <v>42124</v>
      </c>
      <c r="J909" s="140" t="s">
        <v>36</v>
      </c>
      <c r="K909" s="140" t="s">
        <v>154</v>
      </c>
      <c r="L909" s="140" t="s">
        <v>2572</v>
      </c>
      <c r="M909" s="140" t="s">
        <v>2576</v>
      </c>
      <c r="N909" s="140" t="s">
        <v>3192</v>
      </c>
      <c r="O909" s="140" t="s">
        <v>2777</v>
      </c>
      <c r="P909" s="140" t="s">
        <v>2777</v>
      </c>
      <c r="Q909" s="140" t="s">
        <v>3222</v>
      </c>
      <c r="R909" s="140" t="s">
        <v>2712</v>
      </c>
      <c r="S909" s="140">
        <v>4.1500000000000002E-2</v>
      </c>
      <c r="T909" s="140">
        <v>3.5361290322580646E-2</v>
      </c>
      <c r="U909" s="140">
        <f t="shared" si="34"/>
        <v>6.1387096774193559E-3</v>
      </c>
      <c r="V909" s="140">
        <v>3.1110000000000002</v>
      </c>
      <c r="W909" s="140">
        <v>12.523</v>
      </c>
      <c r="X909" s="149">
        <f t="shared" si="33"/>
        <v>38.959053000000004</v>
      </c>
      <c r="Y909" s="149"/>
    </row>
    <row r="910" spans="1:25" ht="16">
      <c r="A910" s="117" t="s">
        <v>3570</v>
      </c>
      <c r="B910" s="139" t="s">
        <v>3285</v>
      </c>
      <c r="C910" s="140" t="s">
        <v>1744</v>
      </c>
      <c r="D910" s="140" t="s">
        <v>3551</v>
      </c>
      <c r="E910" s="140" t="s">
        <v>3225</v>
      </c>
      <c r="F910" s="140">
        <v>9</v>
      </c>
      <c r="G910" s="140"/>
      <c r="H910" s="140">
        <v>60</v>
      </c>
      <c r="I910" s="141">
        <v>42125</v>
      </c>
      <c r="J910" s="140" t="s">
        <v>36</v>
      </c>
      <c r="K910" s="140" t="s">
        <v>154</v>
      </c>
      <c r="L910" s="140" t="s">
        <v>2572</v>
      </c>
      <c r="M910" s="140" t="s">
        <v>2576</v>
      </c>
      <c r="N910" s="140" t="s">
        <v>3192</v>
      </c>
      <c r="O910" s="140" t="s">
        <v>2777</v>
      </c>
      <c r="P910" s="140" t="s">
        <v>2777</v>
      </c>
      <c r="Q910" s="140" t="s">
        <v>3222</v>
      </c>
      <c r="R910" s="140" t="s">
        <v>2712</v>
      </c>
      <c r="S910" s="140">
        <v>4.1099999999999998E-2</v>
      </c>
      <c r="T910" s="140">
        <v>3.5361290322580646E-2</v>
      </c>
      <c r="U910" s="140">
        <f t="shared" si="34"/>
        <v>5.7387096774193513E-3</v>
      </c>
      <c r="V910" s="140">
        <v>2.8210000000000002</v>
      </c>
      <c r="W910" s="140">
        <f>5.833+5.445</f>
        <v>11.278</v>
      </c>
      <c r="X910" s="149">
        <f t="shared" si="33"/>
        <v>31.815238000000004</v>
      </c>
      <c r="Y910" s="149"/>
    </row>
    <row r="911" spans="1:25" ht="16">
      <c r="A911" s="117" t="s">
        <v>3570</v>
      </c>
      <c r="B911" s="139" t="s">
        <v>3286</v>
      </c>
      <c r="C911" s="140" t="s">
        <v>1744</v>
      </c>
      <c r="D911" s="140" t="s">
        <v>3551</v>
      </c>
      <c r="E911" s="140" t="s">
        <v>3225</v>
      </c>
      <c r="F911" s="140">
        <v>2</v>
      </c>
      <c r="G911" s="140"/>
      <c r="H911" s="140">
        <v>60</v>
      </c>
      <c r="I911" s="141">
        <v>42126</v>
      </c>
      <c r="J911" s="140" t="s">
        <v>36</v>
      </c>
      <c r="K911" s="140" t="s">
        <v>154</v>
      </c>
      <c r="L911" s="140" t="s">
        <v>2572</v>
      </c>
      <c r="M911" s="140" t="s">
        <v>2576</v>
      </c>
      <c r="N911" s="140" t="s">
        <v>3192</v>
      </c>
      <c r="O911" s="140" t="s">
        <v>2777</v>
      </c>
      <c r="P911" s="140" t="s">
        <v>2777</v>
      </c>
      <c r="Q911" s="140" t="s">
        <v>3222</v>
      </c>
      <c r="R911" s="140" t="s">
        <v>2712</v>
      </c>
      <c r="S911" s="140">
        <v>4.1799999999999997E-2</v>
      </c>
      <c r="T911" s="140">
        <v>3.5361290322580646E-2</v>
      </c>
      <c r="U911" s="140">
        <f t="shared" si="34"/>
        <v>6.4387096774193506E-3</v>
      </c>
      <c r="V911" s="140">
        <v>2.899</v>
      </c>
      <c r="W911" s="140">
        <f>5.692+5.819</f>
        <v>11.510999999999999</v>
      </c>
      <c r="X911" s="149">
        <f t="shared" si="33"/>
        <v>33.370388999999996</v>
      </c>
      <c r="Y911" s="149"/>
    </row>
    <row r="912" spans="1:25" ht="16">
      <c r="A912" s="117" t="s">
        <v>3570</v>
      </c>
      <c r="B912" s="139" t="s">
        <v>3287</v>
      </c>
      <c r="C912" s="140" t="s">
        <v>1744</v>
      </c>
      <c r="D912" s="140" t="s">
        <v>3551</v>
      </c>
      <c r="E912" s="140" t="s">
        <v>3226</v>
      </c>
      <c r="F912" s="140">
        <v>119</v>
      </c>
      <c r="G912" s="140"/>
      <c r="H912" s="140">
        <v>60</v>
      </c>
      <c r="I912" s="141">
        <v>42127</v>
      </c>
      <c r="J912" s="140" t="s">
        <v>36</v>
      </c>
      <c r="K912" s="140" t="s">
        <v>154</v>
      </c>
      <c r="L912" s="140" t="s">
        <v>2572</v>
      </c>
      <c r="M912" s="140" t="s">
        <v>2576</v>
      </c>
      <c r="N912" s="140" t="s">
        <v>3192</v>
      </c>
      <c r="O912" s="140" t="s">
        <v>2777</v>
      </c>
      <c r="P912" s="140" t="s">
        <v>2777</v>
      </c>
      <c r="Q912" s="140" t="s">
        <v>3222</v>
      </c>
      <c r="R912" s="140" t="s">
        <v>2712</v>
      </c>
      <c r="S912" s="140">
        <v>4.2900000000000001E-2</v>
      </c>
      <c r="T912" s="140">
        <v>3.5361290322580646E-2</v>
      </c>
      <c r="U912" s="140">
        <f t="shared" si="34"/>
        <v>7.5387096774193543E-3</v>
      </c>
      <c r="V912" s="140">
        <v>3.2080000000000002</v>
      </c>
      <c r="W912" s="140">
        <v>11.914</v>
      </c>
      <c r="X912" s="149">
        <f t="shared" si="33"/>
        <v>38.220112</v>
      </c>
      <c r="Y912" s="149"/>
    </row>
    <row r="913" spans="1:25" ht="16">
      <c r="A913" s="117" t="s">
        <v>3570</v>
      </c>
      <c r="B913" s="139" t="s">
        <v>3288</v>
      </c>
      <c r="C913" s="140" t="s">
        <v>1744</v>
      </c>
      <c r="D913" s="140" t="s">
        <v>3551</v>
      </c>
      <c r="E913" s="140" t="s">
        <v>3227</v>
      </c>
      <c r="F913" s="140">
        <v>120</v>
      </c>
      <c r="G913" s="140"/>
      <c r="H913" s="140">
        <v>60</v>
      </c>
      <c r="I913" s="141">
        <v>42128</v>
      </c>
      <c r="J913" s="140" t="s">
        <v>36</v>
      </c>
      <c r="K913" s="140" t="s">
        <v>154</v>
      </c>
      <c r="L913" s="140" t="s">
        <v>2572</v>
      </c>
      <c r="M913" s="140" t="s">
        <v>2576</v>
      </c>
      <c r="N913" s="140" t="s">
        <v>3192</v>
      </c>
      <c r="O913" s="140" t="s">
        <v>2777</v>
      </c>
      <c r="P913" s="140" t="s">
        <v>2777</v>
      </c>
      <c r="Q913" s="140" t="s">
        <v>3222</v>
      </c>
      <c r="R913" s="140" t="s">
        <v>2712</v>
      </c>
      <c r="S913" s="140">
        <v>4.2299999999999997E-2</v>
      </c>
      <c r="T913" s="140">
        <v>3.5361290322580646E-2</v>
      </c>
      <c r="U913" s="140">
        <f t="shared" si="34"/>
        <v>6.938709677419351E-3</v>
      </c>
      <c r="V913" s="140">
        <v>3.1379999999999999</v>
      </c>
      <c r="W913" s="140">
        <v>11.95</v>
      </c>
      <c r="X913" s="149">
        <f t="shared" si="33"/>
        <v>37.499099999999999</v>
      </c>
      <c r="Y913" s="149"/>
    </row>
    <row r="914" spans="1:25" ht="16">
      <c r="A914" s="117" t="s">
        <v>3570</v>
      </c>
      <c r="B914" s="139" t="s">
        <v>3289</v>
      </c>
      <c r="C914" s="140" t="s">
        <v>1744</v>
      </c>
      <c r="D914" s="140" t="s">
        <v>3551</v>
      </c>
      <c r="E914" s="140" t="s">
        <v>3227</v>
      </c>
      <c r="F914" s="140">
        <v>8</v>
      </c>
      <c r="G914" s="140"/>
      <c r="H914" s="140">
        <v>60</v>
      </c>
      <c r="I914" s="141">
        <v>42129</v>
      </c>
      <c r="J914" s="140" t="s">
        <v>36</v>
      </c>
      <c r="K914" s="140" t="s">
        <v>154</v>
      </c>
      <c r="L914" s="140" t="s">
        <v>2572</v>
      </c>
      <c r="M914" s="140" t="s">
        <v>2576</v>
      </c>
      <c r="N914" s="140" t="s">
        <v>3192</v>
      </c>
      <c r="O914" s="140" t="s">
        <v>2777</v>
      </c>
      <c r="P914" s="140" t="s">
        <v>2777</v>
      </c>
      <c r="Q914" s="140" t="s">
        <v>3222</v>
      </c>
      <c r="R914" s="140" t="s">
        <v>2712</v>
      </c>
      <c r="S914" s="140">
        <v>4.24E-2</v>
      </c>
      <c r="T914" s="140">
        <v>3.5361290322580646E-2</v>
      </c>
      <c r="U914" s="140">
        <f t="shared" si="34"/>
        <v>7.0387096774193539E-3</v>
      </c>
      <c r="V914" s="140">
        <v>2.996</v>
      </c>
      <c r="W914" s="140">
        <f>6.172+6.469</f>
        <v>12.641</v>
      </c>
      <c r="X914" s="149">
        <f t="shared" si="33"/>
        <v>37.872436</v>
      </c>
      <c r="Y914" s="149"/>
    </row>
    <row r="915" spans="1:25" ht="16">
      <c r="A915" s="117" t="s">
        <v>3570</v>
      </c>
      <c r="B915" s="139" t="s">
        <v>3290</v>
      </c>
      <c r="C915" s="140" t="s">
        <v>1744</v>
      </c>
      <c r="D915" s="140" t="s">
        <v>3551</v>
      </c>
      <c r="E915" s="140" t="s">
        <v>3227</v>
      </c>
      <c r="F915" s="140">
        <v>5</v>
      </c>
      <c r="G915" s="140"/>
      <c r="H915" s="140">
        <v>60</v>
      </c>
      <c r="I915" s="141">
        <v>42130</v>
      </c>
      <c r="J915" s="140" t="s">
        <v>36</v>
      </c>
      <c r="K915" s="140" t="s">
        <v>154</v>
      </c>
      <c r="L915" s="140" t="s">
        <v>2572</v>
      </c>
      <c r="M915" s="140" t="s">
        <v>2576</v>
      </c>
      <c r="N915" s="140" t="s">
        <v>3192</v>
      </c>
      <c r="O915" s="140" t="s">
        <v>2777</v>
      </c>
      <c r="P915" s="140" t="s">
        <v>2777</v>
      </c>
      <c r="Q915" s="140" t="s">
        <v>3222</v>
      </c>
      <c r="R915" s="140" t="s">
        <v>2712</v>
      </c>
      <c r="S915" s="140">
        <v>4.2999999999999997E-2</v>
      </c>
      <c r="T915" s="140">
        <v>3.5361290322580646E-2</v>
      </c>
      <c r="U915" s="140">
        <f t="shared" si="34"/>
        <v>7.6387096774193503E-3</v>
      </c>
      <c r="V915" s="140">
        <v>3.4609999999999999</v>
      </c>
      <c r="W915" s="140">
        <f>6.214+5.908</f>
        <v>12.122</v>
      </c>
      <c r="X915" s="149">
        <f t="shared" si="33"/>
        <v>41.954242000000001</v>
      </c>
      <c r="Y915" s="149"/>
    </row>
    <row r="916" spans="1:25" ht="16">
      <c r="A916" s="117" t="s">
        <v>3570</v>
      </c>
      <c r="B916" s="139" t="s">
        <v>3291</v>
      </c>
      <c r="C916" s="140" t="s">
        <v>1744</v>
      </c>
      <c r="D916" s="140" t="s">
        <v>3551</v>
      </c>
      <c r="E916" s="140" t="s">
        <v>3227</v>
      </c>
      <c r="F916" s="140">
        <v>117</v>
      </c>
      <c r="G916" s="140"/>
      <c r="H916" s="140">
        <v>60</v>
      </c>
      <c r="I916" s="141">
        <v>42131</v>
      </c>
      <c r="J916" s="140" t="s">
        <v>36</v>
      </c>
      <c r="K916" s="140" t="s">
        <v>154</v>
      </c>
      <c r="L916" s="140" t="s">
        <v>2572</v>
      </c>
      <c r="M916" s="140" t="s">
        <v>2576</v>
      </c>
      <c r="N916" s="140" t="s">
        <v>3192</v>
      </c>
      <c r="O916" s="140" t="s">
        <v>2777</v>
      </c>
      <c r="P916" s="140" t="s">
        <v>2777</v>
      </c>
      <c r="Q916" s="140" t="s">
        <v>3222</v>
      </c>
      <c r="R916" s="140" t="s">
        <v>2712</v>
      </c>
      <c r="S916" s="140">
        <v>4.2200000000000001E-2</v>
      </c>
      <c r="T916" s="140">
        <v>3.5361290322580646E-2</v>
      </c>
      <c r="U916" s="140">
        <f t="shared" si="34"/>
        <v>6.8387096774193551E-3</v>
      </c>
      <c r="V916" s="140">
        <v>3.0720000000000001</v>
      </c>
      <c r="W916" s="140">
        <f>5.838+6.323</f>
        <v>12.161000000000001</v>
      </c>
      <c r="X916" s="149">
        <f t="shared" si="33"/>
        <v>37.358592000000002</v>
      </c>
      <c r="Y916" s="149"/>
    </row>
    <row r="917" spans="1:25" ht="16">
      <c r="A917" s="117" t="s">
        <v>3570</v>
      </c>
      <c r="B917" s="139" t="s">
        <v>3292</v>
      </c>
      <c r="C917" s="140" t="s">
        <v>1744</v>
      </c>
      <c r="D917" s="140" t="s">
        <v>3551</v>
      </c>
      <c r="E917" s="140" t="s">
        <v>3227</v>
      </c>
      <c r="F917" s="140">
        <v>118</v>
      </c>
      <c r="G917" s="140"/>
      <c r="H917" s="140">
        <v>60</v>
      </c>
      <c r="I917" s="141">
        <v>42132</v>
      </c>
      <c r="J917" s="140" t="s">
        <v>36</v>
      </c>
      <c r="K917" s="140" t="s">
        <v>154</v>
      </c>
      <c r="L917" s="140" t="s">
        <v>2572</v>
      </c>
      <c r="M917" s="140" t="s">
        <v>2576</v>
      </c>
      <c r="N917" s="140" t="s">
        <v>3192</v>
      </c>
      <c r="O917" s="140" t="s">
        <v>2777</v>
      </c>
      <c r="P917" s="140" t="s">
        <v>2777</v>
      </c>
      <c r="Q917" s="140" t="s">
        <v>3222</v>
      </c>
      <c r="R917" s="140" t="s">
        <v>2712</v>
      </c>
      <c r="S917" s="140">
        <v>4.2500000000000003E-2</v>
      </c>
      <c r="T917" s="140">
        <v>3.5361290322580646E-2</v>
      </c>
      <c r="U917" s="140">
        <f t="shared" si="34"/>
        <v>7.1387096774193567E-3</v>
      </c>
      <c r="V917" s="140">
        <v>3.1240000000000001</v>
      </c>
      <c r="W917" s="140">
        <f>5.961+6.32</f>
        <v>12.281000000000001</v>
      </c>
      <c r="X917" s="149">
        <f t="shared" si="33"/>
        <v>38.365844000000003</v>
      </c>
      <c r="Y917" s="149"/>
    </row>
    <row r="918" spans="1:25" ht="16">
      <c r="A918" s="117" t="s">
        <v>3570</v>
      </c>
      <c r="B918" s="139" t="s">
        <v>3293</v>
      </c>
      <c r="C918" s="140" t="s">
        <v>1744</v>
      </c>
      <c r="D918" s="140" t="s">
        <v>3551</v>
      </c>
      <c r="E918" s="140" t="s">
        <v>3228</v>
      </c>
      <c r="F918" s="140" t="s">
        <v>36</v>
      </c>
      <c r="G918" s="140"/>
      <c r="H918" s="140">
        <v>60</v>
      </c>
      <c r="I918" s="141">
        <v>42133</v>
      </c>
      <c r="J918" s="140" t="s">
        <v>36</v>
      </c>
      <c r="K918" s="140" t="s">
        <v>154</v>
      </c>
      <c r="L918" s="140" t="s">
        <v>2572</v>
      </c>
      <c r="M918" s="140" t="s">
        <v>2576</v>
      </c>
      <c r="N918" s="140" t="s">
        <v>3192</v>
      </c>
      <c r="O918" s="140" t="s">
        <v>2777</v>
      </c>
      <c r="P918" s="140" t="s">
        <v>2777</v>
      </c>
      <c r="Q918" s="140" t="s">
        <v>3222</v>
      </c>
      <c r="R918" s="140" t="s">
        <v>2712</v>
      </c>
      <c r="S918" s="140">
        <v>4.2000000000000003E-2</v>
      </c>
      <c r="T918" s="140">
        <v>3.5361290322580646E-2</v>
      </c>
      <c r="U918" s="140">
        <f t="shared" si="34"/>
        <v>6.6387096774193563E-3</v>
      </c>
      <c r="V918" s="140">
        <v>2.8919999999999999</v>
      </c>
      <c r="W918" s="140">
        <f>5.482+5.476</f>
        <v>10.958</v>
      </c>
      <c r="X918" s="149">
        <f t="shared" si="33"/>
        <v>31.690535999999998</v>
      </c>
      <c r="Y918" s="149"/>
    </row>
    <row r="919" spans="1:25" ht="16">
      <c r="A919" s="117" t="s">
        <v>3570</v>
      </c>
      <c r="B919" s="139" t="s">
        <v>3294</v>
      </c>
      <c r="C919" s="140" t="s">
        <v>1744</v>
      </c>
      <c r="D919" s="140" t="s">
        <v>3551</v>
      </c>
      <c r="E919" s="140" t="s">
        <v>3228</v>
      </c>
      <c r="F919" s="140" t="s">
        <v>36</v>
      </c>
      <c r="G919" s="140"/>
      <c r="H919" s="140">
        <v>60</v>
      </c>
      <c r="I919" s="141">
        <v>42134</v>
      </c>
      <c r="J919" s="140" t="s">
        <v>36</v>
      </c>
      <c r="K919" s="140" t="s">
        <v>154</v>
      </c>
      <c r="L919" s="140" t="s">
        <v>2572</v>
      </c>
      <c r="M919" s="140" t="s">
        <v>2576</v>
      </c>
      <c r="N919" s="140" t="s">
        <v>3192</v>
      </c>
      <c r="O919" s="140" t="s">
        <v>2777</v>
      </c>
      <c r="P919" s="140" t="s">
        <v>2777</v>
      </c>
      <c r="Q919" s="140" t="s">
        <v>3222</v>
      </c>
      <c r="R919" s="140" t="s">
        <v>2712</v>
      </c>
      <c r="S919" s="140">
        <v>4.2500000000000003E-2</v>
      </c>
      <c r="T919" s="140">
        <v>3.5361290322580646E-2</v>
      </c>
      <c r="U919" s="140">
        <f t="shared" si="34"/>
        <v>7.1387096774193567E-3</v>
      </c>
      <c r="V919" s="140">
        <v>3.0070000000000001</v>
      </c>
      <c r="W919" s="140">
        <f>6.332+5.63</f>
        <v>11.962</v>
      </c>
      <c r="X919" s="149">
        <f t="shared" si="33"/>
        <v>35.969734000000003</v>
      </c>
      <c r="Y919" s="149"/>
    </row>
    <row r="920" spans="1:25" ht="16">
      <c r="A920" s="117" t="s">
        <v>3570</v>
      </c>
      <c r="B920" s="139" t="s">
        <v>3295</v>
      </c>
      <c r="C920" s="140" t="s">
        <v>1744</v>
      </c>
      <c r="D920" s="140" t="s">
        <v>3551</v>
      </c>
      <c r="E920" s="140" t="s">
        <v>3229</v>
      </c>
      <c r="F920" s="140" t="s">
        <v>36</v>
      </c>
      <c r="G920" s="140"/>
      <c r="H920" s="140">
        <v>60</v>
      </c>
      <c r="I920" s="141">
        <v>42135</v>
      </c>
      <c r="J920" s="140" t="s">
        <v>36</v>
      </c>
      <c r="K920" s="140" t="s">
        <v>154</v>
      </c>
      <c r="L920" s="140" t="s">
        <v>2572</v>
      </c>
      <c r="M920" s="140" t="s">
        <v>2576</v>
      </c>
      <c r="N920" s="140" t="s">
        <v>3192</v>
      </c>
      <c r="O920" s="140" t="s">
        <v>2777</v>
      </c>
      <c r="P920" s="140" t="s">
        <v>2777</v>
      </c>
      <c r="Q920" s="140" t="s">
        <v>3222</v>
      </c>
      <c r="R920" s="140" t="s">
        <v>2712</v>
      </c>
      <c r="S920" s="140">
        <v>4.2200000000000001E-2</v>
      </c>
      <c r="T920" s="140">
        <v>3.5361290322580646E-2</v>
      </c>
      <c r="U920" s="140">
        <f t="shared" si="34"/>
        <v>6.8387096774193551E-3</v>
      </c>
      <c r="V920" s="140">
        <v>3.069</v>
      </c>
      <c r="W920" s="140">
        <f>5.975+5.595</f>
        <v>11.57</v>
      </c>
      <c r="X920" s="149">
        <f t="shared" si="33"/>
        <v>35.508330000000001</v>
      </c>
      <c r="Y920" s="149"/>
    </row>
    <row r="921" spans="1:25" ht="16">
      <c r="A921" s="117" t="s">
        <v>3570</v>
      </c>
      <c r="B921" s="139" t="s">
        <v>3296</v>
      </c>
      <c r="C921" s="140" t="s">
        <v>1744</v>
      </c>
      <c r="D921" s="140" t="s">
        <v>3551</v>
      </c>
      <c r="E921" s="140" t="s">
        <v>3201</v>
      </c>
      <c r="F921" s="140" t="s">
        <v>36</v>
      </c>
      <c r="G921" s="140"/>
      <c r="H921" s="140">
        <v>60</v>
      </c>
      <c r="I921" s="141">
        <v>42136</v>
      </c>
      <c r="J921" s="140" t="s">
        <v>36</v>
      </c>
      <c r="K921" s="140" t="s">
        <v>154</v>
      </c>
      <c r="L921" s="140" t="s">
        <v>2572</v>
      </c>
      <c r="M921" s="140" t="s">
        <v>2576</v>
      </c>
      <c r="N921" s="140" t="s">
        <v>3192</v>
      </c>
      <c r="O921" s="140" t="s">
        <v>2777</v>
      </c>
      <c r="P921" s="140" t="s">
        <v>2777</v>
      </c>
      <c r="Q921" s="140" t="s">
        <v>3222</v>
      </c>
      <c r="R921" s="140" t="s">
        <v>2712</v>
      </c>
      <c r="S921" s="140">
        <v>4.36E-2</v>
      </c>
      <c r="T921" s="140">
        <v>3.5361290322580646E-2</v>
      </c>
      <c r="U921" s="140">
        <f t="shared" si="34"/>
        <v>8.2387096774193536E-3</v>
      </c>
      <c r="V921" s="140">
        <v>3.0630000000000002</v>
      </c>
      <c r="W921" s="140">
        <f>6.49+6.488</f>
        <v>12.978000000000002</v>
      </c>
      <c r="X921" s="149">
        <f t="shared" si="33"/>
        <v>39.751614000000004</v>
      </c>
      <c r="Y921" s="149"/>
    </row>
    <row r="922" spans="1:25" ht="16">
      <c r="A922" s="117" t="s">
        <v>3570</v>
      </c>
      <c r="B922" s="139" t="s">
        <v>3297</v>
      </c>
      <c r="C922" s="140" t="s">
        <v>1744</v>
      </c>
      <c r="D922" s="140" t="s">
        <v>3551</v>
      </c>
      <c r="E922" s="140" t="s">
        <v>3230</v>
      </c>
      <c r="F922" s="140" t="s">
        <v>36</v>
      </c>
      <c r="G922" s="140"/>
      <c r="H922" s="140">
        <v>60</v>
      </c>
      <c r="I922" s="141">
        <v>42137</v>
      </c>
      <c r="J922" s="140" t="s">
        <v>36</v>
      </c>
      <c r="K922" s="140" t="s">
        <v>154</v>
      </c>
      <c r="L922" s="140" t="s">
        <v>2572</v>
      </c>
      <c r="M922" s="140" t="s">
        <v>2576</v>
      </c>
      <c r="N922" s="140" t="s">
        <v>3192</v>
      </c>
      <c r="O922" s="140" t="s">
        <v>2777</v>
      </c>
      <c r="P922" s="140" t="s">
        <v>2777</v>
      </c>
      <c r="Q922" s="140" t="s">
        <v>3222</v>
      </c>
      <c r="R922" s="140" t="s">
        <v>2712</v>
      </c>
      <c r="S922" s="140">
        <v>4.1200000000000001E-2</v>
      </c>
      <c r="T922" s="140">
        <v>3.5361290322580646E-2</v>
      </c>
      <c r="U922" s="140">
        <f t="shared" si="34"/>
        <v>5.8387096774193542E-3</v>
      </c>
      <c r="V922" s="140">
        <v>2.6850000000000001</v>
      </c>
      <c r="W922" s="140">
        <f>5.939+5.762</f>
        <v>11.701000000000001</v>
      </c>
      <c r="X922" s="149">
        <f t="shared" si="33"/>
        <v>31.417185000000003</v>
      </c>
      <c r="Y922" s="149"/>
    </row>
    <row r="923" spans="1:25" ht="16">
      <c r="A923" s="117" t="s">
        <v>3570</v>
      </c>
      <c r="B923" s="139" t="s">
        <v>3298</v>
      </c>
      <c r="C923" s="140" t="s">
        <v>1744</v>
      </c>
      <c r="D923" s="140" t="s">
        <v>3551</v>
      </c>
      <c r="E923" s="140" t="s">
        <v>3230</v>
      </c>
      <c r="F923" s="140" t="s">
        <v>36</v>
      </c>
      <c r="G923" s="140"/>
      <c r="H923" s="140">
        <v>60</v>
      </c>
      <c r="I923" s="141">
        <v>42138</v>
      </c>
      <c r="J923" s="140" t="s">
        <v>36</v>
      </c>
      <c r="K923" s="140" t="s">
        <v>154</v>
      </c>
      <c r="L923" s="140" t="s">
        <v>2572</v>
      </c>
      <c r="M923" s="140" t="s">
        <v>2576</v>
      </c>
      <c r="N923" s="140" t="s">
        <v>3192</v>
      </c>
      <c r="O923" s="140" t="s">
        <v>2777</v>
      </c>
      <c r="P923" s="140" t="s">
        <v>2777</v>
      </c>
      <c r="Q923" s="140" t="s">
        <v>3222</v>
      </c>
      <c r="R923" s="140" t="s">
        <v>2712</v>
      </c>
      <c r="S923" s="140">
        <v>4.1799999999999997E-2</v>
      </c>
      <c r="T923" s="140">
        <v>3.5361290322580646E-2</v>
      </c>
      <c r="U923" s="140">
        <f t="shared" si="34"/>
        <v>6.4387096774193506E-3</v>
      </c>
      <c r="V923" s="140">
        <v>2.9550000000000001</v>
      </c>
      <c r="W923" s="140">
        <f>6.037+6.078</f>
        <v>12.115</v>
      </c>
      <c r="X923" s="149">
        <f t="shared" si="33"/>
        <v>35.799824999999998</v>
      </c>
      <c r="Y923" s="149"/>
    </row>
    <row r="924" spans="1:25" ht="16">
      <c r="A924" s="117" t="s">
        <v>3570</v>
      </c>
      <c r="B924" s="139" t="s">
        <v>3299</v>
      </c>
      <c r="C924" s="140" t="s">
        <v>1744</v>
      </c>
      <c r="D924" s="140" t="s">
        <v>3551</v>
      </c>
      <c r="E924" s="140" t="s">
        <v>3230</v>
      </c>
      <c r="F924" s="140" t="s">
        <v>36</v>
      </c>
      <c r="G924" s="140"/>
      <c r="H924" s="140">
        <v>60</v>
      </c>
      <c r="I924" s="141">
        <v>42139</v>
      </c>
      <c r="J924" s="140" t="s">
        <v>36</v>
      </c>
      <c r="K924" s="140" t="s">
        <v>154</v>
      </c>
      <c r="L924" s="140" t="s">
        <v>2572</v>
      </c>
      <c r="M924" s="140" t="s">
        <v>2576</v>
      </c>
      <c r="N924" s="140" t="s">
        <v>3192</v>
      </c>
      <c r="O924" s="140" t="s">
        <v>2777</v>
      </c>
      <c r="P924" s="140" t="s">
        <v>2777</v>
      </c>
      <c r="Q924" s="140" t="s">
        <v>3222</v>
      </c>
      <c r="R924" s="140" t="s">
        <v>2712</v>
      </c>
      <c r="S924" s="140">
        <v>4.36E-2</v>
      </c>
      <c r="T924" s="140">
        <v>3.5361290322580646E-2</v>
      </c>
      <c r="U924" s="140">
        <f t="shared" si="34"/>
        <v>8.2387096774193536E-3</v>
      </c>
      <c r="V924" s="140">
        <v>3.0979999999999999</v>
      </c>
      <c r="W924" s="140">
        <f>6.33+6.363</f>
        <v>12.693000000000001</v>
      </c>
      <c r="X924" s="149">
        <f t="shared" si="33"/>
        <v>39.322914000000004</v>
      </c>
      <c r="Y924" s="149"/>
    </row>
    <row r="925" spans="1:25" ht="16">
      <c r="A925" s="117" t="s">
        <v>3570</v>
      </c>
      <c r="B925" s="139" t="s">
        <v>3300</v>
      </c>
      <c r="C925" s="140" t="s">
        <v>1744</v>
      </c>
      <c r="D925" s="140" t="s">
        <v>3551</v>
      </c>
      <c r="E925" s="140" t="s">
        <v>3230</v>
      </c>
      <c r="F925" s="140" t="s">
        <v>36</v>
      </c>
      <c r="G925" s="140"/>
      <c r="H925" s="140">
        <v>60</v>
      </c>
      <c r="I925" s="141">
        <v>42140</v>
      </c>
      <c r="J925" s="140" t="s">
        <v>36</v>
      </c>
      <c r="K925" s="140" t="s">
        <v>154</v>
      </c>
      <c r="L925" s="140" t="s">
        <v>2572</v>
      </c>
      <c r="M925" s="140" t="s">
        <v>2576</v>
      </c>
      <c r="N925" s="140" t="s">
        <v>3192</v>
      </c>
      <c r="O925" s="140" t="s">
        <v>2777</v>
      </c>
      <c r="P925" s="140" t="s">
        <v>2777</v>
      </c>
      <c r="Q925" s="140" t="s">
        <v>3222</v>
      </c>
      <c r="R925" s="140" t="s">
        <v>2712</v>
      </c>
      <c r="S925" s="140">
        <v>4.2999999999999997E-2</v>
      </c>
      <c r="T925" s="140">
        <v>3.5361290322580646E-2</v>
      </c>
      <c r="U925" s="140">
        <f t="shared" si="34"/>
        <v>7.6387096774193503E-3</v>
      </c>
      <c r="V925" s="140">
        <v>3.266</v>
      </c>
      <c r="W925" s="140">
        <v>12.067</v>
      </c>
      <c r="X925" s="149">
        <f t="shared" si="33"/>
        <v>39.410822000000003</v>
      </c>
      <c r="Y925" s="149"/>
    </row>
    <row r="926" spans="1:25" ht="16">
      <c r="A926" s="117" t="s">
        <v>3570</v>
      </c>
      <c r="B926" s="139" t="s">
        <v>3301</v>
      </c>
      <c r="C926" s="140" t="s">
        <v>1744</v>
      </c>
      <c r="D926" s="140" t="s">
        <v>3551</v>
      </c>
      <c r="E926" s="140" t="s">
        <v>3230</v>
      </c>
      <c r="F926" s="140" t="s">
        <v>36</v>
      </c>
      <c r="G926" s="140"/>
      <c r="H926" s="140">
        <v>60</v>
      </c>
      <c r="I926" s="141">
        <v>42141</v>
      </c>
      <c r="J926" s="140" t="s">
        <v>36</v>
      </c>
      <c r="K926" s="140" t="s">
        <v>154</v>
      </c>
      <c r="L926" s="140" t="s">
        <v>2572</v>
      </c>
      <c r="M926" s="140" t="s">
        <v>2576</v>
      </c>
      <c r="N926" s="140" t="s">
        <v>3192</v>
      </c>
      <c r="O926" s="140" t="s">
        <v>2777</v>
      </c>
      <c r="P926" s="140" t="s">
        <v>2777</v>
      </c>
      <c r="Q926" s="140" t="s">
        <v>3222</v>
      </c>
      <c r="R926" s="140" t="s">
        <v>2712</v>
      </c>
      <c r="S926" s="140">
        <v>4.24E-2</v>
      </c>
      <c r="T926" s="140">
        <v>3.5361290322580646E-2</v>
      </c>
      <c r="U926" s="140">
        <f t="shared" si="34"/>
        <v>7.0387096774193539E-3</v>
      </c>
      <c r="V926" s="140">
        <v>3.0590000000000002</v>
      </c>
      <c r="W926" s="140">
        <f>5.897+5.733</f>
        <v>11.629999999999999</v>
      </c>
      <c r="X926" s="149">
        <f t="shared" si="33"/>
        <v>35.576169999999998</v>
      </c>
      <c r="Y926" s="149"/>
    </row>
    <row r="927" spans="1:25" ht="16">
      <c r="A927" s="117" t="s">
        <v>3570</v>
      </c>
      <c r="B927" s="139" t="s">
        <v>3302</v>
      </c>
      <c r="C927" s="140" t="s">
        <v>1744</v>
      </c>
      <c r="D927" s="140" t="s">
        <v>3551</v>
      </c>
      <c r="E927" s="140" t="s">
        <v>3230</v>
      </c>
      <c r="F927" s="140" t="s">
        <v>36</v>
      </c>
      <c r="G927" s="140"/>
      <c r="H927" s="140">
        <v>60</v>
      </c>
      <c r="I927" s="141">
        <v>42142</v>
      </c>
      <c r="J927" s="140" t="s">
        <v>36</v>
      </c>
      <c r="K927" s="140" t="s">
        <v>154</v>
      </c>
      <c r="L927" s="140" t="s">
        <v>2572</v>
      </c>
      <c r="M927" s="140" t="s">
        <v>2576</v>
      </c>
      <c r="N927" s="140" t="s">
        <v>3192</v>
      </c>
      <c r="O927" s="140" t="s">
        <v>2777</v>
      </c>
      <c r="P927" s="140" t="s">
        <v>2777</v>
      </c>
      <c r="Q927" s="140" t="s">
        <v>3222</v>
      </c>
      <c r="R927" s="140" t="s">
        <v>2712</v>
      </c>
      <c r="S927" s="140">
        <v>4.1399999999999999E-2</v>
      </c>
      <c r="T927" s="140">
        <v>3.5361290322580646E-2</v>
      </c>
      <c r="U927" s="140">
        <f t="shared" si="34"/>
        <v>6.038709677419353E-3</v>
      </c>
      <c r="V927" s="140">
        <v>2.9089999999999998</v>
      </c>
      <c r="W927" s="140">
        <v>12.071999999999999</v>
      </c>
      <c r="X927" s="149">
        <f t="shared" si="33"/>
        <v>35.117447999999996</v>
      </c>
      <c r="Y927" s="149"/>
    </row>
    <row r="928" spans="1:25" ht="16">
      <c r="A928" s="117" t="s">
        <v>3570</v>
      </c>
      <c r="B928" s="139" t="s">
        <v>3303</v>
      </c>
      <c r="C928" s="140" t="s">
        <v>1744</v>
      </c>
      <c r="D928" s="140" t="s">
        <v>3551</v>
      </c>
      <c r="E928" s="140" t="s">
        <v>3230</v>
      </c>
      <c r="F928" s="140" t="s">
        <v>36</v>
      </c>
      <c r="G928" s="140"/>
      <c r="H928" s="140">
        <v>60</v>
      </c>
      <c r="I928" s="141">
        <v>42143</v>
      </c>
      <c r="J928" s="140" t="s">
        <v>36</v>
      </c>
      <c r="K928" s="140" t="s">
        <v>154</v>
      </c>
      <c r="L928" s="140" t="s">
        <v>2572</v>
      </c>
      <c r="M928" s="140" t="s">
        <v>2576</v>
      </c>
      <c r="N928" s="140" t="s">
        <v>3192</v>
      </c>
      <c r="O928" s="140" t="s">
        <v>2777</v>
      </c>
      <c r="P928" s="140" t="s">
        <v>2777</v>
      </c>
      <c r="Q928" s="140" t="s">
        <v>3222</v>
      </c>
      <c r="R928" s="140" t="s">
        <v>2712</v>
      </c>
      <c r="S928" s="140">
        <v>4.1500000000000002E-2</v>
      </c>
      <c r="T928" s="140">
        <v>3.5361290322580646E-2</v>
      </c>
      <c r="U928" s="140">
        <f t="shared" si="34"/>
        <v>6.1387096774193559E-3</v>
      </c>
      <c r="V928" s="140">
        <v>3.101</v>
      </c>
      <c r="W928" s="140">
        <f>5.622+5.784</f>
        <v>11.405999999999999</v>
      </c>
      <c r="X928" s="149">
        <f t="shared" si="33"/>
        <v>35.370005999999997</v>
      </c>
      <c r="Y928" s="149"/>
    </row>
    <row r="929" spans="1:25" ht="16">
      <c r="A929" s="117" t="s">
        <v>3570</v>
      </c>
      <c r="B929" s="139" t="s">
        <v>3304</v>
      </c>
      <c r="C929" s="140" t="s">
        <v>1744</v>
      </c>
      <c r="D929" s="140" t="s">
        <v>3551</v>
      </c>
      <c r="E929" s="140" t="s">
        <v>3231</v>
      </c>
      <c r="F929" s="140" t="s">
        <v>36</v>
      </c>
      <c r="G929" s="140"/>
      <c r="H929" s="140">
        <v>60</v>
      </c>
      <c r="I929" s="141">
        <v>42144</v>
      </c>
      <c r="J929" s="140" t="s">
        <v>36</v>
      </c>
      <c r="K929" s="140" t="s">
        <v>154</v>
      </c>
      <c r="L929" s="140" t="s">
        <v>2572</v>
      </c>
      <c r="M929" s="140" t="s">
        <v>2576</v>
      </c>
      <c r="N929" s="140" t="s">
        <v>3192</v>
      </c>
      <c r="O929" s="140" t="s">
        <v>2777</v>
      </c>
      <c r="P929" s="140" t="s">
        <v>2777</v>
      </c>
      <c r="Q929" s="140" t="s">
        <v>3222</v>
      </c>
      <c r="R929" s="140" t="s">
        <v>2712</v>
      </c>
      <c r="S929" s="140">
        <v>4.24E-2</v>
      </c>
      <c r="T929" s="140">
        <v>3.5361290322580646E-2</v>
      </c>
      <c r="U929" s="140">
        <f t="shared" si="34"/>
        <v>7.0387096774193539E-3</v>
      </c>
      <c r="V929" s="140">
        <v>3.1840000000000002</v>
      </c>
      <c r="W929" s="140">
        <f>6.089+5.95</f>
        <v>12.039000000000001</v>
      </c>
      <c r="X929" s="149">
        <f t="shared" si="33"/>
        <v>38.332176000000004</v>
      </c>
      <c r="Y929" s="149"/>
    </row>
    <row r="930" spans="1:25" ht="16">
      <c r="A930" s="117" t="s">
        <v>3570</v>
      </c>
      <c r="B930" s="139" t="s">
        <v>3305</v>
      </c>
      <c r="C930" s="140" t="s">
        <v>1744</v>
      </c>
      <c r="D930" s="140" t="s">
        <v>3551</v>
      </c>
      <c r="E930" s="140" t="s">
        <v>3232</v>
      </c>
      <c r="F930" s="140">
        <v>390</v>
      </c>
      <c r="G930" s="140"/>
      <c r="H930" s="140">
        <v>60</v>
      </c>
      <c r="I930" s="141">
        <v>42145</v>
      </c>
      <c r="J930" s="140" t="s">
        <v>36</v>
      </c>
      <c r="K930" s="140" t="s">
        <v>154</v>
      </c>
      <c r="L930" s="140" t="s">
        <v>2572</v>
      </c>
      <c r="M930" s="140" t="s">
        <v>2576</v>
      </c>
      <c r="N930" s="140" t="s">
        <v>3192</v>
      </c>
      <c r="O930" s="140" t="s">
        <v>2777</v>
      </c>
      <c r="P930" s="140" t="s">
        <v>2777</v>
      </c>
      <c r="Q930" s="140" t="s">
        <v>3222</v>
      </c>
      <c r="R930" s="140" t="s">
        <v>2712</v>
      </c>
      <c r="S930" s="140">
        <v>4.3299999999999998E-2</v>
      </c>
      <c r="T930" s="140">
        <v>3.5361290322580646E-2</v>
      </c>
      <c r="U930" s="140">
        <f t="shared" si="34"/>
        <v>7.9387096774193519E-3</v>
      </c>
      <c r="V930" s="140">
        <v>3.266</v>
      </c>
      <c r="W930" s="140">
        <f>7.567+6.359</f>
        <v>13.926</v>
      </c>
      <c r="X930" s="149">
        <f t="shared" si="33"/>
        <v>45.482315999999997</v>
      </c>
      <c r="Y930" s="149"/>
    </row>
    <row r="931" spans="1:25" ht="16">
      <c r="A931" s="117" t="s">
        <v>3570</v>
      </c>
      <c r="B931" s="139" t="s">
        <v>3306</v>
      </c>
      <c r="C931" s="140" t="s">
        <v>1744</v>
      </c>
      <c r="D931" s="140" t="s">
        <v>3551</v>
      </c>
      <c r="E931" s="140" t="s">
        <v>3233</v>
      </c>
      <c r="F931" s="140" t="s">
        <v>36</v>
      </c>
      <c r="G931" s="140"/>
      <c r="H931" s="140">
        <v>60</v>
      </c>
      <c r="I931" s="141">
        <v>42146</v>
      </c>
      <c r="J931" s="140" t="s">
        <v>36</v>
      </c>
      <c r="K931" s="140" t="s">
        <v>154</v>
      </c>
      <c r="L931" s="140" t="s">
        <v>2572</v>
      </c>
      <c r="M931" s="140" t="s">
        <v>2576</v>
      </c>
      <c r="N931" s="140" t="s">
        <v>3192</v>
      </c>
      <c r="O931" s="140" t="s">
        <v>2777</v>
      </c>
      <c r="P931" s="140" t="s">
        <v>2777</v>
      </c>
      <c r="Q931" s="140" t="s">
        <v>3222</v>
      </c>
      <c r="R931" s="140" t="s">
        <v>2712</v>
      </c>
      <c r="S931" s="140">
        <v>4.2500000000000003E-2</v>
      </c>
      <c r="T931" s="140">
        <v>3.5361290322580646E-2</v>
      </c>
      <c r="U931" s="140">
        <f t="shared" si="34"/>
        <v>7.1387096774193567E-3</v>
      </c>
      <c r="V931" s="140">
        <v>2.956</v>
      </c>
      <c r="W931" s="140">
        <f>6.663+4.958</f>
        <v>11.621</v>
      </c>
      <c r="X931" s="149">
        <f t="shared" si="33"/>
        <v>34.351675999999998</v>
      </c>
      <c r="Y931" s="149"/>
    </row>
    <row r="932" spans="1:25" ht="16">
      <c r="A932" s="117" t="s">
        <v>3570</v>
      </c>
      <c r="B932" s="139" t="s">
        <v>3307</v>
      </c>
      <c r="C932" s="140" t="s">
        <v>1744</v>
      </c>
      <c r="D932" s="140" t="s">
        <v>3551</v>
      </c>
      <c r="E932" s="140" t="s">
        <v>3234</v>
      </c>
      <c r="F932" s="140" t="s">
        <v>36</v>
      </c>
      <c r="G932" s="140"/>
      <c r="H932" s="140">
        <v>60</v>
      </c>
      <c r="I932" s="141">
        <v>42147</v>
      </c>
      <c r="J932" s="140" t="s">
        <v>36</v>
      </c>
      <c r="K932" s="140" t="s">
        <v>154</v>
      </c>
      <c r="L932" s="140" t="s">
        <v>2572</v>
      </c>
      <c r="M932" s="140" t="s">
        <v>2576</v>
      </c>
      <c r="N932" s="140" t="s">
        <v>3192</v>
      </c>
      <c r="O932" s="140" t="s">
        <v>2777</v>
      </c>
      <c r="P932" s="140" t="s">
        <v>2777</v>
      </c>
      <c r="Q932" s="140" t="s">
        <v>3222</v>
      </c>
      <c r="R932" s="140" t="s">
        <v>2712</v>
      </c>
      <c r="S932" s="140">
        <v>4.2500000000000003E-2</v>
      </c>
      <c r="T932" s="140">
        <v>3.5361290322580646E-2</v>
      </c>
      <c r="U932" s="140">
        <f t="shared" si="34"/>
        <v>7.1387096774193567E-3</v>
      </c>
      <c r="V932" s="140">
        <v>3.1640000000000001</v>
      </c>
      <c r="W932" s="140">
        <f>6.552+6.583</f>
        <v>13.135</v>
      </c>
      <c r="X932" s="149">
        <f t="shared" si="33"/>
        <v>41.559139999999999</v>
      </c>
      <c r="Y932" s="149"/>
    </row>
    <row r="933" spans="1:25" ht="16">
      <c r="A933" s="117" t="s">
        <v>3570</v>
      </c>
      <c r="B933" s="139" t="s">
        <v>3308</v>
      </c>
      <c r="C933" s="140" t="s">
        <v>1744</v>
      </c>
      <c r="D933" s="140" t="s">
        <v>3551</v>
      </c>
      <c r="E933" s="140" t="s">
        <v>3234</v>
      </c>
      <c r="F933" s="140" t="s">
        <v>36</v>
      </c>
      <c r="G933" s="140"/>
      <c r="H933" s="140">
        <v>60</v>
      </c>
      <c r="I933" s="141">
        <v>42148</v>
      </c>
      <c r="J933" s="140" t="s">
        <v>36</v>
      </c>
      <c r="K933" s="140" t="s">
        <v>154</v>
      </c>
      <c r="L933" s="140" t="s">
        <v>2572</v>
      </c>
      <c r="M933" s="140" t="s">
        <v>2576</v>
      </c>
      <c r="N933" s="140" t="s">
        <v>3192</v>
      </c>
      <c r="O933" s="140" t="s">
        <v>2777</v>
      </c>
      <c r="P933" s="140" t="s">
        <v>2777</v>
      </c>
      <c r="Q933" s="140" t="s">
        <v>3222</v>
      </c>
      <c r="R933" s="140" t="s">
        <v>2712</v>
      </c>
      <c r="S933" s="140">
        <v>4.2099999999999999E-2</v>
      </c>
      <c r="T933" s="140">
        <v>3.5361290322580646E-2</v>
      </c>
      <c r="U933" s="140">
        <f t="shared" si="34"/>
        <v>6.7387096774193522E-3</v>
      </c>
      <c r="V933" s="140">
        <v>2.9350000000000001</v>
      </c>
      <c r="W933" s="140">
        <f>6.328+6.246</f>
        <v>12.574000000000002</v>
      </c>
      <c r="X933" s="149">
        <f t="shared" si="33"/>
        <v>36.904690000000002</v>
      </c>
      <c r="Y933" s="149"/>
    </row>
    <row r="934" spans="1:25" ht="16">
      <c r="A934" s="117" t="s">
        <v>3570</v>
      </c>
      <c r="B934" s="139" t="s">
        <v>3309</v>
      </c>
      <c r="C934" s="140" t="s">
        <v>1744</v>
      </c>
      <c r="D934" s="140" t="s">
        <v>3551</v>
      </c>
      <c r="E934" s="140" t="s">
        <v>3235</v>
      </c>
      <c r="F934" s="140">
        <v>640</v>
      </c>
      <c r="G934" s="140"/>
      <c r="H934" s="140">
        <v>60</v>
      </c>
      <c r="I934" s="141">
        <v>42149</v>
      </c>
      <c r="J934" s="140" t="s">
        <v>36</v>
      </c>
      <c r="K934" s="140" t="s">
        <v>154</v>
      </c>
      <c r="L934" s="140" t="s">
        <v>2572</v>
      </c>
      <c r="M934" s="140" t="s">
        <v>2576</v>
      </c>
      <c r="N934" s="140" t="s">
        <v>3192</v>
      </c>
      <c r="O934" s="140" t="s">
        <v>2777</v>
      </c>
      <c r="P934" s="140" t="s">
        <v>2777</v>
      </c>
      <c r="Q934" s="140" t="s">
        <v>3548</v>
      </c>
      <c r="R934" s="140" t="s">
        <v>2713</v>
      </c>
      <c r="S934" s="140">
        <v>4.6300000000000001E-2</v>
      </c>
      <c r="T934" s="140">
        <v>3.5361290322580646E-2</v>
      </c>
      <c r="U934" s="140">
        <f t="shared" si="34"/>
        <v>1.0938709677419355E-2</v>
      </c>
      <c r="V934" s="140">
        <v>3.4220000000000002</v>
      </c>
      <c r="W934" s="140">
        <f>7.037+2.163+1.414+2.17</f>
        <v>12.783999999999999</v>
      </c>
      <c r="X934" s="149">
        <f t="shared" si="33"/>
        <v>43.746848</v>
      </c>
      <c r="Y934" s="149"/>
    </row>
    <row r="935" spans="1:25" ht="16">
      <c r="A935" s="117" t="s">
        <v>3570</v>
      </c>
      <c r="B935" s="139" t="s">
        <v>3310</v>
      </c>
      <c r="C935" s="140" t="s">
        <v>1744</v>
      </c>
      <c r="D935" s="140" t="s">
        <v>3551</v>
      </c>
      <c r="E935" s="140" t="s">
        <v>3233</v>
      </c>
      <c r="F935" s="140">
        <v>705</v>
      </c>
      <c r="G935" s="140"/>
      <c r="H935" s="140">
        <v>60</v>
      </c>
      <c r="I935" s="141">
        <v>42150</v>
      </c>
      <c r="J935" s="140" t="s">
        <v>36</v>
      </c>
      <c r="K935" s="140" t="s">
        <v>154</v>
      </c>
      <c r="L935" s="140" t="s">
        <v>2572</v>
      </c>
      <c r="M935" s="140" t="s">
        <v>2576</v>
      </c>
      <c r="N935" s="140" t="s">
        <v>3192</v>
      </c>
      <c r="O935" s="140" t="s">
        <v>2777</v>
      </c>
      <c r="P935" s="140" t="s">
        <v>2777</v>
      </c>
      <c r="Q935" s="140" t="s">
        <v>3548</v>
      </c>
      <c r="R935" s="140" t="s">
        <v>2713</v>
      </c>
      <c r="S935" s="140">
        <v>4.4699999999999997E-2</v>
      </c>
      <c r="T935" s="140">
        <v>3.5361290322580646E-2</v>
      </c>
      <c r="U935" s="140">
        <f t="shared" si="34"/>
        <v>9.3387096774193504E-3</v>
      </c>
      <c r="V935" s="140">
        <v>3.3319999999999999</v>
      </c>
      <c r="W935" s="140">
        <f>6.795+6.775</f>
        <v>13.57</v>
      </c>
      <c r="X935" s="149">
        <f t="shared" si="33"/>
        <v>45.215240000000001</v>
      </c>
      <c r="Y935" s="149"/>
    </row>
    <row r="936" spans="1:25" ht="16">
      <c r="A936" s="117" t="s">
        <v>3570</v>
      </c>
      <c r="B936" s="139" t="s">
        <v>3311</v>
      </c>
      <c r="C936" s="140" t="s">
        <v>1744</v>
      </c>
      <c r="D936" s="140" t="s">
        <v>3551</v>
      </c>
      <c r="E936" s="140" t="s">
        <v>3203</v>
      </c>
      <c r="F936" s="140">
        <v>806</v>
      </c>
      <c r="G936" s="140"/>
      <c r="H936" s="140">
        <v>60</v>
      </c>
      <c r="I936" s="141">
        <v>42151</v>
      </c>
      <c r="J936" s="140" t="s">
        <v>36</v>
      </c>
      <c r="K936" s="140" t="s">
        <v>154</v>
      </c>
      <c r="L936" s="140" t="s">
        <v>2572</v>
      </c>
      <c r="M936" s="140" t="s">
        <v>2576</v>
      </c>
      <c r="N936" s="140" t="s">
        <v>3192</v>
      </c>
      <c r="O936" s="140" t="s">
        <v>2777</v>
      </c>
      <c r="P936" s="140" t="s">
        <v>2777</v>
      </c>
      <c r="Q936" s="140" t="s">
        <v>3548</v>
      </c>
      <c r="R936" s="140" t="s">
        <v>2713</v>
      </c>
      <c r="S936" s="140">
        <v>4.5600000000000002E-2</v>
      </c>
      <c r="T936" s="140">
        <v>3.5361290322580646E-2</v>
      </c>
      <c r="U936" s="140">
        <f t="shared" si="34"/>
        <v>1.0238709677419355E-2</v>
      </c>
      <c r="V936" s="140">
        <v>3.3959999999999999</v>
      </c>
      <c r="W936" s="140">
        <f>6.953+7.403</f>
        <v>14.356</v>
      </c>
      <c r="X936" s="149">
        <f t="shared" si="33"/>
        <v>48.752975999999997</v>
      </c>
      <c r="Y936" s="149"/>
    </row>
    <row r="937" spans="1:25" ht="16">
      <c r="A937" s="117" t="s">
        <v>3570</v>
      </c>
      <c r="B937" s="139" t="s">
        <v>3312</v>
      </c>
      <c r="C937" s="140" t="s">
        <v>1744</v>
      </c>
      <c r="D937" s="140" t="s">
        <v>3551</v>
      </c>
      <c r="E937" s="140" t="s">
        <v>3236</v>
      </c>
      <c r="F937" s="140" t="s">
        <v>36</v>
      </c>
      <c r="G937" s="140"/>
      <c r="H937" s="140">
        <v>60</v>
      </c>
      <c r="I937" s="141">
        <v>42152</v>
      </c>
      <c r="J937" s="140" t="s">
        <v>36</v>
      </c>
      <c r="K937" s="140" t="s">
        <v>154</v>
      </c>
      <c r="L937" s="140" t="s">
        <v>2572</v>
      </c>
      <c r="M937" s="140" t="s">
        <v>2576</v>
      </c>
      <c r="N937" s="140" t="s">
        <v>3192</v>
      </c>
      <c r="O937" s="140" t="s">
        <v>2777</v>
      </c>
      <c r="P937" s="140" t="s">
        <v>2777</v>
      </c>
      <c r="Q937" s="140" t="s">
        <v>3549</v>
      </c>
      <c r="R937" s="140" t="s">
        <v>2712</v>
      </c>
      <c r="S937" s="140">
        <v>4.1599999999999998E-2</v>
      </c>
      <c r="T937" s="140">
        <v>3.5361290322580646E-2</v>
      </c>
      <c r="U937" s="140">
        <f t="shared" si="34"/>
        <v>6.2387096774193518E-3</v>
      </c>
      <c r="V937" s="140">
        <v>2.69</v>
      </c>
      <c r="W937" s="140">
        <f>5.509+6.115</f>
        <v>11.624000000000001</v>
      </c>
      <c r="X937" s="149">
        <f t="shared" si="33"/>
        <v>31.268560000000001</v>
      </c>
      <c r="Y937" s="149"/>
    </row>
    <row r="938" spans="1:25" ht="16">
      <c r="A938" s="117" t="s">
        <v>3570</v>
      </c>
      <c r="B938" s="139" t="s">
        <v>3313</v>
      </c>
      <c r="C938" s="140" t="s">
        <v>1744</v>
      </c>
      <c r="D938" s="140" t="s">
        <v>3551</v>
      </c>
      <c r="E938" s="140" t="s">
        <v>3237</v>
      </c>
      <c r="F938" s="140" t="s">
        <v>36</v>
      </c>
      <c r="G938" s="140"/>
      <c r="H938" s="140">
        <v>60</v>
      </c>
      <c r="I938" s="141">
        <v>42153</v>
      </c>
      <c r="J938" s="140" t="s">
        <v>36</v>
      </c>
      <c r="K938" s="140" t="s">
        <v>154</v>
      </c>
      <c r="L938" s="140" t="s">
        <v>2572</v>
      </c>
      <c r="M938" s="140" t="s">
        <v>2576</v>
      </c>
      <c r="N938" s="140" t="s">
        <v>3192</v>
      </c>
      <c r="O938" s="140" t="s">
        <v>2777</v>
      </c>
      <c r="P938" s="140" t="s">
        <v>2777</v>
      </c>
      <c r="Q938" s="140" t="s">
        <v>3549</v>
      </c>
      <c r="R938" s="140" t="s">
        <v>2712</v>
      </c>
      <c r="S938" s="140">
        <v>4.0300000000000002E-2</v>
      </c>
      <c r="T938" s="140">
        <v>3.5361290322580646E-2</v>
      </c>
      <c r="U938" s="140">
        <f t="shared" si="34"/>
        <v>4.9387096774193562E-3</v>
      </c>
      <c r="V938" s="140">
        <v>2.7989999999999999</v>
      </c>
      <c r="W938" s="140">
        <f>5.953+5.773</f>
        <v>11.725999999999999</v>
      </c>
      <c r="X938" s="149">
        <f t="shared" si="33"/>
        <v>32.821073999999996</v>
      </c>
      <c r="Y938" s="149"/>
    </row>
    <row r="939" spans="1:25" ht="16">
      <c r="A939" s="117" t="s">
        <v>3570</v>
      </c>
      <c r="B939" s="139" t="s">
        <v>3314</v>
      </c>
      <c r="C939" s="140" t="s">
        <v>1744</v>
      </c>
      <c r="D939" s="140" t="s">
        <v>3551</v>
      </c>
      <c r="E939" s="140" t="s">
        <v>3238</v>
      </c>
      <c r="F939" s="140">
        <v>628</v>
      </c>
      <c r="G939" s="140"/>
      <c r="H939" s="140">
        <v>60</v>
      </c>
      <c r="I939" s="141">
        <v>42154</v>
      </c>
      <c r="J939" s="140" t="s">
        <v>36</v>
      </c>
      <c r="K939" s="140" t="s">
        <v>154</v>
      </c>
      <c r="L939" s="140" t="s">
        <v>2572</v>
      </c>
      <c r="M939" s="140" t="s">
        <v>2576</v>
      </c>
      <c r="N939" s="140" t="s">
        <v>3192</v>
      </c>
      <c r="O939" s="140" t="s">
        <v>2777</v>
      </c>
      <c r="P939" s="140" t="s">
        <v>2777</v>
      </c>
      <c r="Q939" s="140" t="s">
        <v>3239</v>
      </c>
      <c r="R939" s="140" t="s">
        <v>2713</v>
      </c>
      <c r="S939" s="140">
        <v>4.7600000000000003E-2</v>
      </c>
      <c r="T939" s="140">
        <v>3.5361290322580646E-2</v>
      </c>
      <c r="U939" s="140">
        <f t="shared" si="34"/>
        <v>1.2238709677419357E-2</v>
      </c>
      <c r="V939" s="140">
        <v>3.53</v>
      </c>
      <c r="W939" s="140">
        <f>7.435+9.234</f>
        <v>16.669</v>
      </c>
      <c r="X939" s="149">
        <f t="shared" si="33"/>
        <v>58.841569999999997</v>
      </c>
      <c r="Y939" s="149"/>
    </row>
    <row r="940" spans="1:25" ht="16">
      <c r="A940" s="117" t="s">
        <v>3570</v>
      </c>
      <c r="B940" s="139" t="s">
        <v>3315</v>
      </c>
      <c r="C940" s="140" t="s">
        <v>1744</v>
      </c>
      <c r="D940" s="140" t="s">
        <v>3551</v>
      </c>
      <c r="E940" s="140" t="s">
        <v>3240</v>
      </c>
      <c r="F940" s="140">
        <v>645</v>
      </c>
      <c r="G940" s="140"/>
      <c r="H940" s="140">
        <v>60</v>
      </c>
      <c r="I940" s="141">
        <v>42155</v>
      </c>
      <c r="J940" s="140" t="s">
        <v>36</v>
      </c>
      <c r="K940" s="140" t="s">
        <v>154</v>
      </c>
      <c r="L940" s="140" t="s">
        <v>2572</v>
      </c>
      <c r="M940" s="140" t="s">
        <v>2576</v>
      </c>
      <c r="N940" s="140" t="s">
        <v>3192</v>
      </c>
      <c r="O940" s="140" t="s">
        <v>2777</v>
      </c>
      <c r="P940" s="140" t="s">
        <v>2777</v>
      </c>
      <c r="Q940" s="140" t="s">
        <v>3239</v>
      </c>
      <c r="R940" s="140" t="s">
        <v>2713</v>
      </c>
      <c r="S940" s="140">
        <v>4.48E-2</v>
      </c>
      <c r="T940" s="140">
        <v>3.5361290322580646E-2</v>
      </c>
      <c r="U940" s="140">
        <f t="shared" si="34"/>
        <v>9.4387096774193532E-3</v>
      </c>
      <c r="V940" s="140">
        <v>3.2709999999999999</v>
      </c>
      <c r="W940" s="140">
        <f>8.148+6.891</f>
        <v>15.039</v>
      </c>
      <c r="X940" s="149">
        <f t="shared" si="33"/>
        <v>49.192568999999999</v>
      </c>
      <c r="Y940" s="149"/>
    </row>
    <row r="941" spans="1:25" ht="16">
      <c r="A941" s="117" t="s">
        <v>3570</v>
      </c>
      <c r="B941" s="139" t="s">
        <v>3316</v>
      </c>
      <c r="C941" s="140" t="s">
        <v>1744</v>
      </c>
      <c r="D941" s="140" t="s">
        <v>3551</v>
      </c>
      <c r="E941" s="140" t="s">
        <v>3240</v>
      </c>
      <c r="F941" s="140">
        <v>644</v>
      </c>
      <c r="G941" s="140"/>
      <c r="H941" s="140">
        <v>60</v>
      </c>
      <c r="I941" s="141">
        <v>42156</v>
      </c>
      <c r="J941" s="140" t="s">
        <v>36</v>
      </c>
      <c r="K941" s="140" t="s">
        <v>154</v>
      </c>
      <c r="L941" s="140" t="s">
        <v>2572</v>
      </c>
      <c r="M941" s="140" t="s">
        <v>2576</v>
      </c>
      <c r="N941" s="140" t="s">
        <v>3192</v>
      </c>
      <c r="O941" s="140" t="s">
        <v>2777</v>
      </c>
      <c r="P941" s="140" t="s">
        <v>2777</v>
      </c>
      <c r="Q941" s="140" t="s">
        <v>3239</v>
      </c>
      <c r="R941" s="140" t="s">
        <v>2713</v>
      </c>
      <c r="S941" s="140">
        <v>4.5900000000000003E-2</v>
      </c>
      <c r="T941" s="140">
        <v>3.5361290322580646E-2</v>
      </c>
      <c r="U941" s="140">
        <f t="shared" si="34"/>
        <v>1.0538709677419357E-2</v>
      </c>
      <c r="V941" s="140">
        <v>3.302</v>
      </c>
      <c r="W941" s="140">
        <f>6.574+8.529</f>
        <v>15.103</v>
      </c>
      <c r="X941" s="149">
        <f t="shared" si="33"/>
        <v>49.870106</v>
      </c>
      <c r="Y941" s="149"/>
    </row>
    <row r="942" spans="1:25" ht="16">
      <c r="A942" s="117" t="s">
        <v>3570</v>
      </c>
      <c r="B942" s="139" t="s">
        <v>3317</v>
      </c>
      <c r="C942" s="140" t="s">
        <v>1744</v>
      </c>
      <c r="D942" s="140" t="s">
        <v>3551</v>
      </c>
      <c r="E942" s="140" t="s">
        <v>3241</v>
      </c>
      <c r="F942" s="140">
        <v>627</v>
      </c>
      <c r="G942" s="140"/>
      <c r="H942" s="140">
        <v>60</v>
      </c>
      <c r="I942" s="141">
        <v>42157</v>
      </c>
      <c r="J942" s="140" t="s">
        <v>36</v>
      </c>
      <c r="K942" s="140" t="s">
        <v>154</v>
      </c>
      <c r="L942" s="140" t="s">
        <v>2572</v>
      </c>
      <c r="M942" s="140" t="s">
        <v>2576</v>
      </c>
      <c r="N942" s="140" t="s">
        <v>3192</v>
      </c>
      <c r="O942" s="140" t="s">
        <v>2777</v>
      </c>
      <c r="P942" s="140" t="s">
        <v>2777</v>
      </c>
      <c r="Q942" s="140" t="s">
        <v>3239</v>
      </c>
      <c r="R942" s="140" t="s">
        <v>2713</v>
      </c>
      <c r="S942" s="140">
        <v>4.48E-2</v>
      </c>
      <c r="T942" s="140">
        <v>3.5361290322580646E-2</v>
      </c>
      <c r="U942" s="140">
        <f t="shared" si="34"/>
        <v>9.4387096774193532E-3</v>
      </c>
      <c r="V942" s="140">
        <v>3.282</v>
      </c>
      <c r="W942" s="140">
        <f>7.635+8.065</f>
        <v>15.7</v>
      </c>
      <c r="X942" s="149">
        <f t="shared" si="33"/>
        <v>51.5274</v>
      </c>
      <c r="Y942" s="149"/>
    </row>
    <row r="943" spans="1:25" ht="16">
      <c r="A943" s="117" t="s">
        <v>3570</v>
      </c>
      <c r="B943" s="139" t="s">
        <v>3318</v>
      </c>
      <c r="C943" s="140" t="s">
        <v>1744</v>
      </c>
      <c r="D943" s="140" t="s">
        <v>3551</v>
      </c>
      <c r="E943" s="140" t="s">
        <v>3242</v>
      </c>
      <c r="F943" s="140">
        <v>647</v>
      </c>
      <c r="G943" s="140"/>
      <c r="H943" s="140">
        <v>60</v>
      </c>
      <c r="I943" s="141">
        <v>42158</v>
      </c>
      <c r="J943" s="140" t="s">
        <v>36</v>
      </c>
      <c r="K943" s="140" t="s">
        <v>154</v>
      </c>
      <c r="L943" s="140" t="s">
        <v>2572</v>
      </c>
      <c r="M943" s="140" t="s">
        <v>2576</v>
      </c>
      <c r="N943" s="140" t="s">
        <v>3192</v>
      </c>
      <c r="O943" s="140" t="s">
        <v>2777</v>
      </c>
      <c r="P943" s="140" t="s">
        <v>2777</v>
      </c>
      <c r="Q943" s="140" t="s">
        <v>3239</v>
      </c>
      <c r="R943" s="140" t="s">
        <v>2713</v>
      </c>
      <c r="S943" s="140">
        <v>4.58E-2</v>
      </c>
      <c r="T943" s="140">
        <v>3.5361290322580646E-2</v>
      </c>
      <c r="U943" s="140">
        <f t="shared" si="34"/>
        <v>1.0438709677419354E-2</v>
      </c>
      <c r="V943" s="140">
        <v>3.39</v>
      </c>
      <c r="W943" s="140">
        <v>16.885000000000002</v>
      </c>
      <c r="X943" s="149">
        <f t="shared" si="33"/>
        <v>57.240150000000007</v>
      </c>
      <c r="Y943" s="149"/>
    </row>
    <row r="944" spans="1:25" ht="16">
      <c r="A944" s="117" t="s">
        <v>3570</v>
      </c>
      <c r="B944" s="139" t="s">
        <v>3319</v>
      </c>
      <c r="C944" s="140" t="s">
        <v>1744</v>
      </c>
      <c r="D944" s="140" t="s">
        <v>3551</v>
      </c>
      <c r="E944" s="140" t="s">
        <v>3242</v>
      </c>
      <c r="F944" s="140">
        <v>648</v>
      </c>
      <c r="G944" s="140"/>
      <c r="H944" s="140">
        <v>60</v>
      </c>
      <c r="I944" s="141">
        <v>42159</v>
      </c>
      <c r="J944" s="140" t="s">
        <v>36</v>
      </c>
      <c r="K944" s="140" t="s">
        <v>154</v>
      </c>
      <c r="L944" s="140" t="s">
        <v>2572</v>
      </c>
      <c r="M944" s="140" t="s">
        <v>2576</v>
      </c>
      <c r="N944" s="140" t="s">
        <v>3192</v>
      </c>
      <c r="O944" s="140" t="s">
        <v>2777</v>
      </c>
      <c r="P944" s="140" t="s">
        <v>2777</v>
      </c>
      <c r="Q944" s="140" t="s">
        <v>3239</v>
      </c>
      <c r="R944" s="140" t="s">
        <v>2713</v>
      </c>
      <c r="S944" s="140">
        <v>4.5900000000000003E-2</v>
      </c>
      <c r="T944" s="140">
        <v>3.5361290322580646E-2</v>
      </c>
      <c r="U944" s="140">
        <f t="shared" si="34"/>
        <v>1.0538709677419357E-2</v>
      </c>
      <c r="V944" s="140">
        <v>3.3820000000000001</v>
      </c>
      <c r="W944" s="140">
        <v>16.568000000000001</v>
      </c>
      <c r="X944" s="149">
        <f t="shared" ref="X944:X1007" si="35">V944*W944</f>
        <v>56.032976000000005</v>
      </c>
      <c r="Y944" s="149"/>
    </row>
    <row r="945" spans="1:25" ht="16">
      <c r="A945" s="117" t="s">
        <v>3570</v>
      </c>
      <c r="B945" s="139" t="s">
        <v>3320</v>
      </c>
      <c r="C945" s="140" t="s">
        <v>1744</v>
      </c>
      <c r="D945" s="140" t="s">
        <v>3551</v>
      </c>
      <c r="E945" s="140" t="s">
        <v>3243</v>
      </c>
      <c r="F945" s="140">
        <v>657</v>
      </c>
      <c r="G945" s="140"/>
      <c r="H945" s="140">
        <v>60</v>
      </c>
      <c r="I945" s="141">
        <v>42160</v>
      </c>
      <c r="J945" s="140" t="s">
        <v>36</v>
      </c>
      <c r="K945" s="140" t="s">
        <v>154</v>
      </c>
      <c r="L945" s="140" t="s">
        <v>2572</v>
      </c>
      <c r="M945" s="140" t="s">
        <v>2576</v>
      </c>
      <c r="N945" s="140" t="s">
        <v>3192</v>
      </c>
      <c r="O945" s="140" t="s">
        <v>2777</v>
      </c>
      <c r="P945" s="140" t="s">
        <v>2777</v>
      </c>
      <c r="Q945" s="140" t="s">
        <v>3239</v>
      </c>
      <c r="R945" s="140" t="s">
        <v>2713</v>
      </c>
      <c r="S945" s="140">
        <v>4.3799999999999999E-2</v>
      </c>
      <c r="T945" s="140">
        <v>3.5361290322580646E-2</v>
      </c>
      <c r="U945" s="140">
        <f t="shared" ref="U945:U1008" si="36">S945-T945</f>
        <v>8.4387096774193524E-3</v>
      </c>
      <c r="V945" s="140">
        <v>3.1080000000000001</v>
      </c>
      <c r="W945" s="140">
        <f>7.077+6.736</f>
        <v>13.812999999999999</v>
      </c>
      <c r="X945" s="149">
        <f t="shared" si="35"/>
        <v>42.930803999999995</v>
      </c>
      <c r="Y945" s="149"/>
    </row>
    <row r="946" spans="1:25" ht="16">
      <c r="A946" s="117" t="s">
        <v>3570</v>
      </c>
      <c r="B946" s="139" t="s">
        <v>3321</v>
      </c>
      <c r="C946" s="140" t="s">
        <v>1744</v>
      </c>
      <c r="D946" s="140" t="s">
        <v>3551</v>
      </c>
      <c r="E946" s="140" t="s">
        <v>3244</v>
      </c>
      <c r="F946" s="140">
        <v>80</v>
      </c>
      <c r="G946" s="140"/>
      <c r="H946" s="140">
        <v>60</v>
      </c>
      <c r="I946" s="141">
        <v>42161</v>
      </c>
      <c r="J946" s="140" t="s">
        <v>36</v>
      </c>
      <c r="K946" s="140" t="s">
        <v>154</v>
      </c>
      <c r="L946" s="140" t="s">
        <v>2572</v>
      </c>
      <c r="M946" s="140" t="s">
        <v>2576</v>
      </c>
      <c r="N946" s="140" t="s">
        <v>3192</v>
      </c>
      <c r="O946" s="140" t="s">
        <v>2777</v>
      </c>
      <c r="P946" s="140" t="s">
        <v>2777</v>
      </c>
      <c r="Q946" s="140" t="s">
        <v>3239</v>
      </c>
      <c r="R946" s="140" t="s">
        <v>2713</v>
      </c>
      <c r="S946" s="140">
        <v>4.5999999999999999E-2</v>
      </c>
      <c r="T946" s="140">
        <v>3.5361290322580646E-2</v>
      </c>
      <c r="U946" s="140">
        <f t="shared" si="36"/>
        <v>1.0638709677419353E-2</v>
      </c>
      <c r="V946" s="140">
        <v>3.4180000000000001</v>
      </c>
      <c r="W946" s="140">
        <v>15.707000000000001</v>
      </c>
      <c r="X946" s="149">
        <f t="shared" si="35"/>
        <v>53.686526000000008</v>
      </c>
      <c r="Y946" s="149"/>
    </row>
    <row r="947" spans="1:25" ht="16">
      <c r="A947" s="117" t="s">
        <v>3570</v>
      </c>
      <c r="B947" s="139" t="s">
        <v>3322</v>
      </c>
      <c r="C947" s="140" t="s">
        <v>1744</v>
      </c>
      <c r="D947" s="140" t="s">
        <v>3551</v>
      </c>
      <c r="E947" s="140" t="s">
        <v>3244</v>
      </c>
      <c r="F947" s="140">
        <v>77</v>
      </c>
      <c r="G947" s="140"/>
      <c r="H947" s="140">
        <v>60</v>
      </c>
      <c r="I947" s="141">
        <v>42162</v>
      </c>
      <c r="J947" s="140" t="s">
        <v>36</v>
      </c>
      <c r="K947" s="140" t="s">
        <v>154</v>
      </c>
      <c r="L947" s="140" t="s">
        <v>2572</v>
      </c>
      <c r="M947" s="140" t="s">
        <v>2576</v>
      </c>
      <c r="N947" s="140" t="s">
        <v>3192</v>
      </c>
      <c r="O947" s="140" t="s">
        <v>2777</v>
      </c>
      <c r="P947" s="140" t="s">
        <v>2777</v>
      </c>
      <c r="Q947" s="140" t="s">
        <v>3239</v>
      </c>
      <c r="R947" s="140" t="s">
        <v>2713</v>
      </c>
      <c r="S947" s="140">
        <v>4.5600000000000002E-2</v>
      </c>
      <c r="T947" s="140">
        <v>3.5361290322580646E-2</v>
      </c>
      <c r="U947" s="140">
        <f t="shared" si="36"/>
        <v>1.0238709677419355E-2</v>
      </c>
      <c r="V947" s="140">
        <v>3.5190000000000001</v>
      </c>
      <c r="W947" s="140">
        <f>7+8.95</f>
        <v>15.95</v>
      </c>
      <c r="X947" s="149">
        <f t="shared" si="35"/>
        <v>56.128050000000002</v>
      </c>
      <c r="Y947" s="149"/>
    </row>
    <row r="948" spans="1:25" ht="16">
      <c r="A948" s="117" t="s">
        <v>3570</v>
      </c>
      <c r="B948" s="139" t="s">
        <v>3323</v>
      </c>
      <c r="C948" s="140" t="s">
        <v>1744</v>
      </c>
      <c r="D948" s="140" t="s">
        <v>3551</v>
      </c>
      <c r="E948" s="140" t="s">
        <v>3245</v>
      </c>
      <c r="F948" s="140">
        <v>76</v>
      </c>
      <c r="G948" s="140"/>
      <c r="H948" s="140">
        <v>60</v>
      </c>
      <c r="I948" s="141">
        <v>42163</v>
      </c>
      <c r="J948" s="140" t="s">
        <v>36</v>
      </c>
      <c r="K948" s="140" t="s">
        <v>154</v>
      </c>
      <c r="L948" s="140" t="s">
        <v>2572</v>
      </c>
      <c r="M948" s="140" t="s">
        <v>2576</v>
      </c>
      <c r="N948" s="140" t="s">
        <v>3192</v>
      </c>
      <c r="O948" s="140" t="s">
        <v>2777</v>
      </c>
      <c r="P948" s="140" t="s">
        <v>2777</v>
      </c>
      <c r="Q948" s="140" t="s">
        <v>3239</v>
      </c>
      <c r="R948" s="140" t="s">
        <v>2713</v>
      </c>
      <c r="S948" s="140">
        <v>4.4900000000000002E-2</v>
      </c>
      <c r="T948" s="140">
        <v>3.5361290322580646E-2</v>
      </c>
      <c r="U948" s="140">
        <f t="shared" si="36"/>
        <v>9.5387096774193561E-3</v>
      </c>
      <c r="V948" s="140">
        <v>3.3410000000000002</v>
      </c>
      <c r="W948" s="140">
        <v>15.239000000000001</v>
      </c>
      <c r="X948" s="149">
        <f t="shared" si="35"/>
        <v>50.913499000000009</v>
      </c>
      <c r="Y948" s="149"/>
    </row>
    <row r="949" spans="1:25" ht="16">
      <c r="A949" s="117" t="s">
        <v>3570</v>
      </c>
      <c r="B949" s="139" t="s">
        <v>3324</v>
      </c>
      <c r="C949" s="140" t="s">
        <v>1744</v>
      </c>
      <c r="D949" s="140" t="s">
        <v>3551</v>
      </c>
      <c r="E949" s="140" t="s">
        <v>3246</v>
      </c>
      <c r="F949" s="140" t="s">
        <v>36</v>
      </c>
      <c r="G949" s="140"/>
      <c r="H949" s="140">
        <v>60</v>
      </c>
      <c r="I949" s="141">
        <v>42164</v>
      </c>
      <c r="J949" s="140" t="s">
        <v>36</v>
      </c>
      <c r="K949" s="140" t="s">
        <v>154</v>
      </c>
      <c r="L949" s="140" t="s">
        <v>2572</v>
      </c>
      <c r="M949" s="140" t="s">
        <v>2576</v>
      </c>
      <c r="N949" s="140" t="s">
        <v>3192</v>
      </c>
      <c r="O949" s="140" t="s">
        <v>2777</v>
      </c>
      <c r="P949" s="140" t="s">
        <v>2777</v>
      </c>
      <c r="Q949" s="140" t="s">
        <v>3239</v>
      </c>
      <c r="R949" s="140" t="s">
        <v>2713</v>
      </c>
      <c r="S949" s="140">
        <v>4.5999999999999999E-2</v>
      </c>
      <c r="T949" s="140">
        <v>3.5361290322580646E-2</v>
      </c>
      <c r="U949" s="140">
        <f t="shared" si="36"/>
        <v>1.0638709677419353E-2</v>
      </c>
      <c r="V949" s="140">
        <v>3.302</v>
      </c>
      <c r="W949" s="140">
        <f>6.931+8.326</f>
        <v>15.257000000000001</v>
      </c>
      <c r="X949" s="149">
        <f t="shared" si="35"/>
        <v>50.378614000000006</v>
      </c>
      <c r="Y949" s="149"/>
    </row>
    <row r="950" spans="1:25" ht="16">
      <c r="A950" s="117" t="s">
        <v>3570</v>
      </c>
      <c r="B950" s="139" t="s">
        <v>3325</v>
      </c>
      <c r="C950" s="140" t="s">
        <v>1744</v>
      </c>
      <c r="D950" s="140" t="s">
        <v>3551</v>
      </c>
      <c r="E950" s="140" t="s">
        <v>3247</v>
      </c>
      <c r="F950" s="140" t="s">
        <v>36</v>
      </c>
      <c r="G950" s="140"/>
      <c r="H950" s="140">
        <v>60</v>
      </c>
      <c r="I950" s="141">
        <v>42165</v>
      </c>
      <c r="J950" s="140" t="s">
        <v>36</v>
      </c>
      <c r="K950" s="140" t="s">
        <v>154</v>
      </c>
      <c r="L950" s="140" t="s">
        <v>2572</v>
      </c>
      <c r="M950" s="140" t="s">
        <v>2576</v>
      </c>
      <c r="N950" s="140" t="s">
        <v>3192</v>
      </c>
      <c r="O950" s="140" t="s">
        <v>2777</v>
      </c>
      <c r="P950" s="140" t="s">
        <v>2777</v>
      </c>
      <c r="Q950" s="140" t="s">
        <v>3239</v>
      </c>
      <c r="R950" s="140" t="s">
        <v>2713</v>
      </c>
      <c r="S950" s="140">
        <v>4.4999999999999998E-2</v>
      </c>
      <c r="T950" s="140">
        <v>3.5361290322580646E-2</v>
      </c>
      <c r="U950" s="140">
        <f t="shared" si="36"/>
        <v>9.638709677419352E-3</v>
      </c>
      <c r="V950" s="140">
        <v>3.343</v>
      </c>
      <c r="W950" s="140">
        <f>6.645+7.611</f>
        <v>14.256</v>
      </c>
      <c r="X950" s="149">
        <f t="shared" si="35"/>
        <v>47.657808000000003</v>
      </c>
      <c r="Y950" s="149"/>
    </row>
    <row r="951" spans="1:25" ht="16">
      <c r="A951" s="117" t="s">
        <v>3570</v>
      </c>
      <c r="B951" s="139" t="s">
        <v>3326</v>
      </c>
      <c r="C951" s="140" t="s">
        <v>1744</v>
      </c>
      <c r="D951" s="140" t="s">
        <v>3551</v>
      </c>
      <c r="E951" s="140" t="s">
        <v>3248</v>
      </c>
      <c r="F951" s="140" t="s">
        <v>36</v>
      </c>
      <c r="G951" s="140"/>
      <c r="H951" s="140">
        <v>60</v>
      </c>
      <c r="I951" s="141">
        <v>42166</v>
      </c>
      <c r="J951" s="140" t="s">
        <v>36</v>
      </c>
      <c r="K951" s="140" t="s">
        <v>154</v>
      </c>
      <c r="L951" s="140" t="s">
        <v>2572</v>
      </c>
      <c r="M951" s="140" t="s">
        <v>2576</v>
      </c>
      <c r="N951" s="140" t="s">
        <v>3192</v>
      </c>
      <c r="O951" s="140" t="s">
        <v>2777</v>
      </c>
      <c r="P951" s="140" t="s">
        <v>2777</v>
      </c>
      <c r="Q951" s="140" t="s">
        <v>3239</v>
      </c>
      <c r="R951" s="140" t="s">
        <v>2713</v>
      </c>
      <c r="S951" s="140">
        <v>4.6600000000000003E-2</v>
      </c>
      <c r="T951" s="140">
        <v>3.5361290322580646E-2</v>
      </c>
      <c r="U951" s="140">
        <f t="shared" si="36"/>
        <v>1.1238709677419356E-2</v>
      </c>
      <c r="V951" s="140">
        <v>3.399</v>
      </c>
      <c r="W951" s="140">
        <v>15.489000000000001</v>
      </c>
      <c r="X951" s="149">
        <f t="shared" si="35"/>
        <v>52.647111000000002</v>
      </c>
      <c r="Y951" s="149"/>
    </row>
    <row r="952" spans="1:25" ht="16">
      <c r="A952" s="117" t="s">
        <v>3570</v>
      </c>
      <c r="B952" s="139" t="s">
        <v>3327</v>
      </c>
      <c r="C952" s="140" t="s">
        <v>1744</v>
      </c>
      <c r="D952" s="140" t="s">
        <v>3551</v>
      </c>
      <c r="E952" s="140" t="s">
        <v>3249</v>
      </c>
      <c r="F952" s="140" t="s">
        <v>3205</v>
      </c>
      <c r="G952" s="140"/>
      <c r="H952" s="140">
        <v>60</v>
      </c>
      <c r="I952" s="141">
        <v>42167</v>
      </c>
      <c r="J952" s="140" t="s">
        <v>36</v>
      </c>
      <c r="K952" s="140" t="s">
        <v>154</v>
      </c>
      <c r="L952" s="140" t="s">
        <v>2572</v>
      </c>
      <c r="M952" s="140" t="s">
        <v>2576</v>
      </c>
      <c r="N952" s="140" t="s">
        <v>3192</v>
      </c>
      <c r="O952" s="140" t="s">
        <v>2777</v>
      </c>
      <c r="P952" s="140" t="s">
        <v>2777</v>
      </c>
      <c r="Q952" s="140" t="s">
        <v>3239</v>
      </c>
      <c r="R952" s="140" t="s">
        <v>2713</v>
      </c>
      <c r="S952" s="140">
        <v>4.53E-2</v>
      </c>
      <c r="T952" s="140">
        <v>3.5361290322580646E-2</v>
      </c>
      <c r="U952" s="140">
        <f t="shared" si="36"/>
        <v>9.9387096774193537E-3</v>
      </c>
      <c r="V952" s="140">
        <v>3.3039999999999998</v>
      </c>
      <c r="W952" s="140">
        <v>15.836</v>
      </c>
      <c r="X952" s="149">
        <f t="shared" si="35"/>
        <v>52.322144000000002</v>
      </c>
      <c r="Y952" s="149"/>
    </row>
    <row r="953" spans="1:25" ht="16">
      <c r="A953" s="117" t="s">
        <v>3570</v>
      </c>
      <c r="B953" s="139" t="s">
        <v>3328</v>
      </c>
      <c r="C953" s="140" t="s">
        <v>1744</v>
      </c>
      <c r="D953" s="140" t="s">
        <v>3551</v>
      </c>
      <c r="E953" s="140" t="s">
        <v>3250</v>
      </c>
      <c r="F953" s="140" t="s">
        <v>36</v>
      </c>
      <c r="G953" s="140"/>
      <c r="H953" s="140">
        <v>60</v>
      </c>
      <c r="I953" s="141">
        <v>42168</v>
      </c>
      <c r="J953" s="140" t="s">
        <v>36</v>
      </c>
      <c r="K953" s="140" t="s">
        <v>154</v>
      </c>
      <c r="L953" s="140" t="s">
        <v>2572</v>
      </c>
      <c r="M953" s="140" t="s">
        <v>2576</v>
      </c>
      <c r="N953" s="140" t="s">
        <v>3192</v>
      </c>
      <c r="O953" s="140" t="s">
        <v>2777</v>
      </c>
      <c r="P953" s="140" t="s">
        <v>2777</v>
      </c>
      <c r="Q953" s="140" t="s">
        <v>3239</v>
      </c>
      <c r="R953" s="140" t="s">
        <v>2713</v>
      </c>
      <c r="S953" s="140">
        <v>4.5900000000000003E-2</v>
      </c>
      <c r="T953" s="140">
        <v>3.5361290322580646E-2</v>
      </c>
      <c r="U953" s="140">
        <f t="shared" si="36"/>
        <v>1.0538709677419357E-2</v>
      </c>
      <c r="V953" s="140">
        <v>3.0649999999999999</v>
      </c>
      <c r="W953" s="140">
        <f>6.543+7.623</f>
        <v>14.166</v>
      </c>
      <c r="X953" s="149">
        <f t="shared" si="35"/>
        <v>43.418790000000001</v>
      </c>
      <c r="Y953" s="149"/>
    </row>
    <row r="954" spans="1:25" ht="16">
      <c r="A954" s="117" t="s">
        <v>3570</v>
      </c>
      <c r="B954" s="139" t="s">
        <v>3329</v>
      </c>
      <c r="C954" s="140" t="s">
        <v>1744</v>
      </c>
      <c r="D954" s="140" t="s">
        <v>3551</v>
      </c>
      <c r="E954" s="140" t="s">
        <v>3251</v>
      </c>
      <c r="F954" s="140">
        <v>368</v>
      </c>
      <c r="G954" s="140"/>
      <c r="H954" s="140">
        <v>60</v>
      </c>
      <c r="I954" s="141">
        <v>42169</v>
      </c>
      <c r="J954" s="140" t="s">
        <v>36</v>
      </c>
      <c r="K954" s="140" t="s">
        <v>154</v>
      </c>
      <c r="L954" s="140" t="s">
        <v>2572</v>
      </c>
      <c r="M954" s="140" t="s">
        <v>2576</v>
      </c>
      <c r="N954" s="140" t="s">
        <v>3192</v>
      </c>
      <c r="O954" s="140" t="s">
        <v>2777</v>
      </c>
      <c r="P954" s="140" t="s">
        <v>2777</v>
      </c>
      <c r="Q954" s="140" t="s">
        <v>3239</v>
      </c>
      <c r="R954" s="140" t="s">
        <v>2713</v>
      </c>
      <c r="S954" s="140">
        <v>4.41E-2</v>
      </c>
      <c r="T954" s="140">
        <v>3.5361290322580646E-2</v>
      </c>
      <c r="U954" s="140">
        <f t="shared" si="36"/>
        <v>8.738709677419354E-3</v>
      </c>
      <c r="V954" s="140">
        <v>3.2440000000000002</v>
      </c>
      <c r="W954" s="140">
        <v>15.679</v>
      </c>
      <c r="X954" s="149">
        <f t="shared" si="35"/>
        <v>50.862676000000008</v>
      </c>
      <c r="Y954" s="149"/>
    </row>
    <row r="955" spans="1:25" ht="16">
      <c r="A955" s="117" t="s">
        <v>3570</v>
      </c>
      <c r="B955" s="139" t="s">
        <v>3330</v>
      </c>
      <c r="C955" s="140" t="s">
        <v>1744</v>
      </c>
      <c r="D955" s="140" t="s">
        <v>3551</v>
      </c>
      <c r="E955" s="140" t="s">
        <v>3252</v>
      </c>
      <c r="F955" s="140">
        <v>366</v>
      </c>
      <c r="G955" s="140"/>
      <c r="H955" s="140">
        <v>60</v>
      </c>
      <c r="I955" s="141">
        <v>42170</v>
      </c>
      <c r="J955" s="140" t="s">
        <v>36</v>
      </c>
      <c r="K955" s="140" t="s">
        <v>154</v>
      </c>
      <c r="L955" s="140" t="s">
        <v>2572</v>
      </c>
      <c r="M955" s="140" t="s">
        <v>2576</v>
      </c>
      <c r="N955" s="140" t="s">
        <v>3192</v>
      </c>
      <c r="O955" s="140" t="s">
        <v>2777</v>
      </c>
      <c r="P955" s="140" t="s">
        <v>2777</v>
      </c>
      <c r="Q955" s="140" t="s">
        <v>3239</v>
      </c>
      <c r="R955" s="140" t="s">
        <v>2713</v>
      </c>
      <c r="S955" s="140">
        <v>4.48E-2</v>
      </c>
      <c r="T955" s="140">
        <v>3.5361290322580646E-2</v>
      </c>
      <c r="U955" s="140">
        <f t="shared" si="36"/>
        <v>9.4387096774193532E-3</v>
      </c>
      <c r="V955" s="140">
        <v>3.2309999999999999</v>
      </c>
      <c r="W955" s="140">
        <f>7.125+9.396</f>
        <v>16.521000000000001</v>
      </c>
      <c r="X955" s="149">
        <f t="shared" si="35"/>
        <v>53.379351</v>
      </c>
      <c r="Y955" s="149"/>
    </row>
    <row r="956" spans="1:25" ht="16">
      <c r="A956" s="117" t="s">
        <v>3570</v>
      </c>
      <c r="B956" s="139" t="s">
        <v>3331</v>
      </c>
      <c r="C956" s="140" t="s">
        <v>1744</v>
      </c>
      <c r="D956" s="140" t="s">
        <v>3551</v>
      </c>
      <c r="E956" s="140" t="s">
        <v>3253</v>
      </c>
      <c r="F956" s="140">
        <v>367</v>
      </c>
      <c r="G956" s="140"/>
      <c r="H956" s="140">
        <v>60</v>
      </c>
      <c r="I956" s="141">
        <v>42171</v>
      </c>
      <c r="J956" s="140" t="s">
        <v>36</v>
      </c>
      <c r="K956" s="140" t="s">
        <v>154</v>
      </c>
      <c r="L956" s="140" t="s">
        <v>2572</v>
      </c>
      <c r="M956" s="140" t="s">
        <v>2576</v>
      </c>
      <c r="N956" s="140" t="s">
        <v>3192</v>
      </c>
      <c r="O956" s="140" t="s">
        <v>2777</v>
      </c>
      <c r="P956" s="140" t="s">
        <v>2777</v>
      </c>
      <c r="Q956" s="140" t="s">
        <v>3239</v>
      </c>
      <c r="R956" s="140" t="s">
        <v>2713</v>
      </c>
      <c r="S956" s="140">
        <v>4.6800000000000001E-2</v>
      </c>
      <c r="T956" s="140">
        <v>3.5361290322580646E-2</v>
      </c>
      <c r="U956" s="140">
        <f t="shared" si="36"/>
        <v>1.1438709677419355E-2</v>
      </c>
      <c r="V956" s="140">
        <v>3.4359999999999999</v>
      </c>
      <c r="W956" s="140">
        <f>7.393+9.588</f>
        <v>16.980999999999998</v>
      </c>
      <c r="X956" s="149">
        <f t="shared" si="35"/>
        <v>58.346715999999994</v>
      </c>
      <c r="Y956" s="149"/>
    </row>
    <row r="957" spans="1:25" ht="16">
      <c r="A957" s="117" t="s">
        <v>3570</v>
      </c>
      <c r="B957" s="139" t="s">
        <v>3332</v>
      </c>
      <c r="C957" s="140" t="s">
        <v>1744</v>
      </c>
      <c r="D957" s="140" t="s">
        <v>3551</v>
      </c>
      <c r="E957" s="140" t="s">
        <v>3207</v>
      </c>
      <c r="F957" s="140">
        <v>52</v>
      </c>
      <c r="G957" s="140"/>
      <c r="H957" s="140">
        <v>60</v>
      </c>
      <c r="I957" s="141">
        <v>42172</v>
      </c>
      <c r="J957" s="140" t="s">
        <v>36</v>
      </c>
      <c r="K957" s="140" t="s">
        <v>154</v>
      </c>
      <c r="L957" s="140" t="s">
        <v>2572</v>
      </c>
      <c r="M957" s="140" t="s">
        <v>2576</v>
      </c>
      <c r="N957" s="140" t="s">
        <v>3192</v>
      </c>
      <c r="O957" s="140" t="s">
        <v>2777</v>
      </c>
      <c r="P957" s="140" t="s">
        <v>2777</v>
      </c>
      <c r="Q957" s="140" t="s">
        <v>3239</v>
      </c>
      <c r="R957" s="140" t="s">
        <v>2713</v>
      </c>
      <c r="S957" s="140">
        <v>4.5400000000000003E-2</v>
      </c>
      <c r="T957" s="140">
        <v>3.5361290322580646E-2</v>
      </c>
      <c r="U957" s="140">
        <f t="shared" si="36"/>
        <v>1.0038709677419357E-2</v>
      </c>
      <c r="V957" s="140">
        <v>3.2629999999999999</v>
      </c>
      <c r="W957" s="140">
        <f>7.932+6.511</f>
        <v>14.443000000000001</v>
      </c>
      <c r="X957" s="149">
        <f t="shared" si="35"/>
        <v>47.127509000000003</v>
      </c>
      <c r="Y957" s="149"/>
    </row>
    <row r="958" spans="1:25" ht="16">
      <c r="A958" s="117" t="s">
        <v>3570</v>
      </c>
      <c r="B958" s="139" t="s">
        <v>3333</v>
      </c>
      <c r="C958" s="140" t="s">
        <v>1744</v>
      </c>
      <c r="D958" s="140" t="s">
        <v>3551</v>
      </c>
      <c r="E958" s="140" t="s">
        <v>3207</v>
      </c>
      <c r="F958" s="140">
        <v>58</v>
      </c>
      <c r="G958" s="140"/>
      <c r="H958" s="140">
        <v>60</v>
      </c>
      <c r="I958" s="141">
        <v>42173</v>
      </c>
      <c r="J958" s="140" t="s">
        <v>36</v>
      </c>
      <c r="K958" s="140" t="s">
        <v>154</v>
      </c>
      <c r="L958" s="140" t="s">
        <v>2572</v>
      </c>
      <c r="M958" s="140" t="s">
        <v>2576</v>
      </c>
      <c r="N958" s="140" t="s">
        <v>3192</v>
      </c>
      <c r="O958" s="140" t="s">
        <v>2777</v>
      </c>
      <c r="P958" s="140" t="s">
        <v>2777</v>
      </c>
      <c r="Q958" s="140" t="s">
        <v>3239</v>
      </c>
      <c r="R958" s="140" t="s">
        <v>2713</v>
      </c>
      <c r="S958" s="140">
        <v>4.5199999999999997E-2</v>
      </c>
      <c r="T958" s="140">
        <v>3.5361290322580646E-2</v>
      </c>
      <c r="U958" s="140">
        <f t="shared" si="36"/>
        <v>9.8387096774193508E-3</v>
      </c>
      <c r="V958" s="140">
        <v>3.3940000000000001</v>
      </c>
      <c r="W958" s="140">
        <f>7.095+9.004</f>
        <v>16.099</v>
      </c>
      <c r="X958" s="149">
        <f t="shared" si="35"/>
        <v>54.640006</v>
      </c>
      <c r="Y958" s="149"/>
    </row>
    <row r="959" spans="1:25" ht="16">
      <c r="A959" s="117" t="s">
        <v>3570</v>
      </c>
      <c r="B959" s="139" t="s">
        <v>3334</v>
      </c>
      <c r="C959" s="140" t="s">
        <v>1744</v>
      </c>
      <c r="D959" s="140" t="s">
        <v>3551</v>
      </c>
      <c r="E959" s="140" t="s">
        <v>3207</v>
      </c>
      <c r="F959" s="140">
        <v>69</v>
      </c>
      <c r="G959" s="140"/>
      <c r="H959" s="140">
        <v>60</v>
      </c>
      <c r="I959" s="141">
        <v>42174</v>
      </c>
      <c r="J959" s="140" t="s">
        <v>36</v>
      </c>
      <c r="K959" s="140" t="s">
        <v>154</v>
      </c>
      <c r="L959" s="140" t="s">
        <v>2572</v>
      </c>
      <c r="M959" s="140" t="s">
        <v>2576</v>
      </c>
      <c r="N959" s="140" t="s">
        <v>3192</v>
      </c>
      <c r="O959" s="140" t="s">
        <v>2777</v>
      </c>
      <c r="P959" s="140" t="s">
        <v>2777</v>
      </c>
      <c r="Q959" s="140" t="s">
        <v>3239</v>
      </c>
      <c r="R959" s="140" t="s">
        <v>2713</v>
      </c>
      <c r="S959" s="140">
        <v>4.4900000000000002E-2</v>
      </c>
      <c r="T959" s="140">
        <v>3.5361290322580646E-2</v>
      </c>
      <c r="U959" s="140">
        <f t="shared" si="36"/>
        <v>9.5387096774193561E-3</v>
      </c>
      <c r="V959" s="140">
        <v>3.3679999999999999</v>
      </c>
      <c r="W959" s="140">
        <v>16.567</v>
      </c>
      <c r="X959" s="149">
        <f t="shared" si="35"/>
        <v>55.797655999999996</v>
      </c>
      <c r="Y959" s="149"/>
    </row>
    <row r="960" spans="1:25" ht="16">
      <c r="A960" s="117" t="s">
        <v>3570</v>
      </c>
      <c r="B960" s="139" t="s">
        <v>3335</v>
      </c>
      <c r="C960" s="140" t="s">
        <v>1744</v>
      </c>
      <c r="D960" s="140" t="s">
        <v>3551</v>
      </c>
      <c r="E960" s="140" t="s">
        <v>3207</v>
      </c>
      <c r="F960" s="140">
        <v>59</v>
      </c>
      <c r="G960" s="140"/>
      <c r="H960" s="140">
        <v>60</v>
      </c>
      <c r="I960" s="141">
        <v>42175</v>
      </c>
      <c r="J960" s="140" t="s">
        <v>36</v>
      </c>
      <c r="K960" s="140" t="s">
        <v>154</v>
      </c>
      <c r="L960" s="140" t="s">
        <v>2572</v>
      </c>
      <c r="M960" s="140" t="s">
        <v>2576</v>
      </c>
      <c r="N960" s="140" t="s">
        <v>3192</v>
      </c>
      <c r="O960" s="140" t="s">
        <v>2777</v>
      </c>
      <c r="P960" s="140" t="s">
        <v>2777</v>
      </c>
      <c r="Q960" s="140" t="s">
        <v>3239</v>
      </c>
      <c r="R960" s="140" t="s">
        <v>2713</v>
      </c>
      <c r="S960" s="140">
        <v>4.5100000000000001E-2</v>
      </c>
      <c r="T960" s="140">
        <v>3.5361290322580646E-2</v>
      </c>
      <c r="U960" s="140">
        <f t="shared" si="36"/>
        <v>9.7387096774193549E-3</v>
      </c>
      <c r="V960" s="140">
        <v>3.2240000000000002</v>
      </c>
      <c r="W960" s="140">
        <f>9.332+6.884</f>
        <v>16.216000000000001</v>
      </c>
      <c r="X960" s="149">
        <f t="shared" si="35"/>
        <v>52.280384000000005</v>
      </c>
      <c r="Y960" s="149"/>
    </row>
    <row r="961" spans="1:25" ht="16">
      <c r="A961" s="117" t="s">
        <v>3570</v>
      </c>
      <c r="B961" s="139" t="s">
        <v>3336</v>
      </c>
      <c r="C961" s="140" t="s">
        <v>1744</v>
      </c>
      <c r="D961" s="140" t="s">
        <v>3551</v>
      </c>
      <c r="E961" s="140" t="s">
        <v>3207</v>
      </c>
      <c r="F961" s="140">
        <v>64</v>
      </c>
      <c r="G961" s="140"/>
      <c r="H961" s="140">
        <v>60</v>
      </c>
      <c r="I961" s="141">
        <v>42176</v>
      </c>
      <c r="J961" s="140" t="s">
        <v>36</v>
      </c>
      <c r="K961" s="140" t="s">
        <v>154</v>
      </c>
      <c r="L961" s="140" t="s">
        <v>2572</v>
      </c>
      <c r="M961" s="140" t="s">
        <v>2576</v>
      </c>
      <c r="N961" s="140" t="s">
        <v>3192</v>
      </c>
      <c r="O961" s="140" t="s">
        <v>2777</v>
      </c>
      <c r="P961" s="140" t="s">
        <v>2777</v>
      </c>
      <c r="Q961" s="140" t="s">
        <v>3239</v>
      </c>
      <c r="R961" s="140" t="s">
        <v>2713</v>
      </c>
      <c r="S961" s="140">
        <v>4.7399999999999998E-2</v>
      </c>
      <c r="T961" s="140">
        <v>3.5361290322580646E-2</v>
      </c>
      <c r="U961" s="140">
        <f t="shared" si="36"/>
        <v>1.2038709677419351E-2</v>
      </c>
      <c r="V961" s="140">
        <v>3.4119999999999999</v>
      </c>
      <c r="W961" s="140">
        <f>8.922+7.274</f>
        <v>16.196000000000002</v>
      </c>
      <c r="X961" s="149">
        <f t="shared" si="35"/>
        <v>55.260752000000004</v>
      </c>
      <c r="Y961" s="149"/>
    </row>
    <row r="962" spans="1:25" ht="16">
      <c r="A962" s="117" t="s">
        <v>3570</v>
      </c>
      <c r="B962" s="139" t="s">
        <v>3337</v>
      </c>
      <c r="C962" s="140" t="s">
        <v>1744</v>
      </c>
      <c r="D962" s="140" t="s">
        <v>3551</v>
      </c>
      <c r="E962" s="140" t="s">
        <v>3207</v>
      </c>
      <c r="F962" s="140">
        <v>62</v>
      </c>
      <c r="G962" s="140"/>
      <c r="H962" s="140">
        <v>60</v>
      </c>
      <c r="I962" s="141">
        <v>42177</v>
      </c>
      <c r="J962" s="140" t="s">
        <v>36</v>
      </c>
      <c r="K962" s="140" t="s">
        <v>154</v>
      </c>
      <c r="L962" s="140" t="s">
        <v>2572</v>
      </c>
      <c r="M962" s="140" t="s">
        <v>2576</v>
      </c>
      <c r="N962" s="140" t="s">
        <v>3192</v>
      </c>
      <c r="O962" s="140" t="s">
        <v>2777</v>
      </c>
      <c r="P962" s="140" t="s">
        <v>2777</v>
      </c>
      <c r="Q962" s="140" t="s">
        <v>3239</v>
      </c>
      <c r="R962" s="140" t="s">
        <v>2713</v>
      </c>
      <c r="S962" s="140">
        <v>4.4900000000000002E-2</v>
      </c>
      <c r="T962" s="140">
        <v>3.5361290322580646E-2</v>
      </c>
      <c r="U962" s="140">
        <f t="shared" si="36"/>
        <v>9.5387096774193561E-3</v>
      </c>
      <c r="V962" s="140">
        <v>3.0750000000000002</v>
      </c>
      <c r="W962" s="140">
        <f>6.514+8.705</f>
        <v>15.219000000000001</v>
      </c>
      <c r="X962" s="149">
        <f t="shared" si="35"/>
        <v>46.798425000000009</v>
      </c>
      <c r="Y962" s="149"/>
    </row>
    <row r="963" spans="1:25" ht="16">
      <c r="A963" s="117" t="s">
        <v>3570</v>
      </c>
      <c r="B963" s="139" t="s">
        <v>3338</v>
      </c>
      <c r="C963" s="140" t="s">
        <v>1744</v>
      </c>
      <c r="D963" s="140" t="s">
        <v>3551</v>
      </c>
      <c r="E963" s="140" t="s">
        <v>3254</v>
      </c>
      <c r="F963" s="140">
        <v>65</v>
      </c>
      <c r="G963" s="140"/>
      <c r="H963" s="140">
        <v>60</v>
      </c>
      <c r="I963" s="141">
        <v>42178</v>
      </c>
      <c r="J963" s="140" t="s">
        <v>36</v>
      </c>
      <c r="K963" s="140" t="s">
        <v>154</v>
      </c>
      <c r="L963" s="140" t="s">
        <v>2572</v>
      </c>
      <c r="M963" s="140" t="s">
        <v>2576</v>
      </c>
      <c r="N963" s="140" t="s">
        <v>3192</v>
      </c>
      <c r="O963" s="140" t="s">
        <v>2777</v>
      </c>
      <c r="P963" s="140" t="s">
        <v>2777</v>
      </c>
      <c r="Q963" s="140" t="s">
        <v>3239</v>
      </c>
      <c r="R963" s="140" t="s">
        <v>2713</v>
      </c>
      <c r="S963" s="140">
        <v>4.5699999999999998E-2</v>
      </c>
      <c r="T963" s="140">
        <v>3.5361290322580646E-2</v>
      </c>
      <c r="U963" s="140">
        <f t="shared" si="36"/>
        <v>1.0338709677419351E-2</v>
      </c>
      <c r="V963" s="140">
        <v>3.5129999999999999</v>
      </c>
      <c r="W963" s="140">
        <v>16.122</v>
      </c>
      <c r="X963" s="149">
        <f t="shared" si="35"/>
        <v>56.636586000000001</v>
      </c>
      <c r="Y963" s="149"/>
    </row>
    <row r="964" spans="1:25" ht="16">
      <c r="A964" s="117" t="s">
        <v>3570</v>
      </c>
      <c r="B964" s="139" t="s">
        <v>3339</v>
      </c>
      <c r="C964" s="140" t="s">
        <v>1744</v>
      </c>
      <c r="D964" s="140" t="s">
        <v>3551</v>
      </c>
      <c r="E964" s="140" t="s">
        <v>3351</v>
      </c>
      <c r="F964" s="140" t="s">
        <v>36</v>
      </c>
      <c r="G964" s="140"/>
      <c r="H964" s="140">
        <v>60</v>
      </c>
      <c r="I964" s="141">
        <v>42179</v>
      </c>
      <c r="J964" s="140" t="s">
        <v>36</v>
      </c>
      <c r="K964" s="140" t="s">
        <v>154</v>
      </c>
      <c r="L964" s="140" t="s">
        <v>2572</v>
      </c>
      <c r="M964" s="140" t="s">
        <v>2576</v>
      </c>
      <c r="N964" s="140" t="s">
        <v>3192</v>
      </c>
      <c r="O964" s="140" t="s">
        <v>2777</v>
      </c>
      <c r="P964" s="140" t="s">
        <v>2777</v>
      </c>
      <c r="Q964" s="140" t="s">
        <v>3239</v>
      </c>
      <c r="R964" s="140" t="s">
        <v>2713</v>
      </c>
      <c r="S964" s="140">
        <v>4.6199999999999998E-2</v>
      </c>
      <c r="T964" s="140">
        <v>3.5361290322580646E-2</v>
      </c>
      <c r="U964" s="140">
        <f t="shared" si="36"/>
        <v>1.0838709677419352E-2</v>
      </c>
      <c r="V964" s="140">
        <v>3.444</v>
      </c>
      <c r="W964" s="140">
        <f>8.727+6.992</f>
        <v>15.719000000000001</v>
      </c>
      <c r="X964" s="149">
        <f t="shared" si="35"/>
        <v>54.136236000000004</v>
      </c>
      <c r="Y964" s="149"/>
    </row>
    <row r="965" spans="1:25" ht="16">
      <c r="A965" s="117" t="s">
        <v>3570</v>
      </c>
      <c r="B965" s="139" t="s">
        <v>3340</v>
      </c>
      <c r="C965" s="140" t="s">
        <v>1744</v>
      </c>
      <c r="D965" s="140" t="s">
        <v>3551</v>
      </c>
      <c r="E965" s="140" t="s">
        <v>3352</v>
      </c>
      <c r="F965" s="140" t="s">
        <v>36</v>
      </c>
      <c r="G965" s="140"/>
      <c r="H965" s="140">
        <v>60</v>
      </c>
      <c r="I965" s="141">
        <v>42180</v>
      </c>
      <c r="J965" s="140" t="s">
        <v>36</v>
      </c>
      <c r="K965" s="140" t="s">
        <v>154</v>
      </c>
      <c r="L965" s="140" t="s">
        <v>2572</v>
      </c>
      <c r="M965" s="140" t="s">
        <v>2576</v>
      </c>
      <c r="N965" s="140" t="s">
        <v>3192</v>
      </c>
      <c r="O965" s="140" t="s">
        <v>2777</v>
      </c>
      <c r="P965" s="140" t="s">
        <v>2777</v>
      </c>
      <c r="Q965" s="140" t="s">
        <v>3239</v>
      </c>
      <c r="R965" s="140" t="s">
        <v>2713</v>
      </c>
      <c r="S965" s="140">
        <v>4.3700000000000003E-2</v>
      </c>
      <c r="T965" s="140">
        <v>3.5361290322580646E-2</v>
      </c>
      <c r="U965" s="140">
        <f t="shared" si="36"/>
        <v>8.3387096774193564E-3</v>
      </c>
      <c r="V965" s="140">
        <v>3.42</v>
      </c>
      <c r="W965" s="140">
        <f>8.813+7.056</f>
        <v>15.869</v>
      </c>
      <c r="X965" s="149">
        <f t="shared" si="35"/>
        <v>54.271979999999999</v>
      </c>
      <c r="Y965" s="149"/>
    </row>
    <row r="966" spans="1:25" ht="16">
      <c r="A966" s="117" t="s">
        <v>3570</v>
      </c>
      <c r="B966" s="139" t="s">
        <v>3341</v>
      </c>
      <c r="C966" s="140" t="s">
        <v>1744</v>
      </c>
      <c r="D966" s="140" t="s">
        <v>3551</v>
      </c>
      <c r="E966" s="140" t="s">
        <v>3353</v>
      </c>
      <c r="F966" s="140">
        <v>327</v>
      </c>
      <c r="G966" s="140"/>
      <c r="H966" s="140">
        <v>60</v>
      </c>
      <c r="I966" s="141">
        <v>42181</v>
      </c>
      <c r="J966" s="140" t="s">
        <v>36</v>
      </c>
      <c r="K966" s="140" t="s">
        <v>154</v>
      </c>
      <c r="L966" s="140" t="s">
        <v>2572</v>
      </c>
      <c r="M966" s="140" t="s">
        <v>2576</v>
      </c>
      <c r="N966" s="140" t="s">
        <v>3192</v>
      </c>
      <c r="O966" s="140" t="s">
        <v>2777</v>
      </c>
      <c r="P966" s="140" t="s">
        <v>2777</v>
      </c>
      <c r="Q966" s="140" t="s">
        <v>3239</v>
      </c>
      <c r="R966" s="140" t="s">
        <v>2713</v>
      </c>
      <c r="S966" s="140">
        <v>4.5100000000000001E-2</v>
      </c>
      <c r="T966" s="140">
        <v>3.5361290322580646E-2</v>
      </c>
      <c r="U966" s="140">
        <f t="shared" si="36"/>
        <v>9.7387096774193549E-3</v>
      </c>
      <c r="V966" s="140">
        <v>3.4609999999999999</v>
      </c>
      <c r="W966" s="140">
        <v>15.233000000000001</v>
      </c>
      <c r="X966" s="149">
        <f t="shared" si="35"/>
        <v>52.721412999999998</v>
      </c>
      <c r="Y966" s="149"/>
    </row>
    <row r="967" spans="1:25" ht="16">
      <c r="A967" s="117" t="s">
        <v>3570</v>
      </c>
      <c r="B967" s="139" t="s">
        <v>3342</v>
      </c>
      <c r="C967" s="140" t="s">
        <v>1744</v>
      </c>
      <c r="D967" s="140" t="s">
        <v>3551</v>
      </c>
      <c r="E967" s="140" t="s">
        <v>3354</v>
      </c>
      <c r="F967" s="140">
        <v>232</v>
      </c>
      <c r="G967" s="140"/>
      <c r="H967" s="140">
        <v>60</v>
      </c>
      <c r="I967" s="141">
        <v>42182</v>
      </c>
      <c r="J967" s="140" t="s">
        <v>36</v>
      </c>
      <c r="K967" s="140" t="s">
        <v>154</v>
      </c>
      <c r="L967" s="140" t="s">
        <v>2572</v>
      </c>
      <c r="M967" s="140" t="s">
        <v>2576</v>
      </c>
      <c r="N967" s="140" t="s">
        <v>3192</v>
      </c>
      <c r="O967" s="140" t="s">
        <v>2777</v>
      </c>
      <c r="P967" s="140" t="s">
        <v>2777</v>
      </c>
      <c r="Q967" s="140" t="s">
        <v>3239</v>
      </c>
      <c r="R967" s="140" t="s">
        <v>2713</v>
      </c>
      <c r="S967" s="140">
        <v>4.3900000000000002E-2</v>
      </c>
      <c r="T967" s="140">
        <v>3.5361290322580646E-2</v>
      </c>
      <c r="U967" s="140">
        <f t="shared" si="36"/>
        <v>8.5387096774193552E-3</v>
      </c>
      <c r="V967" s="140">
        <v>3.4409999999999998</v>
      </c>
      <c r="W967" s="140">
        <v>15.179</v>
      </c>
      <c r="X967" s="149">
        <f t="shared" si="35"/>
        <v>52.230938999999999</v>
      </c>
      <c r="Y967" s="149"/>
    </row>
    <row r="968" spans="1:25" ht="16">
      <c r="A968" s="117" t="s">
        <v>3570</v>
      </c>
      <c r="B968" s="139" t="s">
        <v>3343</v>
      </c>
      <c r="C968" s="140" t="s">
        <v>1744</v>
      </c>
      <c r="D968" s="140" t="s">
        <v>3551</v>
      </c>
      <c r="E968" s="140" t="s">
        <v>3354</v>
      </c>
      <c r="F968" s="140">
        <v>235</v>
      </c>
      <c r="G968" s="140"/>
      <c r="H968" s="140">
        <v>60</v>
      </c>
      <c r="I968" s="141">
        <v>42183</v>
      </c>
      <c r="J968" s="140" t="s">
        <v>36</v>
      </c>
      <c r="K968" s="140" t="s">
        <v>154</v>
      </c>
      <c r="L968" s="140" t="s">
        <v>2572</v>
      </c>
      <c r="M968" s="140" t="s">
        <v>2576</v>
      </c>
      <c r="N968" s="140" t="s">
        <v>3192</v>
      </c>
      <c r="O968" s="140" t="s">
        <v>2777</v>
      </c>
      <c r="P968" s="140" t="s">
        <v>2777</v>
      </c>
      <c r="Q968" s="140" t="s">
        <v>3239</v>
      </c>
      <c r="R968" s="140" t="s">
        <v>2713</v>
      </c>
      <c r="S968" s="140">
        <v>4.3999999999999997E-2</v>
      </c>
      <c r="T968" s="140">
        <v>3.5361290322580646E-2</v>
      </c>
      <c r="U968" s="140">
        <f t="shared" si="36"/>
        <v>8.6387096774193511E-3</v>
      </c>
      <c r="V968" s="140">
        <v>3.0259999999999998</v>
      </c>
      <c r="W968" s="140">
        <f>7.116+9.072</f>
        <v>16.187999999999999</v>
      </c>
      <c r="X968" s="149">
        <f t="shared" si="35"/>
        <v>48.984887999999991</v>
      </c>
      <c r="Y968" s="149"/>
    </row>
    <row r="969" spans="1:25" ht="16">
      <c r="A969" s="117" t="s">
        <v>3570</v>
      </c>
      <c r="B969" s="139" t="s">
        <v>3344</v>
      </c>
      <c r="C969" s="140" t="s">
        <v>1744</v>
      </c>
      <c r="D969" s="140" t="s">
        <v>3551</v>
      </c>
      <c r="E969" s="140" t="s">
        <v>3355</v>
      </c>
      <c r="F969" s="140">
        <v>291</v>
      </c>
      <c r="G969" s="140"/>
      <c r="H969" s="140">
        <v>60</v>
      </c>
      <c r="I969" s="141">
        <v>42184</v>
      </c>
      <c r="J969" s="140" t="s">
        <v>36</v>
      </c>
      <c r="K969" s="140" t="s">
        <v>154</v>
      </c>
      <c r="L969" s="140" t="s">
        <v>2572</v>
      </c>
      <c r="M969" s="140" t="s">
        <v>2576</v>
      </c>
      <c r="N969" s="140" t="s">
        <v>3192</v>
      </c>
      <c r="O969" s="140" t="s">
        <v>2777</v>
      </c>
      <c r="P969" s="140" t="s">
        <v>2777</v>
      </c>
      <c r="Q969" s="140" t="s">
        <v>3239</v>
      </c>
      <c r="R969" s="140" t="s">
        <v>2713</v>
      </c>
      <c r="S969" s="140">
        <v>4.7300000000000002E-2</v>
      </c>
      <c r="T969" s="140">
        <v>3.5361290322580646E-2</v>
      </c>
      <c r="U969" s="140">
        <f t="shared" si="36"/>
        <v>1.1938709677419355E-2</v>
      </c>
      <c r="V969" s="140">
        <v>3.6360000000000001</v>
      </c>
      <c r="W969" s="140">
        <v>16.585000000000001</v>
      </c>
      <c r="X969" s="149">
        <f t="shared" si="35"/>
        <v>60.303060000000002</v>
      </c>
      <c r="Y969" s="149"/>
    </row>
    <row r="970" spans="1:25" ht="16">
      <c r="A970" s="117" t="s">
        <v>3570</v>
      </c>
      <c r="B970" s="139" t="s">
        <v>3345</v>
      </c>
      <c r="C970" s="140" t="s">
        <v>1744</v>
      </c>
      <c r="D970" s="140" t="s">
        <v>3551</v>
      </c>
      <c r="E970" s="140" t="s">
        <v>3356</v>
      </c>
      <c r="F970" s="140">
        <v>612</v>
      </c>
      <c r="G970" s="140"/>
      <c r="H970" s="140">
        <v>60</v>
      </c>
      <c r="I970" s="141">
        <v>42185</v>
      </c>
      <c r="J970" s="140" t="s">
        <v>36</v>
      </c>
      <c r="K970" s="140" t="s">
        <v>154</v>
      </c>
      <c r="L970" s="140" t="s">
        <v>2572</v>
      </c>
      <c r="M970" s="140" t="s">
        <v>2576</v>
      </c>
      <c r="N970" s="140" t="s">
        <v>3192</v>
      </c>
      <c r="O970" s="140" t="s">
        <v>2777</v>
      </c>
      <c r="P970" s="140" t="s">
        <v>2777</v>
      </c>
      <c r="Q970" s="140" t="s">
        <v>3239</v>
      </c>
      <c r="R970" s="140" t="s">
        <v>2713</v>
      </c>
      <c r="S970" s="140">
        <v>4.4999999999999998E-2</v>
      </c>
      <c r="T970" s="140">
        <v>3.5361290322580646E-2</v>
      </c>
      <c r="U970" s="140">
        <f t="shared" si="36"/>
        <v>9.638709677419352E-3</v>
      </c>
      <c r="V970" s="140">
        <v>3.0790000000000002</v>
      </c>
      <c r="W970" s="140">
        <f>8.606+7.101</f>
        <v>15.707000000000001</v>
      </c>
      <c r="X970" s="149">
        <f t="shared" si="35"/>
        <v>48.361853000000004</v>
      </c>
      <c r="Y970" s="149"/>
    </row>
    <row r="971" spans="1:25" ht="16">
      <c r="A971" s="117" t="s">
        <v>3570</v>
      </c>
      <c r="B971" s="139" t="s">
        <v>3346</v>
      </c>
      <c r="C971" s="140" t="s">
        <v>1744</v>
      </c>
      <c r="D971" s="140" t="s">
        <v>3551</v>
      </c>
      <c r="E971" s="140" t="s">
        <v>3356</v>
      </c>
      <c r="F971" s="140">
        <v>611</v>
      </c>
      <c r="G971" s="140"/>
      <c r="H971" s="140">
        <v>60</v>
      </c>
      <c r="I971" s="141">
        <v>42186</v>
      </c>
      <c r="J971" s="140" t="s">
        <v>36</v>
      </c>
      <c r="K971" s="140" t="s">
        <v>154</v>
      </c>
      <c r="L971" s="140" t="s">
        <v>2572</v>
      </c>
      <c r="M971" s="140" t="s">
        <v>2576</v>
      </c>
      <c r="N971" s="140" t="s">
        <v>3192</v>
      </c>
      <c r="O971" s="140" t="s">
        <v>2777</v>
      </c>
      <c r="P971" s="140" t="s">
        <v>2777</v>
      </c>
      <c r="Q971" s="140" t="s">
        <v>3239</v>
      </c>
      <c r="R971" s="140" t="s">
        <v>2713</v>
      </c>
      <c r="S971" s="140">
        <v>4.5499999999999999E-2</v>
      </c>
      <c r="T971" s="140">
        <v>3.5361290322580646E-2</v>
      </c>
      <c r="U971" s="140">
        <f t="shared" si="36"/>
        <v>1.0138709677419352E-2</v>
      </c>
      <c r="V971" s="140">
        <v>3.2850000000000001</v>
      </c>
      <c r="W971" s="140">
        <f>7.032+8.367</f>
        <v>15.399000000000001</v>
      </c>
      <c r="X971" s="149">
        <f t="shared" si="35"/>
        <v>50.585715000000008</v>
      </c>
      <c r="Y971" s="149"/>
    </row>
    <row r="972" spans="1:25" ht="16">
      <c r="A972" s="117" t="s">
        <v>3570</v>
      </c>
      <c r="B972" s="139" t="s">
        <v>3347</v>
      </c>
      <c r="C972" s="140" t="s">
        <v>1744</v>
      </c>
      <c r="D972" s="140" t="s">
        <v>3551</v>
      </c>
      <c r="E972" s="140" t="s">
        <v>3357</v>
      </c>
      <c r="F972" s="140">
        <v>604</v>
      </c>
      <c r="G972" s="140"/>
      <c r="H972" s="140">
        <v>60</v>
      </c>
      <c r="I972" s="141">
        <v>42187</v>
      </c>
      <c r="J972" s="140" t="s">
        <v>36</v>
      </c>
      <c r="K972" s="140" t="s">
        <v>154</v>
      </c>
      <c r="L972" s="140" t="s">
        <v>2572</v>
      </c>
      <c r="M972" s="140" t="s">
        <v>2576</v>
      </c>
      <c r="N972" s="140" t="s">
        <v>3192</v>
      </c>
      <c r="O972" s="140" t="s">
        <v>2777</v>
      </c>
      <c r="P972" s="140" t="s">
        <v>2777</v>
      </c>
      <c r="Q972" s="140" t="s">
        <v>3239</v>
      </c>
      <c r="R972" s="140" t="s">
        <v>2713</v>
      </c>
      <c r="S972" s="140">
        <v>4.4699999999999997E-2</v>
      </c>
      <c r="T972" s="140">
        <v>3.5361290322580646E-2</v>
      </c>
      <c r="U972" s="140">
        <f t="shared" si="36"/>
        <v>9.3387096774193504E-3</v>
      </c>
      <c r="V972" s="140">
        <v>3.351</v>
      </c>
      <c r="W972" s="140">
        <f>6.932+8.57</f>
        <v>15.502000000000001</v>
      </c>
      <c r="X972" s="149">
        <f t="shared" si="35"/>
        <v>51.947202000000004</v>
      </c>
      <c r="Y972" s="149"/>
    </row>
    <row r="973" spans="1:25" ht="16">
      <c r="A973" s="117" t="s">
        <v>3570</v>
      </c>
      <c r="B973" s="139" t="s">
        <v>3348</v>
      </c>
      <c r="C973" s="140" t="s">
        <v>1744</v>
      </c>
      <c r="D973" s="140" t="s">
        <v>3551</v>
      </c>
      <c r="E973" s="140" t="s">
        <v>3358</v>
      </c>
      <c r="F973" s="140" t="s">
        <v>36</v>
      </c>
      <c r="G973" s="140"/>
      <c r="H973" s="140">
        <v>60</v>
      </c>
      <c r="I973" s="141">
        <v>42188</v>
      </c>
      <c r="J973" s="140" t="s">
        <v>36</v>
      </c>
      <c r="K973" s="140" t="s">
        <v>154</v>
      </c>
      <c r="L973" s="140" t="s">
        <v>2572</v>
      </c>
      <c r="M973" s="140" t="s">
        <v>2576</v>
      </c>
      <c r="N973" s="140" t="s">
        <v>3192</v>
      </c>
      <c r="O973" s="140" t="s">
        <v>2777</v>
      </c>
      <c r="P973" s="140" t="s">
        <v>2777</v>
      </c>
      <c r="Q973" s="140" t="s">
        <v>3239</v>
      </c>
      <c r="R973" s="140" t="s">
        <v>2713</v>
      </c>
      <c r="S973" s="140">
        <v>4.4400000000000002E-2</v>
      </c>
      <c r="T973" s="140">
        <v>3.5361290322580646E-2</v>
      </c>
      <c r="U973" s="140">
        <f t="shared" si="36"/>
        <v>9.0387096774193557E-3</v>
      </c>
      <c r="V973" s="140">
        <f>3.332</f>
        <v>3.3319999999999999</v>
      </c>
      <c r="W973" s="140">
        <f>7.371+9.067</f>
        <v>16.438000000000002</v>
      </c>
      <c r="X973" s="149">
        <f t="shared" si="35"/>
        <v>54.771416000000002</v>
      </c>
      <c r="Y973" s="149"/>
    </row>
    <row r="974" spans="1:25" ht="16">
      <c r="A974" s="117" t="s">
        <v>3570</v>
      </c>
      <c r="B974" s="139" t="s">
        <v>3349</v>
      </c>
      <c r="C974" s="140" t="s">
        <v>1744</v>
      </c>
      <c r="D974" s="140" t="s">
        <v>3551</v>
      </c>
      <c r="E974" s="140" t="s">
        <v>3358</v>
      </c>
      <c r="F974" s="140" t="s">
        <v>36</v>
      </c>
      <c r="G974" s="140"/>
      <c r="H974" s="140">
        <v>60</v>
      </c>
      <c r="I974" s="141">
        <v>42189</v>
      </c>
      <c r="J974" s="140" t="s">
        <v>36</v>
      </c>
      <c r="K974" s="140" t="s">
        <v>154</v>
      </c>
      <c r="L974" s="140" t="s">
        <v>2572</v>
      </c>
      <c r="M974" s="140" t="s">
        <v>2576</v>
      </c>
      <c r="N974" s="140" t="s">
        <v>3192</v>
      </c>
      <c r="O974" s="140" t="s">
        <v>2777</v>
      </c>
      <c r="P974" s="140" t="s">
        <v>2777</v>
      </c>
      <c r="Q974" s="140" t="s">
        <v>3239</v>
      </c>
      <c r="R974" s="140" t="s">
        <v>2713</v>
      </c>
      <c r="S974" s="140">
        <v>4.4200000000000003E-2</v>
      </c>
      <c r="T974" s="140">
        <v>3.5361290322580646E-2</v>
      </c>
      <c r="U974" s="140">
        <f t="shared" si="36"/>
        <v>8.8387096774193569E-3</v>
      </c>
      <c r="V974" s="140">
        <v>3.2370000000000001</v>
      </c>
      <c r="W974" s="140">
        <v>15.303000000000001</v>
      </c>
      <c r="X974" s="149">
        <f t="shared" si="35"/>
        <v>49.535811000000002</v>
      </c>
      <c r="Y974" s="149"/>
    </row>
    <row r="975" spans="1:25" ht="16">
      <c r="A975" s="117" t="s">
        <v>3570</v>
      </c>
      <c r="B975" s="139" t="s">
        <v>3350</v>
      </c>
      <c r="C975" s="140" t="s">
        <v>1744</v>
      </c>
      <c r="D975" s="140" t="s">
        <v>3551</v>
      </c>
      <c r="E975" s="140" t="s">
        <v>3359</v>
      </c>
      <c r="F975" s="140">
        <v>718</v>
      </c>
      <c r="G975" s="140"/>
      <c r="H975" s="140">
        <v>60</v>
      </c>
      <c r="I975" s="141">
        <v>42190</v>
      </c>
      <c r="J975" s="140" t="s">
        <v>36</v>
      </c>
      <c r="K975" s="140" t="s">
        <v>154</v>
      </c>
      <c r="L975" s="140" t="s">
        <v>2572</v>
      </c>
      <c r="M975" s="140" t="s">
        <v>2576</v>
      </c>
      <c r="N975" s="140" t="s">
        <v>3192</v>
      </c>
      <c r="O975" s="140" t="s">
        <v>2777</v>
      </c>
      <c r="P975" s="140" t="s">
        <v>2777</v>
      </c>
      <c r="Q975" s="140" t="s">
        <v>3239</v>
      </c>
      <c r="R975" s="140" t="s">
        <v>2713</v>
      </c>
      <c r="S975" s="140">
        <v>4.4999999999999998E-2</v>
      </c>
      <c r="T975" s="140">
        <v>3.5361290322580646E-2</v>
      </c>
      <c r="U975" s="140">
        <f t="shared" si="36"/>
        <v>9.638709677419352E-3</v>
      </c>
      <c r="V975" s="140">
        <v>3.375</v>
      </c>
      <c r="W975" s="140">
        <f>6.833+8.68</f>
        <v>15.513</v>
      </c>
      <c r="X975" s="149">
        <f t="shared" si="35"/>
        <v>52.356375</v>
      </c>
      <c r="Y975" s="149"/>
    </row>
    <row r="976" spans="1:25" ht="16">
      <c r="A976" s="117" t="s">
        <v>3570</v>
      </c>
      <c r="B976" s="139" t="s">
        <v>3360</v>
      </c>
      <c r="C976" s="140" t="s">
        <v>1744</v>
      </c>
      <c r="D976" s="140" t="s">
        <v>3551</v>
      </c>
      <c r="E976" s="140" t="s">
        <v>3380</v>
      </c>
      <c r="F976" s="140">
        <v>122</v>
      </c>
      <c r="G976" s="140"/>
      <c r="H976" s="140">
        <v>60</v>
      </c>
      <c r="I976" s="141">
        <v>42191</v>
      </c>
      <c r="J976" s="140" t="s">
        <v>36</v>
      </c>
      <c r="K976" s="140" t="s">
        <v>154</v>
      </c>
      <c r="L976" s="140" t="s">
        <v>1687</v>
      </c>
      <c r="M976" s="140" t="s">
        <v>2563</v>
      </c>
      <c r="N976" s="140" t="s">
        <v>2568</v>
      </c>
      <c r="O976" s="140" t="s">
        <v>2734</v>
      </c>
      <c r="P976" s="140" t="s">
        <v>2782</v>
      </c>
      <c r="Q976" s="140" t="s">
        <v>2392</v>
      </c>
      <c r="R976" s="140" t="s">
        <v>2713</v>
      </c>
      <c r="S976" s="140">
        <v>6.7199999999999996E-2</v>
      </c>
      <c r="T976" s="140">
        <v>3.5361290322580646E-2</v>
      </c>
      <c r="U976" s="140">
        <f t="shared" si="36"/>
        <v>3.183870967741935E-2</v>
      </c>
      <c r="V976" s="140">
        <v>5.649</v>
      </c>
      <c r="W976" s="140">
        <f>9.481+9.424</f>
        <v>18.905000000000001</v>
      </c>
      <c r="X976" s="149">
        <f t="shared" si="35"/>
        <v>106.79434500000001</v>
      </c>
      <c r="Y976" s="149"/>
    </row>
    <row r="977" spans="1:25" ht="16">
      <c r="A977" s="117" t="s">
        <v>3570</v>
      </c>
      <c r="B977" s="139" t="s">
        <v>3361</v>
      </c>
      <c r="C977" s="140" t="s">
        <v>1744</v>
      </c>
      <c r="D977" s="140" t="s">
        <v>3551</v>
      </c>
      <c r="E977" s="140" t="s">
        <v>3380</v>
      </c>
      <c r="F977" s="140">
        <v>123</v>
      </c>
      <c r="G977" s="140"/>
      <c r="H977" s="140">
        <v>60</v>
      </c>
      <c r="I977" s="141">
        <v>42192</v>
      </c>
      <c r="J977" s="140" t="s">
        <v>36</v>
      </c>
      <c r="K977" s="140" t="s">
        <v>154</v>
      </c>
      <c r="L977" s="140" t="s">
        <v>1687</v>
      </c>
      <c r="M977" s="140" t="s">
        <v>2563</v>
      </c>
      <c r="N977" s="140" t="s">
        <v>2568</v>
      </c>
      <c r="O977" s="140" t="s">
        <v>2734</v>
      </c>
      <c r="P977" s="140" t="s">
        <v>2782</v>
      </c>
      <c r="Q977" s="140" t="s">
        <v>2392</v>
      </c>
      <c r="R977" s="140" t="s">
        <v>2713</v>
      </c>
      <c r="S977" s="140">
        <v>6.5299999999999997E-2</v>
      </c>
      <c r="T977" s="140">
        <v>3.5361290322580646E-2</v>
      </c>
      <c r="U977" s="140">
        <f t="shared" si="36"/>
        <v>2.9938709677419351E-2</v>
      </c>
      <c r="V977" s="140">
        <v>5.2530000000000001</v>
      </c>
      <c r="W977" s="140">
        <f>8.985+10.839</f>
        <v>19.823999999999998</v>
      </c>
      <c r="X977" s="149">
        <f t="shared" si="35"/>
        <v>104.13547199999999</v>
      </c>
      <c r="Y977" s="149"/>
    </row>
    <row r="978" spans="1:25" ht="16">
      <c r="A978" s="117" t="s">
        <v>3570</v>
      </c>
      <c r="B978" s="139" t="s">
        <v>3362</v>
      </c>
      <c r="C978" s="140" t="s">
        <v>1744</v>
      </c>
      <c r="D978" s="140" t="s">
        <v>3551</v>
      </c>
      <c r="E978" s="140" t="s">
        <v>3381</v>
      </c>
      <c r="F978" s="140">
        <v>128</v>
      </c>
      <c r="G978" s="140"/>
      <c r="H978" s="140">
        <v>60</v>
      </c>
      <c r="I978" s="141">
        <v>42193</v>
      </c>
      <c r="J978" s="140" t="s">
        <v>36</v>
      </c>
      <c r="K978" s="140" t="s">
        <v>154</v>
      </c>
      <c r="L978" s="140" t="s">
        <v>1687</v>
      </c>
      <c r="M978" s="140" t="s">
        <v>2563</v>
      </c>
      <c r="N978" s="140" t="s">
        <v>2568</v>
      </c>
      <c r="O978" s="140" t="s">
        <v>2734</v>
      </c>
      <c r="P978" s="140" t="s">
        <v>2782</v>
      </c>
      <c r="Q978" s="140" t="s">
        <v>2392</v>
      </c>
      <c r="R978" s="140" t="s">
        <v>2713</v>
      </c>
      <c r="S978" s="140">
        <v>6.5299999999999997E-2</v>
      </c>
      <c r="T978" s="140">
        <v>3.5361290322580646E-2</v>
      </c>
      <c r="U978" s="140">
        <f t="shared" si="36"/>
        <v>2.9938709677419351E-2</v>
      </c>
      <c r="V978" s="140">
        <v>5.2389999999999999</v>
      </c>
      <c r="W978" s="140">
        <f>8.592+8.61</f>
        <v>17.201999999999998</v>
      </c>
      <c r="X978" s="149">
        <f t="shared" si="35"/>
        <v>90.12127799999999</v>
      </c>
      <c r="Y978" s="149"/>
    </row>
    <row r="979" spans="1:25" ht="16">
      <c r="A979" s="117" t="s">
        <v>3570</v>
      </c>
      <c r="B979" s="139" t="s">
        <v>3363</v>
      </c>
      <c r="C979" s="140" t="s">
        <v>1744</v>
      </c>
      <c r="D979" s="140" t="s">
        <v>3551</v>
      </c>
      <c r="E979" s="140" t="s">
        <v>3382</v>
      </c>
      <c r="F979" s="140">
        <v>141</v>
      </c>
      <c r="G979" s="140"/>
      <c r="H979" s="140">
        <v>60</v>
      </c>
      <c r="I979" s="141">
        <v>42194</v>
      </c>
      <c r="J979" s="140" t="s">
        <v>36</v>
      </c>
      <c r="K979" s="140" t="s">
        <v>154</v>
      </c>
      <c r="L979" s="140" t="s">
        <v>1687</v>
      </c>
      <c r="M979" s="140" t="s">
        <v>2563</v>
      </c>
      <c r="N979" s="140" t="s">
        <v>2568</v>
      </c>
      <c r="O979" s="140" t="s">
        <v>2734</v>
      </c>
      <c r="P979" s="140" t="s">
        <v>2782</v>
      </c>
      <c r="Q979" s="140" t="s">
        <v>2392</v>
      </c>
      <c r="R979" s="140" t="s">
        <v>2713</v>
      </c>
      <c r="S979" s="140">
        <v>6.8400000000000002E-2</v>
      </c>
      <c r="T979" s="140">
        <v>3.5361290322580646E-2</v>
      </c>
      <c r="U979" s="140">
        <f t="shared" si="36"/>
        <v>3.3038709677419356E-2</v>
      </c>
      <c r="V979" s="140">
        <v>5.2960000000000003</v>
      </c>
      <c r="W979" s="140">
        <f>11.713+8.834</f>
        <v>20.546999999999997</v>
      </c>
      <c r="X979" s="149">
        <f t="shared" si="35"/>
        <v>108.81691199999999</v>
      </c>
      <c r="Y979" s="149"/>
    </row>
    <row r="980" spans="1:25" ht="16">
      <c r="A980" s="117" t="s">
        <v>3570</v>
      </c>
      <c r="B980" s="139" t="s">
        <v>3364</v>
      </c>
      <c r="C980" s="140" t="s">
        <v>1744</v>
      </c>
      <c r="D980" s="140" t="s">
        <v>3551</v>
      </c>
      <c r="E980" s="140" t="s">
        <v>3383</v>
      </c>
      <c r="F980" s="140">
        <v>142</v>
      </c>
      <c r="G980" s="140"/>
      <c r="H980" s="140">
        <v>60</v>
      </c>
      <c r="I980" s="141">
        <v>42195</v>
      </c>
      <c r="J980" s="140" t="s">
        <v>36</v>
      </c>
      <c r="K980" s="140" t="s">
        <v>154</v>
      </c>
      <c r="L980" s="140" t="s">
        <v>1687</v>
      </c>
      <c r="M980" s="140" t="s">
        <v>2563</v>
      </c>
      <c r="N980" s="140" t="s">
        <v>2568</v>
      </c>
      <c r="O980" s="140" t="s">
        <v>2734</v>
      </c>
      <c r="P980" s="140" t="s">
        <v>2782</v>
      </c>
      <c r="Q980" s="140" t="s">
        <v>2392</v>
      </c>
      <c r="R980" s="140" t="s">
        <v>2713</v>
      </c>
      <c r="S980" s="140">
        <v>6.9000000000000006E-2</v>
      </c>
      <c r="T980" s="140">
        <v>3.5361290322580646E-2</v>
      </c>
      <c r="U980" s="140">
        <f t="shared" si="36"/>
        <v>3.3638709677419359E-2</v>
      </c>
      <c r="V980" s="140">
        <v>5.7859999999999996</v>
      </c>
      <c r="W980" s="140">
        <f>8.751+9.329</f>
        <v>18.079999999999998</v>
      </c>
      <c r="X980" s="149">
        <f t="shared" si="35"/>
        <v>104.61087999999998</v>
      </c>
      <c r="Y980" s="149"/>
    </row>
    <row r="981" spans="1:25" ht="16">
      <c r="A981" s="117" t="s">
        <v>3570</v>
      </c>
      <c r="B981" s="139" t="s">
        <v>3365</v>
      </c>
      <c r="C981" s="140" t="s">
        <v>1744</v>
      </c>
      <c r="D981" s="140" t="s">
        <v>3551</v>
      </c>
      <c r="E981" s="140" t="s">
        <v>3384</v>
      </c>
      <c r="F981" s="140">
        <v>75</v>
      </c>
      <c r="G981" s="140"/>
      <c r="H981" s="140">
        <v>60</v>
      </c>
      <c r="I981" s="141">
        <v>42196</v>
      </c>
      <c r="J981" s="140" t="s">
        <v>36</v>
      </c>
      <c r="K981" s="140" t="s">
        <v>154</v>
      </c>
      <c r="L981" s="140" t="s">
        <v>1687</v>
      </c>
      <c r="M981" s="140" t="s">
        <v>2563</v>
      </c>
      <c r="N981" s="140" t="s">
        <v>2568</v>
      </c>
      <c r="O981" s="140" t="s">
        <v>2734</v>
      </c>
      <c r="P981" s="140" t="s">
        <v>2782</v>
      </c>
      <c r="Q981" s="140" t="s">
        <v>2392</v>
      </c>
      <c r="R981" s="140" t="s">
        <v>2713</v>
      </c>
      <c r="S981" s="140">
        <v>6.6199999999999995E-2</v>
      </c>
      <c r="T981" s="140">
        <v>3.5361290322580646E-2</v>
      </c>
      <c r="U981" s="140">
        <f t="shared" si="36"/>
        <v>3.0838709677419349E-2</v>
      </c>
      <c r="V981" s="140">
        <v>5.3979999999999997</v>
      </c>
      <c r="W981" s="140">
        <f>9.149+8.966</f>
        <v>18.114999999999998</v>
      </c>
      <c r="X981" s="149">
        <f t="shared" si="35"/>
        <v>97.78476999999998</v>
      </c>
      <c r="Y981" s="149"/>
    </row>
    <row r="982" spans="1:25" ht="16">
      <c r="A982" s="117" t="s">
        <v>3570</v>
      </c>
      <c r="B982" s="139" t="s">
        <v>3366</v>
      </c>
      <c r="C982" s="140" t="s">
        <v>1744</v>
      </c>
      <c r="D982" s="140" t="s">
        <v>3551</v>
      </c>
      <c r="E982" s="140" t="s">
        <v>3385</v>
      </c>
      <c r="F982" s="140">
        <v>165</v>
      </c>
      <c r="G982" s="140"/>
      <c r="H982" s="140">
        <v>60</v>
      </c>
      <c r="I982" s="141">
        <v>42197</v>
      </c>
      <c r="J982" s="140" t="s">
        <v>36</v>
      </c>
      <c r="K982" s="140" t="s">
        <v>154</v>
      </c>
      <c r="L982" s="140" t="s">
        <v>1687</v>
      </c>
      <c r="M982" s="140" t="s">
        <v>2563</v>
      </c>
      <c r="N982" s="140" t="s">
        <v>2568</v>
      </c>
      <c r="O982" s="140" t="s">
        <v>2734</v>
      </c>
      <c r="P982" s="140" t="s">
        <v>2782</v>
      </c>
      <c r="Q982" s="140" t="s">
        <v>2392</v>
      </c>
      <c r="R982" s="140" t="s">
        <v>2713</v>
      </c>
      <c r="S982" s="140">
        <v>6.6400000000000001E-2</v>
      </c>
      <c r="T982" s="140">
        <v>3.5361290322580646E-2</v>
      </c>
      <c r="U982" s="140">
        <f t="shared" si="36"/>
        <v>3.1038709677419354E-2</v>
      </c>
      <c r="V982" s="140">
        <v>5.3929999999999998</v>
      </c>
      <c r="W982" s="140">
        <f>8.942+9.101</f>
        <v>18.042999999999999</v>
      </c>
      <c r="X982" s="149">
        <f t="shared" si="35"/>
        <v>97.305898999999997</v>
      </c>
      <c r="Y982" s="149"/>
    </row>
    <row r="983" spans="1:25" ht="16">
      <c r="A983" s="117" t="s">
        <v>3570</v>
      </c>
      <c r="B983" s="139" t="s">
        <v>3367</v>
      </c>
      <c r="C983" s="140" t="s">
        <v>1744</v>
      </c>
      <c r="D983" s="140" t="s">
        <v>3551</v>
      </c>
      <c r="E983" s="140" t="s">
        <v>3385</v>
      </c>
      <c r="F983" s="140">
        <v>166</v>
      </c>
      <c r="G983" s="140"/>
      <c r="H983" s="140">
        <v>60</v>
      </c>
      <c r="I983" s="141">
        <v>42198</v>
      </c>
      <c r="J983" s="140" t="s">
        <v>36</v>
      </c>
      <c r="K983" s="140" t="s">
        <v>154</v>
      </c>
      <c r="L983" s="140" t="s">
        <v>1687</v>
      </c>
      <c r="M983" s="140" t="s">
        <v>2563</v>
      </c>
      <c r="N983" s="140" t="s">
        <v>2568</v>
      </c>
      <c r="O983" s="140" t="s">
        <v>2734</v>
      </c>
      <c r="P983" s="140" t="s">
        <v>2782</v>
      </c>
      <c r="Q983" s="140" t="s">
        <v>2392</v>
      </c>
      <c r="R983" s="140" t="s">
        <v>2713</v>
      </c>
      <c r="S983" s="140">
        <v>6.3100000000000003E-2</v>
      </c>
      <c r="T983" s="140">
        <v>3.5361290322580646E-2</v>
      </c>
      <c r="U983" s="140">
        <f t="shared" si="36"/>
        <v>2.7738709677419357E-2</v>
      </c>
      <c r="V983" s="140">
        <v>5.3230000000000004</v>
      </c>
      <c r="W983" s="140">
        <f>8.96+9.813</f>
        <v>18.773000000000003</v>
      </c>
      <c r="X983" s="149">
        <f t="shared" si="35"/>
        <v>99.928679000000031</v>
      </c>
      <c r="Y983" s="149"/>
    </row>
    <row r="984" spans="1:25" ht="16">
      <c r="A984" s="117" t="s">
        <v>3570</v>
      </c>
      <c r="B984" s="139" t="s">
        <v>3368</v>
      </c>
      <c r="C984" s="140" t="s">
        <v>1744</v>
      </c>
      <c r="D984" s="140" t="s">
        <v>3551</v>
      </c>
      <c r="E984" s="140" t="s">
        <v>3385</v>
      </c>
      <c r="F984" s="140">
        <v>167</v>
      </c>
      <c r="G984" s="140"/>
      <c r="H984" s="140">
        <v>60</v>
      </c>
      <c r="I984" s="141">
        <v>42199</v>
      </c>
      <c r="J984" s="140" t="s">
        <v>36</v>
      </c>
      <c r="K984" s="140" t="s">
        <v>154</v>
      </c>
      <c r="L984" s="140" t="s">
        <v>1687</v>
      </c>
      <c r="M984" s="140" t="s">
        <v>2563</v>
      </c>
      <c r="N984" s="140" t="s">
        <v>2568</v>
      </c>
      <c r="O984" s="140" t="s">
        <v>2734</v>
      </c>
      <c r="P984" s="140" t="s">
        <v>2782</v>
      </c>
      <c r="Q984" s="140" t="s">
        <v>2392</v>
      </c>
      <c r="R984" s="140" t="s">
        <v>2713</v>
      </c>
      <c r="S984" s="140">
        <v>6.4500000000000002E-2</v>
      </c>
      <c r="T984" s="140">
        <v>3.5361290322580646E-2</v>
      </c>
      <c r="U984" s="140">
        <f t="shared" si="36"/>
        <v>2.9138709677419355E-2</v>
      </c>
      <c r="V984" s="140">
        <v>5.1449999999999996</v>
      </c>
      <c r="W984" s="140">
        <f>9.093+10.812</f>
        <v>19.905000000000001</v>
      </c>
      <c r="X984" s="149">
        <f t="shared" si="35"/>
        <v>102.411225</v>
      </c>
      <c r="Y984" s="149"/>
    </row>
    <row r="985" spans="1:25" ht="16">
      <c r="A985" s="117" t="s">
        <v>3570</v>
      </c>
      <c r="B985" s="139" t="s">
        <v>3369</v>
      </c>
      <c r="C985" s="140" t="s">
        <v>1744</v>
      </c>
      <c r="D985" s="140" t="s">
        <v>3551</v>
      </c>
      <c r="E985" s="140" t="s">
        <v>3385</v>
      </c>
      <c r="F985" s="140">
        <v>168</v>
      </c>
      <c r="G985" s="140"/>
      <c r="H985" s="140">
        <v>60</v>
      </c>
      <c r="I985" s="141">
        <v>42200</v>
      </c>
      <c r="J985" s="140" t="s">
        <v>36</v>
      </c>
      <c r="K985" s="140" t="s">
        <v>154</v>
      </c>
      <c r="L985" s="140" t="s">
        <v>1687</v>
      </c>
      <c r="M985" s="140" t="s">
        <v>2563</v>
      </c>
      <c r="N985" s="140" t="s">
        <v>2568</v>
      </c>
      <c r="O985" s="140" t="s">
        <v>2734</v>
      </c>
      <c r="P985" s="140" t="s">
        <v>2782</v>
      </c>
      <c r="Q985" s="140" t="s">
        <v>2392</v>
      </c>
      <c r="R985" s="140" t="s">
        <v>2713</v>
      </c>
      <c r="S985" s="140">
        <v>6.6699999999999995E-2</v>
      </c>
      <c r="T985" s="140">
        <v>3.5361290322580646E-2</v>
      </c>
      <c r="U985" s="140">
        <f t="shared" si="36"/>
        <v>3.1338709677419349E-2</v>
      </c>
      <c r="V985" s="140">
        <v>5.274</v>
      </c>
      <c r="W985" s="140">
        <f>8.884+8.359</f>
        <v>17.243000000000002</v>
      </c>
      <c r="X985" s="149">
        <f t="shared" si="35"/>
        <v>90.939582000000016</v>
      </c>
      <c r="Y985" s="149"/>
    </row>
    <row r="986" spans="1:25" ht="16">
      <c r="A986" s="117" t="s">
        <v>3570</v>
      </c>
      <c r="B986" s="139" t="s">
        <v>3370</v>
      </c>
      <c r="C986" s="140" t="s">
        <v>1744</v>
      </c>
      <c r="D986" s="140" t="s">
        <v>3551</v>
      </c>
      <c r="E986" s="140" t="s">
        <v>3386</v>
      </c>
      <c r="F986" s="140">
        <v>132</v>
      </c>
      <c r="G986" s="140"/>
      <c r="H986" s="140">
        <v>60</v>
      </c>
      <c r="I986" s="141">
        <v>42201</v>
      </c>
      <c r="J986" s="140" t="s">
        <v>36</v>
      </c>
      <c r="K986" s="140" t="s">
        <v>154</v>
      </c>
      <c r="L986" s="140" t="s">
        <v>1687</v>
      </c>
      <c r="M986" s="140" t="s">
        <v>2563</v>
      </c>
      <c r="N986" s="140" t="s">
        <v>2568</v>
      </c>
      <c r="O986" s="140" t="s">
        <v>2734</v>
      </c>
      <c r="P986" s="140" t="s">
        <v>2782</v>
      </c>
      <c r="Q986" s="140" t="s">
        <v>2392</v>
      </c>
      <c r="R986" s="140" t="s">
        <v>2713</v>
      </c>
      <c r="S986" s="140">
        <v>5.7799999999999997E-2</v>
      </c>
      <c r="T986" s="140">
        <v>3.5361290322580646E-2</v>
      </c>
      <c r="U986" s="140">
        <f t="shared" si="36"/>
        <v>2.2438709677419351E-2</v>
      </c>
      <c r="V986" s="140">
        <v>5.0380000000000003</v>
      </c>
      <c r="W986" s="140">
        <f>7.807+8.504</f>
        <v>16.311</v>
      </c>
      <c r="X986" s="149">
        <f t="shared" si="35"/>
        <v>82.174818000000002</v>
      </c>
      <c r="Y986" s="149"/>
    </row>
    <row r="987" spans="1:25" ht="16">
      <c r="A987" s="117" t="s">
        <v>3570</v>
      </c>
      <c r="B987" s="139" t="s">
        <v>3371</v>
      </c>
      <c r="C987" s="140" t="s">
        <v>1744</v>
      </c>
      <c r="D987" s="140" t="s">
        <v>3551</v>
      </c>
      <c r="E987" s="140" t="s">
        <v>3386</v>
      </c>
      <c r="F987" s="140">
        <v>133</v>
      </c>
      <c r="G987" s="140"/>
      <c r="H987" s="140">
        <v>60</v>
      </c>
      <c r="I987" s="141">
        <v>42202</v>
      </c>
      <c r="J987" s="140" t="s">
        <v>36</v>
      </c>
      <c r="K987" s="140" t="s">
        <v>154</v>
      </c>
      <c r="L987" s="140" t="s">
        <v>1687</v>
      </c>
      <c r="M987" s="140" t="s">
        <v>2563</v>
      </c>
      <c r="N987" s="140" t="s">
        <v>2568</v>
      </c>
      <c r="O987" s="140" t="s">
        <v>2734</v>
      </c>
      <c r="P987" s="140" t="s">
        <v>2782</v>
      </c>
      <c r="Q987" s="140" t="s">
        <v>2392</v>
      </c>
      <c r="R987" s="140" t="s">
        <v>2713</v>
      </c>
      <c r="S987" s="140">
        <v>6.5100000000000005E-2</v>
      </c>
      <c r="T987" s="140">
        <v>3.5361290322580646E-2</v>
      </c>
      <c r="U987" s="140">
        <f t="shared" si="36"/>
        <v>2.9738709677419359E-2</v>
      </c>
      <c r="V987" s="140">
        <v>5.5410000000000004</v>
      </c>
      <c r="W987" s="140">
        <f>9.4+8.857</f>
        <v>18.256999999999998</v>
      </c>
      <c r="X987" s="149">
        <f t="shared" si="35"/>
        <v>101.162037</v>
      </c>
      <c r="Y987" s="149"/>
    </row>
    <row r="988" spans="1:25" ht="16">
      <c r="A988" s="117" t="s">
        <v>3570</v>
      </c>
      <c r="B988" s="139" t="s">
        <v>3372</v>
      </c>
      <c r="C988" s="140" t="s">
        <v>1744</v>
      </c>
      <c r="D988" s="140" t="s">
        <v>3551</v>
      </c>
      <c r="E988" s="140" t="s">
        <v>3386</v>
      </c>
      <c r="F988" s="140">
        <v>137</v>
      </c>
      <c r="G988" s="140"/>
      <c r="H988" s="140">
        <v>60</v>
      </c>
      <c r="I988" s="141">
        <v>42203</v>
      </c>
      <c r="J988" s="140" t="s">
        <v>36</v>
      </c>
      <c r="K988" s="140" t="s">
        <v>154</v>
      </c>
      <c r="L988" s="140" t="s">
        <v>1687</v>
      </c>
      <c r="M988" s="140" t="s">
        <v>2563</v>
      </c>
      <c r="N988" s="140" t="s">
        <v>2568</v>
      </c>
      <c r="O988" s="140" t="s">
        <v>2734</v>
      </c>
      <c r="P988" s="140" t="s">
        <v>2782</v>
      </c>
      <c r="Q988" s="140" t="s">
        <v>2392</v>
      </c>
      <c r="R988" s="140" t="s">
        <v>2713</v>
      </c>
      <c r="S988" s="140">
        <v>6.0100000000000001E-2</v>
      </c>
      <c r="T988" s="140">
        <v>3.5361290322580646E-2</v>
      </c>
      <c r="U988" s="140">
        <f t="shared" si="36"/>
        <v>2.4738709677419354E-2</v>
      </c>
      <c r="V988" s="140">
        <v>5.21</v>
      </c>
      <c r="W988" s="140">
        <f>8.173+8.959</f>
        <v>17.131999999999998</v>
      </c>
      <c r="X988" s="149">
        <f t="shared" si="35"/>
        <v>89.257719999999992</v>
      </c>
      <c r="Y988" s="149"/>
    </row>
    <row r="989" spans="1:25" ht="16">
      <c r="A989" s="117" t="s">
        <v>3570</v>
      </c>
      <c r="B989" s="139" t="s">
        <v>3373</v>
      </c>
      <c r="C989" s="140" t="s">
        <v>1744</v>
      </c>
      <c r="D989" s="140" t="s">
        <v>3551</v>
      </c>
      <c r="E989" s="140" t="s">
        <v>3386</v>
      </c>
      <c r="F989" s="140">
        <v>136</v>
      </c>
      <c r="G989" s="140"/>
      <c r="H989" s="140">
        <v>60</v>
      </c>
      <c r="I989" s="141">
        <v>42204</v>
      </c>
      <c r="J989" s="140" t="s">
        <v>36</v>
      </c>
      <c r="K989" s="140" t="s">
        <v>154</v>
      </c>
      <c r="L989" s="140" t="s">
        <v>1687</v>
      </c>
      <c r="M989" s="140" t="s">
        <v>2563</v>
      </c>
      <c r="N989" s="140" t="s">
        <v>2568</v>
      </c>
      <c r="O989" s="140" t="s">
        <v>2734</v>
      </c>
      <c r="P989" s="140" t="s">
        <v>2782</v>
      </c>
      <c r="Q989" s="140" t="s">
        <v>2392</v>
      </c>
      <c r="R989" s="140" t="s">
        <v>2713</v>
      </c>
      <c r="S989" s="140">
        <v>6.4600000000000005E-2</v>
      </c>
      <c r="T989" s="140">
        <v>3.5361290322580646E-2</v>
      </c>
      <c r="U989" s="140">
        <f t="shared" si="36"/>
        <v>2.9238709677419358E-2</v>
      </c>
      <c r="V989" s="140">
        <v>5.2510000000000003</v>
      </c>
      <c r="W989" s="140">
        <f>9.083+9.118</f>
        <v>18.201000000000001</v>
      </c>
      <c r="X989" s="149">
        <f t="shared" si="35"/>
        <v>95.573451000000006</v>
      </c>
      <c r="Y989" s="149"/>
    </row>
    <row r="990" spans="1:25" ht="16">
      <c r="A990" s="117" t="s">
        <v>3570</v>
      </c>
      <c r="B990" s="139" t="s">
        <v>3374</v>
      </c>
      <c r="C990" s="140" t="s">
        <v>1744</v>
      </c>
      <c r="D990" s="140" t="s">
        <v>3551</v>
      </c>
      <c r="E990" s="140" t="s">
        <v>3386</v>
      </c>
      <c r="F990" s="140">
        <v>135</v>
      </c>
      <c r="G990" s="140"/>
      <c r="H990" s="140">
        <v>60</v>
      </c>
      <c r="I990" s="141">
        <v>42205</v>
      </c>
      <c r="J990" s="140" t="s">
        <v>36</v>
      </c>
      <c r="K990" s="140" t="s">
        <v>154</v>
      </c>
      <c r="L990" s="140" t="s">
        <v>1687</v>
      </c>
      <c r="M990" s="140" t="s">
        <v>2563</v>
      </c>
      <c r="N990" s="140" t="s">
        <v>2568</v>
      </c>
      <c r="O990" s="140" t="s">
        <v>2734</v>
      </c>
      <c r="P990" s="140" t="s">
        <v>2782</v>
      </c>
      <c r="Q990" s="140" t="s">
        <v>2392</v>
      </c>
      <c r="R990" s="140" t="s">
        <v>2713</v>
      </c>
      <c r="S990" s="140">
        <v>6.9000000000000006E-2</v>
      </c>
      <c r="T990" s="140">
        <v>3.5361290322580646E-2</v>
      </c>
      <c r="U990" s="140">
        <f t="shared" si="36"/>
        <v>3.3638709677419359E-2</v>
      </c>
      <c r="V990" s="140">
        <v>5.5330000000000004</v>
      </c>
      <c r="W990" s="140">
        <f>10.148+9.206</f>
        <v>19.353999999999999</v>
      </c>
      <c r="X990" s="149">
        <f t="shared" si="35"/>
        <v>107.08568200000001</v>
      </c>
      <c r="Y990" s="149"/>
    </row>
    <row r="991" spans="1:25" ht="16">
      <c r="A991" s="117" t="s">
        <v>3570</v>
      </c>
      <c r="B991" s="139" t="s">
        <v>3375</v>
      </c>
      <c r="C991" s="140" t="s">
        <v>1744</v>
      </c>
      <c r="D991" s="140" t="s">
        <v>3551</v>
      </c>
      <c r="E991" s="140" t="s">
        <v>3386</v>
      </c>
      <c r="F991" s="140">
        <v>134</v>
      </c>
      <c r="G991" s="140"/>
      <c r="H991" s="140">
        <v>60</v>
      </c>
      <c r="I991" s="141">
        <v>42206</v>
      </c>
      <c r="J991" s="140" t="s">
        <v>36</v>
      </c>
      <c r="K991" s="140" t="s">
        <v>154</v>
      </c>
      <c r="L991" s="140" t="s">
        <v>1687</v>
      </c>
      <c r="M991" s="140" t="s">
        <v>2563</v>
      </c>
      <c r="N991" s="140" t="s">
        <v>2568</v>
      </c>
      <c r="O991" s="140" t="s">
        <v>2734</v>
      </c>
      <c r="P991" s="140" t="s">
        <v>2782</v>
      </c>
      <c r="Q991" s="140" t="s">
        <v>2392</v>
      </c>
      <c r="R991" s="140" t="s">
        <v>2713</v>
      </c>
      <c r="S991" s="140">
        <v>6.5199999999999994E-2</v>
      </c>
      <c r="T991" s="140">
        <v>3.5361290322580646E-2</v>
      </c>
      <c r="U991" s="140">
        <f t="shared" si="36"/>
        <v>2.9838709677419348E-2</v>
      </c>
      <c r="V991" s="140">
        <v>5.6890000000000001</v>
      </c>
      <c r="W991" s="140">
        <f>8.717+8.93</f>
        <v>17.646999999999998</v>
      </c>
      <c r="X991" s="149">
        <f t="shared" si="35"/>
        <v>100.393783</v>
      </c>
      <c r="Y991" s="149"/>
    </row>
    <row r="992" spans="1:25" ht="16">
      <c r="A992" s="117" t="s">
        <v>3570</v>
      </c>
      <c r="B992" s="139" t="s">
        <v>3376</v>
      </c>
      <c r="C992" s="140" t="s">
        <v>1744</v>
      </c>
      <c r="D992" s="140" t="s">
        <v>3551</v>
      </c>
      <c r="E992" s="140" t="s">
        <v>3196</v>
      </c>
      <c r="F992" s="140">
        <v>73</v>
      </c>
      <c r="G992" s="140"/>
      <c r="H992" s="140">
        <v>60</v>
      </c>
      <c r="I992" s="141">
        <v>42207</v>
      </c>
      <c r="J992" s="140" t="s">
        <v>36</v>
      </c>
      <c r="K992" s="140" t="s">
        <v>154</v>
      </c>
      <c r="L992" s="140" t="s">
        <v>1687</v>
      </c>
      <c r="M992" s="140" t="s">
        <v>2563</v>
      </c>
      <c r="N992" s="140" t="s">
        <v>2568</v>
      </c>
      <c r="O992" s="140" t="s">
        <v>2734</v>
      </c>
      <c r="P992" s="140" t="s">
        <v>2782</v>
      </c>
      <c r="Q992" s="140" t="s">
        <v>2392</v>
      </c>
      <c r="R992" s="140" t="s">
        <v>2713</v>
      </c>
      <c r="S992" s="140">
        <v>6.6000000000000003E-2</v>
      </c>
      <c r="T992" s="140">
        <v>3.5361290322580646E-2</v>
      </c>
      <c r="U992" s="140">
        <f t="shared" si="36"/>
        <v>3.0638709677419357E-2</v>
      </c>
      <c r="V992" s="140">
        <v>5.556</v>
      </c>
      <c r="W992" s="140">
        <f>10.261+8.5</f>
        <v>18.760999999999999</v>
      </c>
      <c r="X992" s="149">
        <f t="shared" si="35"/>
        <v>104.236116</v>
      </c>
      <c r="Y992" s="149"/>
    </row>
    <row r="993" spans="1:25" ht="16">
      <c r="A993" s="117" t="s">
        <v>3570</v>
      </c>
      <c r="B993" s="139" t="s">
        <v>3377</v>
      </c>
      <c r="C993" s="140" t="s">
        <v>1744</v>
      </c>
      <c r="D993" s="140" t="s">
        <v>3551</v>
      </c>
      <c r="E993" s="140" t="s">
        <v>3254</v>
      </c>
      <c r="F993" s="140">
        <v>54</v>
      </c>
      <c r="G993" s="140"/>
      <c r="H993" s="140">
        <v>60</v>
      </c>
      <c r="I993" s="141">
        <v>42208</v>
      </c>
      <c r="J993" s="140" t="s">
        <v>36</v>
      </c>
      <c r="K993" s="140" t="s">
        <v>154</v>
      </c>
      <c r="L993" s="140" t="s">
        <v>1687</v>
      </c>
      <c r="M993" s="140" t="s">
        <v>2563</v>
      </c>
      <c r="N993" s="140" t="s">
        <v>2568</v>
      </c>
      <c r="O993" s="140" t="s">
        <v>2734</v>
      </c>
      <c r="P993" s="140" t="s">
        <v>2782</v>
      </c>
      <c r="Q993" s="140" t="s">
        <v>2392</v>
      </c>
      <c r="R993" s="140" t="s">
        <v>2713</v>
      </c>
      <c r="S993" s="140">
        <v>7.0000000000000007E-2</v>
      </c>
      <c r="T993" s="140">
        <v>3.5361290322580646E-2</v>
      </c>
      <c r="U993" s="140">
        <f t="shared" si="36"/>
        <v>3.463870967741936E-2</v>
      </c>
      <c r="V993" s="140">
        <v>5.7069999999999999</v>
      </c>
      <c r="W993" s="140">
        <f>9.4+9.255</f>
        <v>18.655000000000001</v>
      </c>
      <c r="X993" s="149">
        <f t="shared" si="35"/>
        <v>106.464085</v>
      </c>
      <c r="Y993" s="149"/>
    </row>
    <row r="994" spans="1:25" ht="16">
      <c r="A994" s="117" t="s">
        <v>3570</v>
      </c>
      <c r="B994" s="139" t="s">
        <v>3378</v>
      </c>
      <c r="C994" s="140" t="s">
        <v>1744</v>
      </c>
      <c r="D994" s="140" t="s">
        <v>3551</v>
      </c>
      <c r="E994" s="140" t="s">
        <v>3387</v>
      </c>
      <c r="F994" s="140">
        <v>56</v>
      </c>
      <c r="G994" s="140"/>
      <c r="H994" s="140">
        <v>60</v>
      </c>
      <c r="I994" s="141">
        <v>42209</v>
      </c>
      <c r="J994" s="140" t="s">
        <v>36</v>
      </c>
      <c r="K994" s="140" t="s">
        <v>154</v>
      </c>
      <c r="L994" s="140" t="s">
        <v>1687</v>
      </c>
      <c r="M994" s="140" t="s">
        <v>2563</v>
      </c>
      <c r="N994" s="140" t="s">
        <v>2568</v>
      </c>
      <c r="O994" s="140" t="s">
        <v>2734</v>
      </c>
      <c r="P994" s="140" t="s">
        <v>2782</v>
      </c>
      <c r="Q994" s="140" t="s">
        <v>2392</v>
      </c>
      <c r="R994" s="140" t="s">
        <v>2713</v>
      </c>
      <c r="S994" s="140">
        <v>6.4000000000000001E-2</v>
      </c>
      <c r="T994" s="140">
        <v>3.5361290322580646E-2</v>
      </c>
      <c r="U994" s="140">
        <f t="shared" si="36"/>
        <v>2.8638709677419355E-2</v>
      </c>
      <c r="V994" s="140">
        <v>5.54</v>
      </c>
      <c r="W994" s="140">
        <f>9.13+9.018</f>
        <v>18.148000000000003</v>
      </c>
      <c r="X994" s="149">
        <f t="shared" si="35"/>
        <v>100.53992000000002</v>
      </c>
      <c r="Y994" s="149"/>
    </row>
    <row r="995" spans="1:25" ht="16">
      <c r="A995" s="117" t="s">
        <v>3570</v>
      </c>
      <c r="B995" s="139" t="s">
        <v>3379</v>
      </c>
      <c r="C995" s="140" t="s">
        <v>1744</v>
      </c>
      <c r="D995" s="140" t="s">
        <v>3551</v>
      </c>
      <c r="E995" s="140" t="s">
        <v>3387</v>
      </c>
      <c r="F995" s="140">
        <v>60</v>
      </c>
      <c r="G995" s="140"/>
      <c r="H995" s="140">
        <v>60</v>
      </c>
      <c r="I995" s="141">
        <v>42210</v>
      </c>
      <c r="J995" s="140" t="s">
        <v>36</v>
      </c>
      <c r="K995" s="140" t="s">
        <v>154</v>
      </c>
      <c r="L995" s="140" t="s">
        <v>1687</v>
      </c>
      <c r="M995" s="140" t="s">
        <v>2563</v>
      </c>
      <c r="N995" s="140" t="s">
        <v>2568</v>
      </c>
      <c r="O995" s="140" t="s">
        <v>2734</v>
      </c>
      <c r="P995" s="140" t="s">
        <v>2782</v>
      </c>
      <c r="Q995" s="140" t="s">
        <v>2392</v>
      </c>
      <c r="R995" s="140" t="s">
        <v>2713</v>
      </c>
      <c r="S995" s="140">
        <v>6.3E-2</v>
      </c>
      <c r="T995" s="140">
        <v>3.5361290322580646E-2</v>
      </c>
      <c r="U995" s="140">
        <f t="shared" si="36"/>
        <v>2.7638709677419354E-2</v>
      </c>
      <c r="V995" s="140">
        <v>5.4260000000000002</v>
      </c>
      <c r="W995" s="140">
        <f>8.969+8.435</f>
        <v>17.404</v>
      </c>
      <c r="X995" s="149">
        <f t="shared" si="35"/>
        <v>94.434104000000005</v>
      </c>
      <c r="Y995" s="149"/>
    </row>
    <row r="996" spans="1:25" ht="16">
      <c r="A996" s="117" t="s">
        <v>3570</v>
      </c>
      <c r="B996" s="139" t="s">
        <v>3388</v>
      </c>
      <c r="C996" s="140" t="s">
        <v>1744</v>
      </c>
      <c r="D996" s="140" t="s">
        <v>3551</v>
      </c>
      <c r="E996" s="140" t="s">
        <v>3411</v>
      </c>
      <c r="F996" s="140">
        <v>497</v>
      </c>
      <c r="G996" s="140"/>
      <c r="H996" s="140">
        <v>60</v>
      </c>
      <c r="I996" s="141">
        <v>42211</v>
      </c>
      <c r="J996" s="140" t="s">
        <v>36</v>
      </c>
      <c r="K996" s="140" t="s">
        <v>154</v>
      </c>
      <c r="L996" s="140" t="s">
        <v>1687</v>
      </c>
      <c r="M996" s="140" t="s">
        <v>2563</v>
      </c>
      <c r="N996" s="140" t="s">
        <v>2575</v>
      </c>
      <c r="O996" s="140" t="s">
        <v>2379</v>
      </c>
      <c r="P996" s="140" t="s">
        <v>2379</v>
      </c>
      <c r="Q996" s="140" t="s">
        <v>2665</v>
      </c>
      <c r="R996" s="140" t="s">
        <v>2713</v>
      </c>
      <c r="S996" s="140">
        <v>6.2300000000000001E-2</v>
      </c>
      <c r="T996" s="140">
        <v>3.5361290322580646E-2</v>
      </c>
      <c r="U996" s="140">
        <f t="shared" si="36"/>
        <v>2.6938709677419355E-2</v>
      </c>
      <c r="V996" s="140">
        <v>4.9359999999999999</v>
      </c>
      <c r="W996" s="140">
        <f>7.761+9.108</f>
        <v>16.869</v>
      </c>
      <c r="X996" s="149">
        <f t="shared" si="35"/>
        <v>83.265383999999997</v>
      </c>
      <c r="Y996" s="149"/>
    </row>
    <row r="997" spans="1:25" ht="16">
      <c r="A997" s="117" t="s">
        <v>3570</v>
      </c>
      <c r="B997" s="139" t="s">
        <v>3389</v>
      </c>
      <c r="C997" s="140" t="s">
        <v>1744</v>
      </c>
      <c r="D997" s="140" t="s">
        <v>3551</v>
      </c>
      <c r="E997" s="140" t="s">
        <v>3412</v>
      </c>
      <c r="F997" s="140" t="s">
        <v>36</v>
      </c>
      <c r="G997" s="140"/>
      <c r="H997" s="140">
        <v>60</v>
      </c>
      <c r="I997" s="141">
        <v>42212</v>
      </c>
      <c r="J997" s="140" t="s">
        <v>36</v>
      </c>
      <c r="K997" s="140" t="s">
        <v>154</v>
      </c>
      <c r="L997" s="140" t="s">
        <v>1687</v>
      </c>
      <c r="M997" s="140" t="s">
        <v>2563</v>
      </c>
      <c r="N997" s="140" t="s">
        <v>2575</v>
      </c>
      <c r="O997" s="140" t="s">
        <v>2379</v>
      </c>
      <c r="P997" s="140" t="s">
        <v>2379</v>
      </c>
      <c r="Q997" s="140" t="s">
        <v>2665</v>
      </c>
      <c r="R997" s="140" t="s">
        <v>2713</v>
      </c>
      <c r="S997" s="140">
        <v>5.8900000000000001E-2</v>
      </c>
      <c r="T997" s="140">
        <v>3.5361290322580646E-2</v>
      </c>
      <c r="U997" s="140">
        <f t="shared" si="36"/>
        <v>2.3538709677419355E-2</v>
      </c>
      <c r="V997" s="140">
        <v>4.5090000000000003</v>
      </c>
      <c r="W997" s="140">
        <f>9.084+6.804</f>
        <v>15.888</v>
      </c>
      <c r="X997" s="149">
        <f t="shared" si="35"/>
        <v>71.638992000000002</v>
      </c>
      <c r="Y997" s="149"/>
    </row>
    <row r="998" spans="1:25" ht="16">
      <c r="A998" s="117" t="s">
        <v>3570</v>
      </c>
      <c r="B998" s="139" t="s">
        <v>3390</v>
      </c>
      <c r="C998" s="140" t="s">
        <v>1744</v>
      </c>
      <c r="D998" s="140" t="s">
        <v>3551</v>
      </c>
      <c r="E998" s="140" t="s">
        <v>3413</v>
      </c>
      <c r="F998" s="140">
        <v>298</v>
      </c>
      <c r="G998" s="140"/>
      <c r="H998" s="140">
        <v>60</v>
      </c>
      <c r="I998" s="141">
        <v>42213</v>
      </c>
      <c r="J998" s="140" t="s">
        <v>36</v>
      </c>
      <c r="K998" s="140" t="s">
        <v>154</v>
      </c>
      <c r="L998" s="140" t="s">
        <v>1687</v>
      </c>
      <c r="M998" s="140" t="s">
        <v>2563</v>
      </c>
      <c r="N998" s="140" t="s">
        <v>2575</v>
      </c>
      <c r="O998" s="140" t="s">
        <v>2379</v>
      </c>
      <c r="P998" s="140" t="s">
        <v>2379</v>
      </c>
      <c r="Q998" s="140" t="s">
        <v>2665</v>
      </c>
      <c r="R998" s="140" t="s">
        <v>2713</v>
      </c>
      <c r="S998" s="140">
        <v>5.3999999999999999E-2</v>
      </c>
      <c r="T998" s="140">
        <v>3.5361290322580646E-2</v>
      </c>
      <c r="U998" s="140">
        <f t="shared" si="36"/>
        <v>1.8638709677419353E-2</v>
      </c>
      <c r="V998" s="140">
        <v>4.202</v>
      </c>
      <c r="W998" s="140">
        <f>7.797+6.456</f>
        <v>14.253</v>
      </c>
      <c r="X998" s="149">
        <f t="shared" si="35"/>
        <v>59.891106000000001</v>
      </c>
      <c r="Y998" s="149"/>
    </row>
    <row r="999" spans="1:25" ht="16">
      <c r="A999" s="117" t="s">
        <v>3570</v>
      </c>
      <c r="B999" s="139" t="s">
        <v>3391</v>
      </c>
      <c r="C999" s="140" t="s">
        <v>1744</v>
      </c>
      <c r="D999" s="140" t="s">
        <v>3551</v>
      </c>
      <c r="E999" s="140" t="s">
        <v>3414</v>
      </c>
      <c r="F999" s="140" t="s">
        <v>36</v>
      </c>
      <c r="G999" s="140"/>
      <c r="H999" s="140">
        <v>60</v>
      </c>
      <c r="I999" s="141">
        <v>42214</v>
      </c>
      <c r="J999" s="140" t="s">
        <v>36</v>
      </c>
      <c r="K999" s="140" t="s">
        <v>154</v>
      </c>
      <c r="L999" s="140" t="s">
        <v>2572</v>
      </c>
      <c r="M999" s="140" t="s">
        <v>2407</v>
      </c>
      <c r="N999" s="140" t="s">
        <v>3550</v>
      </c>
      <c r="O999" s="140" t="s">
        <v>3406</v>
      </c>
      <c r="P999" s="140" t="s">
        <v>3406</v>
      </c>
      <c r="Q999" s="140" t="s">
        <v>3407</v>
      </c>
      <c r="R999" s="140" t="s">
        <v>2713</v>
      </c>
      <c r="S999" s="140">
        <v>4.0599999999999997E-2</v>
      </c>
      <c r="T999" s="140">
        <v>3.5361290322580646E-2</v>
      </c>
      <c r="U999" s="140">
        <f t="shared" si="36"/>
        <v>5.2387096774193509E-3</v>
      </c>
      <c r="V999" s="140">
        <v>2.7890000000000001</v>
      </c>
      <c r="W999" s="140">
        <v>11.611000000000001</v>
      </c>
      <c r="X999" s="149">
        <f t="shared" si="35"/>
        <v>32.383079000000002</v>
      </c>
      <c r="Y999" s="149"/>
    </row>
    <row r="1000" spans="1:25" ht="16">
      <c r="A1000" s="117" t="s">
        <v>3570</v>
      </c>
      <c r="B1000" s="139" t="s">
        <v>3392</v>
      </c>
      <c r="C1000" s="140" t="s">
        <v>1744</v>
      </c>
      <c r="D1000" s="140" t="s">
        <v>3551</v>
      </c>
      <c r="E1000" s="140" t="s">
        <v>3415</v>
      </c>
      <c r="F1000" s="140" t="s">
        <v>36</v>
      </c>
      <c r="G1000" s="140"/>
      <c r="H1000" s="140">
        <v>60</v>
      </c>
      <c r="I1000" s="141">
        <v>42215</v>
      </c>
      <c r="J1000" s="140" t="s">
        <v>36</v>
      </c>
      <c r="K1000" s="140" t="s">
        <v>154</v>
      </c>
      <c r="L1000" s="140" t="s">
        <v>2572</v>
      </c>
      <c r="M1000" s="140" t="s">
        <v>2407</v>
      </c>
      <c r="N1000" s="140" t="s">
        <v>3550</v>
      </c>
      <c r="O1000" s="140" t="s">
        <v>3406</v>
      </c>
      <c r="P1000" s="140" t="s">
        <v>3406</v>
      </c>
      <c r="Q1000" s="140" t="s">
        <v>3407</v>
      </c>
      <c r="R1000" s="140" t="s">
        <v>2713</v>
      </c>
      <c r="S1000" s="140">
        <v>4.2799999999999998E-2</v>
      </c>
      <c r="T1000" s="140">
        <v>3.5361290322580646E-2</v>
      </c>
      <c r="U1000" s="140">
        <f t="shared" si="36"/>
        <v>7.4387096774193515E-3</v>
      </c>
      <c r="V1000" s="140">
        <v>3.1230000000000002</v>
      </c>
      <c r="W1000" s="140">
        <f>6.228+5.891</f>
        <v>12.119</v>
      </c>
      <c r="X1000" s="149">
        <f t="shared" si="35"/>
        <v>37.847636999999999</v>
      </c>
      <c r="Y1000" s="149"/>
    </row>
    <row r="1001" spans="1:25" ht="16">
      <c r="A1001" s="117" t="s">
        <v>3570</v>
      </c>
      <c r="B1001" s="139" t="s">
        <v>3393</v>
      </c>
      <c r="C1001" s="140" t="s">
        <v>1744</v>
      </c>
      <c r="D1001" s="140" t="s">
        <v>3551</v>
      </c>
      <c r="E1001" s="140" t="s">
        <v>3416</v>
      </c>
      <c r="F1001" s="140">
        <v>7</v>
      </c>
      <c r="G1001" s="140"/>
      <c r="H1001" s="140">
        <v>60</v>
      </c>
      <c r="I1001" s="141">
        <v>42216</v>
      </c>
      <c r="J1001" s="140" t="s">
        <v>36</v>
      </c>
      <c r="K1001" s="140" t="s">
        <v>154</v>
      </c>
      <c r="L1001" s="140" t="s">
        <v>2569</v>
      </c>
      <c r="M1001" s="140" t="s">
        <v>2570</v>
      </c>
      <c r="N1001" s="140" t="s">
        <v>2571</v>
      </c>
      <c r="O1001" s="140" t="s">
        <v>2369</v>
      </c>
      <c r="P1001" s="140" t="s">
        <v>2737</v>
      </c>
      <c r="Q1001" s="140" t="s">
        <v>2394</v>
      </c>
      <c r="R1001" s="140" t="s">
        <v>2712</v>
      </c>
      <c r="S1001" s="140">
        <v>5.5599999999999997E-2</v>
      </c>
      <c r="T1001" s="140">
        <v>3.5361290322580646E-2</v>
      </c>
      <c r="U1001" s="140">
        <f t="shared" si="36"/>
        <v>2.023870967741935E-2</v>
      </c>
      <c r="V1001" s="140">
        <v>4.6890000000000001</v>
      </c>
      <c r="W1001" s="140">
        <v>15.468</v>
      </c>
      <c r="X1001" s="149">
        <f t="shared" si="35"/>
        <v>72.529452000000006</v>
      </c>
      <c r="Y1001" s="149"/>
    </row>
    <row r="1002" spans="1:25" ht="16">
      <c r="A1002" s="117" t="s">
        <v>3570</v>
      </c>
      <c r="B1002" s="139" t="s">
        <v>3394</v>
      </c>
      <c r="C1002" s="140" t="s">
        <v>1744</v>
      </c>
      <c r="D1002" s="140" t="s">
        <v>3551</v>
      </c>
      <c r="E1002" s="140" t="s">
        <v>3417</v>
      </c>
      <c r="F1002" s="140">
        <v>28</v>
      </c>
      <c r="G1002" s="140"/>
      <c r="H1002" s="140">
        <v>60</v>
      </c>
      <c r="I1002" s="141">
        <v>42217</v>
      </c>
      <c r="J1002" s="140" t="s">
        <v>36</v>
      </c>
      <c r="K1002" s="140" t="s">
        <v>154</v>
      </c>
      <c r="L1002" s="140" t="s">
        <v>2569</v>
      </c>
      <c r="M1002" s="140" t="s">
        <v>2570</v>
      </c>
      <c r="N1002" s="140" t="s">
        <v>2571</v>
      </c>
      <c r="O1002" s="140" t="s">
        <v>2369</v>
      </c>
      <c r="P1002" s="140" t="s">
        <v>2737</v>
      </c>
      <c r="Q1002" s="140" t="s">
        <v>2394</v>
      </c>
      <c r="R1002" s="140" t="s">
        <v>2713</v>
      </c>
      <c r="S1002" s="140">
        <v>6.1499999999999999E-2</v>
      </c>
      <c r="T1002" s="140">
        <v>3.5361290322580646E-2</v>
      </c>
      <c r="U1002" s="140">
        <f t="shared" si="36"/>
        <v>2.6138709677419353E-2</v>
      </c>
      <c r="V1002" s="140">
        <v>5.2729999999999997</v>
      </c>
      <c r="W1002" s="140">
        <f>9.521+8.868</f>
        <v>18.389000000000003</v>
      </c>
      <c r="X1002" s="149">
        <f t="shared" si="35"/>
        <v>96.965197000000003</v>
      </c>
      <c r="Y1002" s="149"/>
    </row>
    <row r="1003" spans="1:25" ht="16">
      <c r="A1003" s="117" t="s">
        <v>3570</v>
      </c>
      <c r="B1003" s="139" t="s">
        <v>3395</v>
      </c>
      <c r="C1003" s="140" t="s">
        <v>1744</v>
      </c>
      <c r="D1003" s="140" t="s">
        <v>3551</v>
      </c>
      <c r="E1003" s="140" t="s">
        <v>3214</v>
      </c>
      <c r="F1003" s="140" t="s">
        <v>36</v>
      </c>
      <c r="G1003" s="140"/>
      <c r="H1003" s="140">
        <v>60</v>
      </c>
      <c r="I1003" s="141">
        <v>42218</v>
      </c>
      <c r="J1003" s="140" t="s">
        <v>36</v>
      </c>
      <c r="K1003" s="140" t="s">
        <v>154</v>
      </c>
      <c r="L1003" s="140" t="s">
        <v>2569</v>
      </c>
      <c r="M1003" s="140" t="s">
        <v>2570</v>
      </c>
      <c r="N1003" s="140" t="s">
        <v>2571</v>
      </c>
      <c r="O1003" s="140" t="s">
        <v>2369</v>
      </c>
      <c r="P1003" s="140" t="s">
        <v>2737</v>
      </c>
      <c r="Q1003" s="140" t="s">
        <v>3408</v>
      </c>
      <c r="R1003" s="140" t="s">
        <v>2713</v>
      </c>
      <c r="S1003" s="140">
        <v>5.0900000000000001E-2</v>
      </c>
      <c r="T1003" s="140">
        <v>3.5361290322580646E-2</v>
      </c>
      <c r="U1003" s="140">
        <f t="shared" si="36"/>
        <v>1.5538709677419354E-2</v>
      </c>
      <c r="V1003" s="140">
        <v>4.0110000000000001</v>
      </c>
      <c r="W1003" s="140">
        <f>7.403+7.395</f>
        <v>14.797999999999998</v>
      </c>
      <c r="X1003" s="149">
        <f t="shared" si="35"/>
        <v>59.354777999999996</v>
      </c>
      <c r="Y1003" s="149"/>
    </row>
    <row r="1004" spans="1:25" ht="16">
      <c r="A1004" s="117" t="s">
        <v>3570</v>
      </c>
      <c r="B1004" s="139" t="s">
        <v>3396</v>
      </c>
      <c r="C1004" s="140" t="s">
        <v>1744</v>
      </c>
      <c r="D1004" s="140" t="s">
        <v>3551</v>
      </c>
      <c r="E1004" s="140" t="s">
        <v>3418</v>
      </c>
      <c r="F1004" s="140" t="s">
        <v>36</v>
      </c>
      <c r="G1004" s="140"/>
      <c r="H1004" s="140">
        <v>60</v>
      </c>
      <c r="I1004" s="141">
        <v>42219</v>
      </c>
      <c r="J1004" s="140" t="s">
        <v>36</v>
      </c>
      <c r="K1004" s="140" t="s">
        <v>154</v>
      </c>
      <c r="L1004" s="140" t="s">
        <v>2569</v>
      </c>
      <c r="M1004" s="140" t="s">
        <v>2570</v>
      </c>
      <c r="N1004" s="140" t="s">
        <v>2571</v>
      </c>
      <c r="O1004" s="140" t="s">
        <v>2369</v>
      </c>
      <c r="P1004" s="140" t="s">
        <v>2737</v>
      </c>
      <c r="Q1004" s="140" t="s">
        <v>3408</v>
      </c>
      <c r="R1004" s="140" t="s">
        <v>2713</v>
      </c>
      <c r="S1004" s="140">
        <v>4.7600000000000003E-2</v>
      </c>
      <c r="T1004" s="140">
        <v>3.5361290322580646E-2</v>
      </c>
      <c r="U1004" s="140">
        <f t="shared" si="36"/>
        <v>1.2238709677419357E-2</v>
      </c>
      <c r="V1004" s="140">
        <v>3.9830000000000001</v>
      </c>
      <c r="W1004" s="140">
        <f>7.165+6.873</f>
        <v>14.038</v>
      </c>
      <c r="X1004" s="149">
        <f t="shared" si="35"/>
        <v>55.913354000000005</v>
      </c>
      <c r="Y1004" s="149"/>
    </row>
    <row r="1005" spans="1:25" ht="16">
      <c r="A1005" s="117" t="s">
        <v>3570</v>
      </c>
      <c r="B1005" s="139" t="s">
        <v>3397</v>
      </c>
      <c r="C1005" s="140" t="s">
        <v>1744</v>
      </c>
      <c r="D1005" s="140" t="s">
        <v>3551</v>
      </c>
      <c r="E1005" s="140" t="s">
        <v>3419</v>
      </c>
      <c r="F1005" s="140">
        <v>47</v>
      </c>
      <c r="G1005" s="140"/>
      <c r="H1005" s="140">
        <v>60</v>
      </c>
      <c r="I1005" s="141">
        <v>42220</v>
      </c>
      <c r="J1005" s="140" t="s">
        <v>36</v>
      </c>
      <c r="K1005" s="140" t="s">
        <v>154</v>
      </c>
      <c r="L1005" s="140" t="s">
        <v>2569</v>
      </c>
      <c r="M1005" s="140" t="s">
        <v>2570</v>
      </c>
      <c r="N1005" s="140" t="s">
        <v>2571</v>
      </c>
      <c r="O1005" s="140" t="s">
        <v>2369</v>
      </c>
      <c r="P1005" s="140" t="s">
        <v>3409</v>
      </c>
      <c r="Q1005" s="140" t="s">
        <v>3422</v>
      </c>
      <c r="R1005" s="140" t="s">
        <v>2713</v>
      </c>
      <c r="S1005" s="140">
        <v>4.58E-2</v>
      </c>
      <c r="T1005" s="140">
        <v>3.5361290322580646E-2</v>
      </c>
      <c r="U1005" s="140">
        <f t="shared" si="36"/>
        <v>1.0438709677419354E-2</v>
      </c>
      <c r="V1005" s="140">
        <v>3.2559999999999998</v>
      </c>
      <c r="W1005" s="140">
        <f>7.542+7.622</f>
        <v>15.164</v>
      </c>
      <c r="X1005" s="149">
        <f t="shared" si="35"/>
        <v>49.373983999999993</v>
      </c>
      <c r="Y1005" s="149"/>
    </row>
    <row r="1006" spans="1:25" ht="16">
      <c r="A1006" s="117" t="s">
        <v>3570</v>
      </c>
      <c r="B1006" s="139" t="s">
        <v>3398</v>
      </c>
      <c r="C1006" s="140" t="s">
        <v>1744</v>
      </c>
      <c r="D1006" s="140" t="s">
        <v>3551</v>
      </c>
      <c r="E1006" s="140" t="s">
        <v>3420</v>
      </c>
      <c r="F1006" s="140">
        <v>68</v>
      </c>
      <c r="G1006" s="140"/>
      <c r="H1006" s="140">
        <v>60</v>
      </c>
      <c r="I1006" s="141">
        <v>42221</v>
      </c>
      <c r="J1006" s="140" t="s">
        <v>36</v>
      </c>
      <c r="K1006" s="140" t="s">
        <v>154</v>
      </c>
      <c r="L1006" s="140" t="s">
        <v>2569</v>
      </c>
      <c r="M1006" s="140" t="s">
        <v>2570</v>
      </c>
      <c r="N1006" s="140" t="s">
        <v>2571</v>
      </c>
      <c r="O1006" s="140" t="s">
        <v>2369</v>
      </c>
      <c r="P1006" s="140" t="s">
        <v>3409</v>
      </c>
      <c r="Q1006" s="140" t="s">
        <v>3422</v>
      </c>
      <c r="R1006" s="140" t="s">
        <v>2712</v>
      </c>
      <c r="S1006" s="140">
        <v>4.5699999999999998E-2</v>
      </c>
      <c r="T1006" s="140">
        <v>3.5361290322580646E-2</v>
      </c>
      <c r="U1006" s="140">
        <f t="shared" si="36"/>
        <v>1.0338709677419351E-2</v>
      </c>
      <c r="V1006" s="140">
        <v>3.5489999999999999</v>
      </c>
      <c r="W1006" s="140">
        <f>11.146+2.812</f>
        <v>13.958</v>
      </c>
      <c r="X1006" s="149">
        <f t="shared" si="35"/>
        <v>49.536941999999996</v>
      </c>
      <c r="Y1006" s="149"/>
    </row>
    <row r="1007" spans="1:25" ht="16">
      <c r="A1007" s="117" t="s">
        <v>3570</v>
      </c>
      <c r="B1007" s="139" t="s">
        <v>3399</v>
      </c>
      <c r="C1007" s="140" t="s">
        <v>1744</v>
      </c>
      <c r="D1007" s="140" t="s">
        <v>3551</v>
      </c>
      <c r="E1007" s="140" t="s">
        <v>3421</v>
      </c>
      <c r="F1007" s="140">
        <v>583</v>
      </c>
      <c r="G1007" s="140"/>
      <c r="H1007" s="140">
        <v>60</v>
      </c>
      <c r="I1007" s="141">
        <v>42222</v>
      </c>
      <c r="J1007" s="140" t="s">
        <v>36</v>
      </c>
      <c r="K1007" s="140" t="s">
        <v>154</v>
      </c>
      <c r="L1007" s="140" t="s">
        <v>2569</v>
      </c>
      <c r="M1007" s="140" t="s">
        <v>2570</v>
      </c>
      <c r="N1007" s="140" t="s">
        <v>2571</v>
      </c>
      <c r="O1007" s="140" t="s">
        <v>2369</v>
      </c>
      <c r="P1007" s="140" t="s">
        <v>3409</v>
      </c>
      <c r="Q1007" s="140" t="s">
        <v>3422</v>
      </c>
      <c r="R1007" s="140" t="s">
        <v>2712</v>
      </c>
      <c r="S1007" s="140">
        <v>4.4600000000000001E-2</v>
      </c>
      <c r="T1007" s="140">
        <v>3.5361290322580646E-2</v>
      </c>
      <c r="U1007" s="140">
        <f t="shared" si="36"/>
        <v>9.2387096774193544E-3</v>
      </c>
      <c r="V1007" s="140">
        <v>3.6549999999999998</v>
      </c>
      <c r="W1007" s="140">
        <f>7.154+5.576</f>
        <v>12.73</v>
      </c>
      <c r="X1007" s="149">
        <f t="shared" si="35"/>
        <v>46.528149999999997</v>
      </c>
      <c r="Y1007" s="149"/>
    </row>
    <row r="1008" spans="1:25" ht="16">
      <c r="A1008" s="117" t="s">
        <v>3570</v>
      </c>
      <c r="B1008" s="139" t="s">
        <v>3400</v>
      </c>
      <c r="C1008" s="140" t="s">
        <v>1744</v>
      </c>
      <c r="D1008" s="140" t="s">
        <v>3551</v>
      </c>
      <c r="E1008" s="140" t="s">
        <v>3423</v>
      </c>
      <c r="F1008" s="140">
        <v>610</v>
      </c>
      <c r="G1008" s="140"/>
      <c r="H1008" s="140">
        <v>60</v>
      </c>
      <c r="I1008" s="141">
        <v>42223</v>
      </c>
      <c r="J1008" s="140" t="s">
        <v>36</v>
      </c>
      <c r="K1008" s="140" t="s">
        <v>154</v>
      </c>
      <c r="L1008" s="140" t="s">
        <v>2569</v>
      </c>
      <c r="M1008" s="140" t="s">
        <v>2570</v>
      </c>
      <c r="N1008" s="140" t="s">
        <v>2571</v>
      </c>
      <c r="O1008" s="140" t="s">
        <v>2369</v>
      </c>
      <c r="P1008" s="140" t="s">
        <v>2737</v>
      </c>
      <c r="Q1008" s="140" t="s">
        <v>2373</v>
      </c>
      <c r="R1008" s="140" t="s">
        <v>2713</v>
      </c>
      <c r="S1008" s="140">
        <v>5.04E-2</v>
      </c>
      <c r="T1008" s="140">
        <v>3.5361290322580646E-2</v>
      </c>
      <c r="U1008" s="140">
        <f t="shared" si="36"/>
        <v>1.5038709677419354E-2</v>
      </c>
      <c r="V1008" s="140">
        <v>3.84</v>
      </c>
      <c r="W1008" s="140">
        <f>6.368+7.809</f>
        <v>14.177</v>
      </c>
      <c r="X1008" s="149">
        <f t="shared" ref="X1008:X1071" si="37">V1008*W1008</f>
        <v>54.439679999999996</v>
      </c>
      <c r="Y1008" s="149"/>
    </row>
    <row r="1009" spans="1:25" ht="16">
      <c r="A1009" s="117" t="s">
        <v>3570</v>
      </c>
      <c r="B1009" s="139" t="s">
        <v>3401</v>
      </c>
      <c r="C1009" s="140" t="s">
        <v>1744</v>
      </c>
      <c r="D1009" s="140" t="s">
        <v>3551</v>
      </c>
      <c r="E1009" s="140" t="s">
        <v>3424</v>
      </c>
      <c r="F1009" s="140" t="s">
        <v>36</v>
      </c>
      <c r="G1009" s="140"/>
      <c r="H1009" s="140">
        <v>60</v>
      </c>
      <c r="I1009" s="141">
        <v>42224</v>
      </c>
      <c r="J1009" s="140" t="s">
        <v>36</v>
      </c>
      <c r="K1009" s="140" t="s">
        <v>154</v>
      </c>
      <c r="L1009" s="140" t="s">
        <v>2569</v>
      </c>
      <c r="M1009" s="140" t="s">
        <v>2570</v>
      </c>
      <c r="N1009" s="140" t="s">
        <v>2571</v>
      </c>
      <c r="O1009" s="140" t="s">
        <v>2369</v>
      </c>
      <c r="P1009" s="140" t="s">
        <v>2737</v>
      </c>
      <c r="Q1009" s="140" t="s">
        <v>2373</v>
      </c>
      <c r="R1009" s="140" t="s">
        <v>2712</v>
      </c>
      <c r="S1009" s="140">
        <v>4.3400000000000001E-2</v>
      </c>
      <c r="T1009" s="140">
        <v>3.5361290322580646E-2</v>
      </c>
      <c r="U1009" s="140">
        <f t="shared" ref="U1009:U1072" si="38">S1009-T1009</f>
        <v>8.0387096774193548E-3</v>
      </c>
      <c r="V1009" s="140">
        <v>3.2130000000000001</v>
      </c>
      <c r="W1009" s="140">
        <f>6.538+5.842</f>
        <v>12.379999999999999</v>
      </c>
      <c r="X1009" s="149">
        <f t="shared" si="37"/>
        <v>39.776939999999996</v>
      </c>
      <c r="Y1009" s="149"/>
    </row>
    <row r="1010" spans="1:25" ht="16">
      <c r="A1010" s="117" t="s">
        <v>3570</v>
      </c>
      <c r="B1010" s="139" t="s">
        <v>3402</v>
      </c>
      <c r="C1010" s="140" t="s">
        <v>1744</v>
      </c>
      <c r="D1010" s="140" t="s">
        <v>3551</v>
      </c>
      <c r="E1010" s="140" t="s">
        <v>3425</v>
      </c>
      <c r="F1010" s="140" t="s">
        <v>36</v>
      </c>
      <c r="G1010" s="140"/>
      <c r="H1010" s="140">
        <v>60</v>
      </c>
      <c r="I1010" s="141">
        <v>42225</v>
      </c>
      <c r="J1010" s="140" t="s">
        <v>36</v>
      </c>
      <c r="K1010" s="140" t="s">
        <v>154</v>
      </c>
      <c r="L1010" s="140" t="s">
        <v>2569</v>
      </c>
      <c r="M1010" s="140" t="s">
        <v>2570</v>
      </c>
      <c r="N1010" s="140" t="s">
        <v>2571</v>
      </c>
      <c r="O1010" s="140" t="s">
        <v>2369</v>
      </c>
      <c r="P1010" s="140" t="s">
        <v>2737</v>
      </c>
      <c r="Q1010" s="140" t="s">
        <v>2373</v>
      </c>
      <c r="R1010" s="140" t="s">
        <v>2713</v>
      </c>
      <c r="S1010" s="140">
        <v>4.7800000000000002E-2</v>
      </c>
      <c r="T1010" s="140">
        <v>3.5361290322580646E-2</v>
      </c>
      <c r="U1010" s="140">
        <f t="shared" si="38"/>
        <v>1.2438709677419356E-2</v>
      </c>
      <c r="V1010" s="140">
        <v>3.75</v>
      </c>
      <c r="W1010" s="140">
        <f>7.191+6.445</f>
        <v>13.635999999999999</v>
      </c>
      <c r="X1010" s="149">
        <f t="shared" si="37"/>
        <v>51.134999999999998</v>
      </c>
      <c r="Y1010" s="149"/>
    </row>
    <row r="1011" spans="1:25" ht="16">
      <c r="A1011" s="117" t="s">
        <v>3570</v>
      </c>
      <c r="B1011" s="139" t="s">
        <v>3403</v>
      </c>
      <c r="C1011" s="140" t="s">
        <v>1744</v>
      </c>
      <c r="D1011" s="140" t="s">
        <v>3551</v>
      </c>
      <c r="E1011" s="140" t="s">
        <v>3229</v>
      </c>
      <c r="F1011" s="140" t="s">
        <v>36</v>
      </c>
      <c r="G1011" s="140"/>
      <c r="H1011" s="140">
        <v>60</v>
      </c>
      <c r="I1011" s="141">
        <v>42226</v>
      </c>
      <c r="J1011" s="140" t="s">
        <v>36</v>
      </c>
      <c r="K1011" s="140" t="s">
        <v>154</v>
      </c>
      <c r="L1011" s="140" t="s">
        <v>2569</v>
      </c>
      <c r="M1011" s="140" t="s">
        <v>2570</v>
      </c>
      <c r="N1011" s="140" t="s">
        <v>2571</v>
      </c>
      <c r="O1011" s="140" t="s">
        <v>2369</v>
      </c>
      <c r="P1011" s="140" t="s">
        <v>2737</v>
      </c>
      <c r="Q1011" s="140" t="s">
        <v>3410</v>
      </c>
      <c r="R1011" s="140" t="s">
        <v>2712</v>
      </c>
      <c r="S1011" s="140">
        <v>4.4900000000000002E-2</v>
      </c>
      <c r="T1011" s="140">
        <v>3.5361290322580646E-2</v>
      </c>
      <c r="U1011" s="140">
        <f t="shared" si="38"/>
        <v>9.5387096774193561E-3</v>
      </c>
      <c r="V1011" s="140">
        <v>3.544</v>
      </c>
      <c r="W1011" s="140">
        <v>13.412000000000001</v>
      </c>
      <c r="X1011" s="149">
        <f t="shared" si="37"/>
        <v>47.532128</v>
      </c>
      <c r="Y1011" s="149"/>
    </row>
    <row r="1012" spans="1:25" ht="16">
      <c r="A1012" s="117" t="s">
        <v>3570</v>
      </c>
      <c r="B1012" s="139" t="s">
        <v>3404</v>
      </c>
      <c r="C1012" s="140" t="s">
        <v>1744</v>
      </c>
      <c r="D1012" s="140" t="s">
        <v>3551</v>
      </c>
      <c r="E1012" s="140" t="s">
        <v>3426</v>
      </c>
      <c r="F1012" s="140" t="s">
        <v>36</v>
      </c>
      <c r="G1012" s="140"/>
      <c r="H1012" s="140">
        <v>60</v>
      </c>
      <c r="I1012" s="141">
        <v>42227</v>
      </c>
      <c r="J1012" s="140" t="s">
        <v>36</v>
      </c>
      <c r="K1012" s="140" t="s">
        <v>154</v>
      </c>
      <c r="L1012" s="140" t="s">
        <v>2569</v>
      </c>
      <c r="M1012" s="140" t="s">
        <v>2570</v>
      </c>
      <c r="N1012" s="140" t="s">
        <v>2571</v>
      </c>
      <c r="O1012" s="140" t="s">
        <v>2369</v>
      </c>
      <c r="P1012" s="140" t="s">
        <v>2737</v>
      </c>
      <c r="Q1012" s="140" t="s">
        <v>3410</v>
      </c>
      <c r="R1012" s="140" t="s">
        <v>2713</v>
      </c>
      <c r="S1012" s="140">
        <v>4.5400000000000003E-2</v>
      </c>
      <c r="T1012" s="140">
        <v>3.5361290322580646E-2</v>
      </c>
      <c r="U1012" s="140">
        <f t="shared" si="38"/>
        <v>1.0038709677419357E-2</v>
      </c>
      <c r="V1012" s="140">
        <v>3.3340000000000001</v>
      </c>
      <c r="W1012" s="140">
        <f>6.896+5.663</f>
        <v>12.559000000000001</v>
      </c>
      <c r="X1012" s="149">
        <f t="shared" si="37"/>
        <v>41.871706000000003</v>
      </c>
      <c r="Y1012" s="149"/>
    </row>
    <row r="1013" spans="1:25" ht="16">
      <c r="A1013" s="117" t="s">
        <v>3570</v>
      </c>
      <c r="B1013" s="139" t="s">
        <v>3405</v>
      </c>
      <c r="C1013" s="140" t="s">
        <v>1744</v>
      </c>
      <c r="D1013" s="140" t="s">
        <v>3551</v>
      </c>
      <c r="E1013" s="140" t="s">
        <v>3440</v>
      </c>
      <c r="F1013" s="140">
        <v>380</v>
      </c>
      <c r="G1013" s="140"/>
      <c r="H1013" s="140">
        <v>60</v>
      </c>
      <c r="I1013" s="141">
        <v>42228</v>
      </c>
      <c r="J1013" s="140" t="s">
        <v>36</v>
      </c>
      <c r="K1013" s="140" t="s">
        <v>154</v>
      </c>
      <c r="L1013" s="140" t="s">
        <v>2566</v>
      </c>
      <c r="M1013" s="140" t="s">
        <v>2567</v>
      </c>
      <c r="N1013" s="140" t="s">
        <v>2668</v>
      </c>
      <c r="O1013" s="140" t="s">
        <v>2600</v>
      </c>
      <c r="P1013" s="140" t="s">
        <v>2775</v>
      </c>
      <c r="Q1013" s="140" t="s">
        <v>3427</v>
      </c>
      <c r="R1013" s="140" t="s">
        <v>2713</v>
      </c>
      <c r="S1013" s="140">
        <v>4.4299999999999999E-2</v>
      </c>
      <c r="T1013" s="140">
        <v>3.5361290322580646E-2</v>
      </c>
      <c r="U1013" s="140">
        <f t="shared" si="38"/>
        <v>8.9387096774193528E-3</v>
      </c>
      <c r="V1013" s="140">
        <v>2.948</v>
      </c>
      <c r="W1013" s="140">
        <f>6.612+6.082</f>
        <v>12.693999999999999</v>
      </c>
      <c r="X1013" s="149">
        <f t="shared" si="37"/>
        <v>37.421911999999999</v>
      </c>
      <c r="Y1013" s="149"/>
    </row>
    <row r="1014" spans="1:25" ht="16">
      <c r="A1014" s="117" t="s">
        <v>3570</v>
      </c>
      <c r="B1014" s="139" t="s">
        <v>3428</v>
      </c>
      <c r="C1014" s="140" t="s">
        <v>1744</v>
      </c>
      <c r="D1014" s="140" t="s">
        <v>3551</v>
      </c>
      <c r="E1014" s="140" t="s">
        <v>3441</v>
      </c>
      <c r="F1014" s="140" t="s">
        <v>36</v>
      </c>
      <c r="G1014" s="140"/>
      <c r="H1014" s="140">
        <v>60</v>
      </c>
      <c r="I1014" s="141">
        <v>42229</v>
      </c>
      <c r="J1014" s="140" t="s">
        <v>36</v>
      </c>
      <c r="K1014" s="140" t="s">
        <v>154</v>
      </c>
      <c r="L1014" s="140" t="s">
        <v>2566</v>
      </c>
      <c r="M1014" s="140" t="s">
        <v>2567</v>
      </c>
      <c r="N1014" s="140" t="s">
        <v>2668</v>
      </c>
      <c r="O1014" s="140" t="s">
        <v>2600</v>
      </c>
      <c r="P1014" s="140" t="s">
        <v>2775</v>
      </c>
      <c r="Q1014" s="140" t="s">
        <v>3427</v>
      </c>
      <c r="R1014" s="140" t="s">
        <v>2713</v>
      </c>
      <c r="S1014" s="140">
        <v>4.2700000000000002E-2</v>
      </c>
      <c r="T1014" s="140">
        <v>3.5361290322580646E-2</v>
      </c>
      <c r="U1014" s="140">
        <f t="shared" si="38"/>
        <v>7.3387096774193555E-3</v>
      </c>
      <c r="V1014" s="140">
        <v>2.74</v>
      </c>
      <c r="W1014" s="140">
        <v>12.597</v>
      </c>
      <c r="X1014" s="149">
        <f t="shared" si="37"/>
        <v>34.515779999999999</v>
      </c>
      <c r="Y1014" s="149"/>
    </row>
    <row r="1015" spans="1:25" ht="16">
      <c r="A1015" s="117" t="s">
        <v>3570</v>
      </c>
      <c r="B1015" s="139" t="s">
        <v>3429</v>
      </c>
      <c r="C1015" s="140" t="s">
        <v>1744</v>
      </c>
      <c r="D1015" s="140" t="s">
        <v>3551</v>
      </c>
      <c r="E1015" s="140" t="s">
        <v>3442</v>
      </c>
      <c r="F1015" s="140">
        <v>782</v>
      </c>
      <c r="G1015" s="140"/>
      <c r="H1015" s="140">
        <v>60</v>
      </c>
      <c r="I1015" s="141">
        <v>42230</v>
      </c>
      <c r="J1015" s="140" t="s">
        <v>36</v>
      </c>
      <c r="K1015" s="140" t="s">
        <v>154</v>
      </c>
      <c r="L1015" s="140" t="s">
        <v>2566</v>
      </c>
      <c r="M1015" s="140" t="s">
        <v>2567</v>
      </c>
      <c r="N1015" s="140" t="s">
        <v>2668</v>
      </c>
      <c r="O1015" s="140" t="s">
        <v>2600</v>
      </c>
      <c r="P1015" s="140" t="s">
        <v>2775</v>
      </c>
      <c r="Q1015" s="140" t="s">
        <v>3427</v>
      </c>
      <c r="R1015" s="140" t="s">
        <v>2713</v>
      </c>
      <c r="S1015" s="140">
        <v>4.48E-2</v>
      </c>
      <c r="T1015" s="140">
        <v>3.5361290322580646E-2</v>
      </c>
      <c r="U1015" s="140">
        <f t="shared" si="38"/>
        <v>9.4387096774193532E-3</v>
      </c>
      <c r="V1015" s="140">
        <v>3.04</v>
      </c>
      <c r="W1015" s="140">
        <f>6.756+6.47</f>
        <v>13.225999999999999</v>
      </c>
      <c r="X1015" s="149">
        <f t="shared" si="37"/>
        <v>40.207039999999999</v>
      </c>
      <c r="Y1015" s="149"/>
    </row>
    <row r="1016" spans="1:25" ht="16">
      <c r="A1016" s="117" t="s">
        <v>3570</v>
      </c>
      <c r="B1016" s="139" t="s">
        <v>3430</v>
      </c>
      <c r="C1016" s="140" t="s">
        <v>1744</v>
      </c>
      <c r="D1016" s="140" t="s">
        <v>3551</v>
      </c>
      <c r="E1016" s="140" t="s">
        <v>3443</v>
      </c>
      <c r="F1016" s="140">
        <v>747</v>
      </c>
      <c r="G1016" s="140"/>
      <c r="H1016" s="140">
        <v>60</v>
      </c>
      <c r="I1016" s="141">
        <v>42231</v>
      </c>
      <c r="J1016" s="140" t="s">
        <v>36</v>
      </c>
      <c r="K1016" s="140" t="s">
        <v>154</v>
      </c>
      <c r="L1016" s="140" t="s">
        <v>2566</v>
      </c>
      <c r="M1016" s="140" t="s">
        <v>2567</v>
      </c>
      <c r="N1016" s="140" t="s">
        <v>2668</v>
      </c>
      <c r="O1016" s="140" t="s">
        <v>2600</v>
      </c>
      <c r="P1016" s="140" t="s">
        <v>2775</v>
      </c>
      <c r="Q1016" s="140" t="s">
        <v>3427</v>
      </c>
      <c r="R1016" s="140" t="s">
        <v>2713</v>
      </c>
      <c r="S1016" s="140">
        <v>4.3400000000000001E-2</v>
      </c>
      <c r="T1016" s="140">
        <v>3.5361290322580646E-2</v>
      </c>
      <c r="U1016" s="140">
        <f t="shared" si="38"/>
        <v>8.0387096774193548E-3</v>
      </c>
      <c r="V1016" s="140">
        <v>2.8380000000000001</v>
      </c>
      <c r="W1016" s="140">
        <f>6.11+6.49</f>
        <v>12.600000000000001</v>
      </c>
      <c r="X1016" s="149">
        <f t="shared" si="37"/>
        <v>35.758800000000008</v>
      </c>
      <c r="Y1016" s="149"/>
    </row>
    <row r="1017" spans="1:25" ht="16">
      <c r="A1017" s="117" t="s">
        <v>3570</v>
      </c>
      <c r="B1017" s="139" t="s">
        <v>3431</v>
      </c>
      <c r="C1017" s="140" t="s">
        <v>1744</v>
      </c>
      <c r="D1017" s="140" t="s">
        <v>3551</v>
      </c>
      <c r="E1017" s="140" t="s">
        <v>3444</v>
      </c>
      <c r="F1017" s="140">
        <v>836</v>
      </c>
      <c r="G1017" s="140"/>
      <c r="H1017" s="140">
        <v>60</v>
      </c>
      <c r="I1017" s="141">
        <v>42232</v>
      </c>
      <c r="J1017" s="140" t="s">
        <v>36</v>
      </c>
      <c r="K1017" s="140" t="s">
        <v>154</v>
      </c>
      <c r="L1017" s="140" t="s">
        <v>2566</v>
      </c>
      <c r="M1017" s="140" t="s">
        <v>2567</v>
      </c>
      <c r="N1017" s="140" t="s">
        <v>2668</v>
      </c>
      <c r="O1017" s="140" t="s">
        <v>2600</v>
      </c>
      <c r="P1017" s="140" t="s">
        <v>2775</v>
      </c>
      <c r="Q1017" s="140" t="s">
        <v>3427</v>
      </c>
      <c r="R1017" s="140" t="s">
        <v>2713</v>
      </c>
      <c r="S1017" s="140">
        <v>4.4600000000000001E-2</v>
      </c>
      <c r="T1017" s="140">
        <v>3.5361290322580646E-2</v>
      </c>
      <c r="U1017" s="140">
        <f t="shared" si="38"/>
        <v>9.2387096774193544E-3</v>
      </c>
      <c r="V1017" s="140">
        <v>3.0529999999999999</v>
      </c>
      <c r="W1017" s="140">
        <f>6.626+5.869</f>
        <v>12.495000000000001</v>
      </c>
      <c r="X1017" s="149">
        <f t="shared" si="37"/>
        <v>38.147235000000002</v>
      </c>
      <c r="Y1017" s="149"/>
    </row>
    <row r="1018" spans="1:25" ht="16">
      <c r="A1018" s="117" t="s">
        <v>3570</v>
      </c>
      <c r="B1018" s="139" t="s">
        <v>3432</v>
      </c>
      <c r="C1018" s="140" t="s">
        <v>1744</v>
      </c>
      <c r="D1018" s="140" t="s">
        <v>3551</v>
      </c>
      <c r="E1018" s="140" t="s">
        <v>3444</v>
      </c>
      <c r="F1018" s="140">
        <v>834</v>
      </c>
      <c r="G1018" s="140"/>
      <c r="H1018" s="140">
        <v>60</v>
      </c>
      <c r="I1018" s="141">
        <v>42233</v>
      </c>
      <c r="J1018" s="140" t="s">
        <v>36</v>
      </c>
      <c r="K1018" s="140" t="s">
        <v>154</v>
      </c>
      <c r="L1018" s="140" t="s">
        <v>2566</v>
      </c>
      <c r="M1018" s="140" t="s">
        <v>2567</v>
      </c>
      <c r="N1018" s="140" t="s">
        <v>2668</v>
      </c>
      <c r="O1018" s="140" t="s">
        <v>2600</v>
      </c>
      <c r="P1018" s="140" t="s">
        <v>2775</v>
      </c>
      <c r="Q1018" s="140" t="s">
        <v>3427</v>
      </c>
      <c r="R1018" s="140" t="s">
        <v>2713</v>
      </c>
      <c r="S1018" s="140">
        <v>4.5100000000000001E-2</v>
      </c>
      <c r="T1018" s="140">
        <v>3.5361290322580646E-2</v>
      </c>
      <c r="U1018" s="140">
        <f t="shared" si="38"/>
        <v>9.7387096774193549E-3</v>
      </c>
      <c r="V1018" s="140">
        <v>3.12</v>
      </c>
      <c r="W1018" s="140">
        <f>7.274+5.891</f>
        <v>13.164999999999999</v>
      </c>
      <c r="X1018" s="149">
        <f t="shared" si="37"/>
        <v>41.074799999999996</v>
      </c>
      <c r="Y1018" s="149"/>
    </row>
    <row r="1019" spans="1:25" ht="16">
      <c r="A1019" s="117" t="s">
        <v>3570</v>
      </c>
      <c r="B1019" s="139" t="s">
        <v>3433</v>
      </c>
      <c r="C1019" s="140" t="s">
        <v>1744</v>
      </c>
      <c r="D1019" s="140" t="s">
        <v>3551</v>
      </c>
      <c r="E1019" s="140" t="s">
        <v>3444</v>
      </c>
      <c r="F1019" s="140">
        <v>835</v>
      </c>
      <c r="G1019" s="140"/>
      <c r="H1019" s="140">
        <v>60</v>
      </c>
      <c r="I1019" s="141">
        <v>42234</v>
      </c>
      <c r="J1019" s="140" t="s">
        <v>36</v>
      </c>
      <c r="K1019" s="140" t="s">
        <v>154</v>
      </c>
      <c r="L1019" s="140" t="s">
        <v>2566</v>
      </c>
      <c r="M1019" s="140" t="s">
        <v>2567</v>
      </c>
      <c r="N1019" s="140" t="s">
        <v>2668</v>
      </c>
      <c r="O1019" s="140" t="s">
        <v>2600</v>
      </c>
      <c r="P1019" s="140" t="s">
        <v>2775</v>
      </c>
      <c r="Q1019" s="140" t="s">
        <v>3427</v>
      </c>
      <c r="R1019" s="140" t="s">
        <v>2713</v>
      </c>
      <c r="S1019" s="140">
        <v>4.5499999999999999E-2</v>
      </c>
      <c r="T1019" s="140">
        <v>3.5361290322580646E-2</v>
      </c>
      <c r="U1019" s="140">
        <f t="shared" si="38"/>
        <v>1.0138709677419352E-2</v>
      </c>
      <c r="V1019" s="140">
        <v>2.9220000000000002</v>
      </c>
      <c r="W1019" s="140">
        <f>6.136+6.7</f>
        <v>12.836</v>
      </c>
      <c r="X1019" s="149">
        <f t="shared" si="37"/>
        <v>37.506792000000004</v>
      </c>
      <c r="Y1019" s="149"/>
    </row>
    <row r="1020" spans="1:25" ht="16">
      <c r="A1020" s="117" t="s">
        <v>3570</v>
      </c>
      <c r="B1020" s="139" t="s">
        <v>3434</v>
      </c>
      <c r="C1020" s="140" t="s">
        <v>1744</v>
      </c>
      <c r="D1020" s="140" t="s">
        <v>3551</v>
      </c>
      <c r="E1020" s="140" t="s">
        <v>3445</v>
      </c>
      <c r="F1020" s="140">
        <v>764</v>
      </c>
      <c r="G1020" s="140"/>
      <c r="H1020" s="140">
        <v>60</v>
      </c>
      <c r="I1020" s="141">
        <v>42235</v>
      </c>
      <c r="J1020" s="140" t="s">
        <v>36</v>
      </c>
      <c r="K1020" s="140" t="s">
        <v>154</v>
      </c>
      <c r="L1020" s="140" t="s">
        <v>2566</v>
      </c>
      <c r="M1020" s="140" t="s">
        <v>2567</v>
      </c>
      <c r="N1020" s="140" t="s">
        <v>2668</v>
      </c>
      <c r="O1020" s="140" t="s">
        <v>2600</v>
      </c>
      <c r="P1020" s="140" t="s">
        <v>2775</v>
      </c>
      <c r="Q1020" s="140" t="s">
        <v>3427</v>
      </c>
      <c r="R1020" s="140" t="s">
        <v>2713</v>
      </c>
      <c r="S1020" s="140">
        <v>4.2299999999999997E-2</v>
      </c>
      <c r="T1020" s="140">
        <v>3.5361290322580646E-2</v>
      </c>
      <c r="U1020" s="140">
        <f t="shared" si="38"/>
        <v>6.938709677419351E-3</v>
      </c>
      <c r="V1020" s="140">
        <v>2.6379999999999999</v>
      </c>
      <c r="W1020" s="140">
        <f>5.805+5.664</f>
        <v>11.468999999999999</v>
      </c>
      <c r="X1020" s="149">
        <f t="shared" si="37"/>
        <v>30.255221999999996</v>
      </c>
      <c r="Y1020" s="149"/>
    </row>
    <row r="1021" spans="1:25" ht="16">
      <c r="A1021" s="117" t="s">
        <v>3570</v>
      </c>
      <c r="B1021" s="139" t="s">
        <v>3435</v>
      </c>
      <c r="C1021" s="140" t="s">
        <v>1744</v>
      </c>
      <c r="D1021" s="140" t="s">
        <v>3551</v>
      </c>
      <c r="E1021" s="140" t="s">
        <v>3445</v>
      </c>
      <c r="F1021" s="140">
        <v>773</v>
      </c>
      <c r="G1021" s="140"/>
      <c r="H1021" s="140">
        <v>60</v>
      </c>
      <c r="I1021" s="141">
        <v>42236</v>
      </c>
      <c r="J1021" s="140" t="s">
        <v>36</v>
      </c>
      <c r="K1021" s="140" t="s">
        <v>154</v>
      </c>
      <c r="L1021" s="140" t="s">
        <v>2566</v>
      </c>
      <c r="M1021" s="140" t="s">
        <v>2567</v>
      </c>
      <c r="N1021" s="140" t="s">
        <v>2668</v>
      </c>
      <c r="O1021" s="140" t="s">
        <v>2600</v>
      </c>
      <c r="P1021" s="140" t="s">
        <v>2775</v>
      </c>
      <c r="Q1021" s="140" t="s">
        <v>3427</v>
      </c>
      <c r="R1021" s="140" t="s">
        <v>2713</v>
      </c>
      <c r="S1021" s="140">
        <v>4.3299999999999998E-2</v>
      </c>
      <c r="T1021" s="140">
        <v>3.5361290322580646E-2</v>
      </c>
      <c r="U1021" s="140">
        <f t="shared" si="38"/>
        <v>7.9387096774193519E-3</v>
      </c>
      <c r="V1021" s="140">
        <v>2.9550000000000001</v>
      </c>
      <c r="W1021" s="140">
        <f>5.848+3.052+3.218</f>
        <v>12.118</v>
      </c>
      <c r="X1021" s="149">
        <f t="shared" si="37"/>
        <v>35.808689999999999</v>
      </c>
      <c r="Y1021" s="149"/>
    </row>
    <row r="1022" spans="1:25" ht="16">
      <c r="A1022" s="117" t="s">
        <v>3570</v>
      </c>
      <c r="B1022" s="139" t="s">
        <v>3436</v>
      </c>
      <c r="C1022" s="140" t="s">
        <v>1744</v>
      </c>
      <c r="D1022" s="140" t="s">
        <v>3551</v>
      </c>
      <c r="E1022" s="140" t="s">
        <v>3445</v>
      </c>
      <c r="F1022" s="140">
        <v>755</v>
      </c>
      <c r="G1022" s="140"/>
      <c r="H1022" s="140">
        <v>60</v>
      </c>
      <c r="I1022" s="141">
        <v>42237</v>
      </c>
      <c r="J1022" s="140" t="s">
        <v>36</v>
      </c>
      <c r="K1022" s="140" t="s">
        <v>154</v>
      </c>
      <c r="L1022" s="140" t="s">
        <v>2566</v>
      </c>
      <c r="M1022" s="140" t="s">
        <v>2567</v>
      </c>
      <c r="N1022" s="140" t="s">
        <v>2668</v>
      </c>
      <c r="O1022" s="140" t="s">
        <v>2600</v>
      </c>
      <c r="P1022" s="140" t="s">
        <v>2775</v>
      </c>
      <c r="Q1022" s="140" t="s">
        <v>3427</v>
      </c>
      <c r="R1022" s="140" t="s">
        <v>2713</v>
      </c>
      <c r="S1022" s="140">
        <v>4.2799999999999998E-2</v>
      </c>
      <c r="T1022" s="140">
        <v>3.5361290322580646E-2</v>
      </c>
      <c r="U1022" s="140">
        <f t="shared" si="38"/>
        <v>7.4387096774193515E-3</v>
      </c>
      <c r="V1022" s="140">
        <v>2.7250000000000001</v>
      </c>
      <c r="W1022" s="140">
        <f>5.9+5.777</f>
        <v>11.677</v>
      </c>
      <c r="X1022" s="149">
        <f t="shared" si="37"/>
        <v>31.819825000000002</v>
      </c>
      <c r="Y1022" s="149"/>
    </row>
    <row r="1023" spans="1:25" ht="16">
      <c r="A1023" s="117" t="s">
        <v>3570</v>
      </c>
      <c r="B1023" s="139" t="s">
        <v>3437</v>
      </c>
      <c r="C1023" s="140" t="s">
        <v>1744</v>
      </c>
      <c r="D1023" s="140" t="s">
        <v>3551</v>
      </c>
      <c r="E1023" s="140" t="s">
        <v>3446</v>
      </c>
      <c r="F1023" s="140" t="s">
        <v>36</v>
      </c>
      <c r="G1023" s="140"/>
      <c r="H1023" s="140">
        <v>60</v>
      </c>
      <c r="I1023" s="141">
        <v>42238</v>
      </c>
      <c r="J1023" s="140" t="s">
        <v>36</v>
      </c>
      <c r="K1023" s="140" t="s">
        <v>154</v>
      </c>
      <c r="L1023" s="140" t="s">
        <v>2566</v>
      </c>
      <c r="M1023" s="140" t="s">
        <v>2567</v>
      </c>
      <c r="N1023" s="140" t="s">
        <v>2668</v>
      </c>
      <c r="O1023" s="140" t="s">
        <v>2600</v>
      </c>
      <c r="P1023" s="140" t="s">
        <v>2775</v>
      </c>
      <c r="Q1023" s="140" t="s">
        <v>3427</v>
      </c>
      <c r="R1023" s="140" t="s">
        <v>2713</v>
      </c>
      <c r="S1023" s="140">
        <f>0.0017+0.0404</f>
        <v>4.2099999999999999E-2</v>
      </c>
      <c r="T1023" s="140">
        <v>3.5361290322580646E-2</v>
      </c>
      <c r="U1023" s="140">
        <f t="shared" si="38"/>
        <v>6.7387096774193522E-3</v>
      </c>
      <c r="V1023" s="140">
        <v>2.528</v>
      </c>
      <c r="W1023" s="140">
        <f>6.476+6.145</f>
        <v>12.620999999999999</v>
      </c>
      <c r="X1023" s="149">
        <f t="shared" si="37"/>
        <v>31.905887999999997</v>
      </c>
      <c r="Y1023" s="149"/>
    </row>
    <row r="1024" spans="1:25" ht="16">
      <c r="A1024" s="117" t="s">
        <v>3570</v>
      </c>
      <c r="B1024" s="139" t="s">
        <v>3438</v>
      </c>
      <c r="C1024" s="140" t="s">
        <v>1744</v>
      </c>
      <c r="D1024" s="140" t="s">
        <v>3551</v>
      </c>
      <c r="E1024" s="140" t="s">
        <v>3501</v>
      </c>
      <c r="F1024" s="140">
        <v>529</v>
      </c>
      <c r="G1024" s="140"/>
      <c r="H1024" s="140">
        <v>60</v>
      </c>
      <c r="I1024" s="141">
        <v>42239</v>
      </c>
      <c r="J1024" s="140" t="s">
        <v>36</v>
      </c>
      <c r="K1024" s="140" t="s">
        <v>154</v>
      </c>
      <c r="L1024" s="140" t="s">
        <v>2566</v>
      </c>
      <c r="M1024" s="140" t="s">
        <v>2567</v>
      </c>
      <c r="N1024" s="140" t="s">
        <v>2668</v>
      </c>
      <c r="O1024" s="140" t="s">
        <v>2600</v>
      </c>
      <c r="P1024" s="140" t="s">
        <v>2735</v>
      </c>
      <c r="Q1024" s="140" t="s">
        <v>3447</v>
      </c>
      <c r="R1024" s="140" t="s">
        <v>2713</v>
      </c>
      <c r="S1024" s="140">
        <v>4.2799999999999998E-2</v>
      </c>
      <c r="T1024" s="140">
        <v>3.5361290322580646E-2</v>
      </c>
      <c r="U1024" s="140">
        <f t="shared" si="38"/>
        <v>7.4387096774193515E-3</v>
      </c>
      <c r="V1024" s="140">
        <v>2.7410000000000001</v>
      </c>
      <c r="W1024" s="140">
        <f>6.894+5.717</f>
        <v>12.611000000000001</v>
      </c>
      <c r="X1024" s="149">
        <f t="shared" si="37"/>
        <v>34.566751000000004</v>
      </c>
      <c r="Y1024" s="149"/>
    </row>
    <row r="1025" spans="1:25" ht="16">
      <c r="A1025" s="117" t="s">
        <v>3570</v>
      </c>
      <c r="B1025" s="139" t="s">
        <v>3439</v>
      </c>
      <c r="C1025" s="140" t="s">
        <v>1744</v>
      </c>
      <c r="D1025" s="140" t="s">
        <v>3551</v>
      </c>
      <c r="E1025" s="140" t="s">
        <v>3502</v>
      </c>
      <c r="F1025" s="140" t="s">
        <v>36</v>
      </c>
      <c r="G1025" s="140"/>
      <c r="H1025" s="140">
        <v>60</v>
      </c>
      <c r="I1025" s="141">
        <v>42240</v>
      </c>
      <c r="J1025" s="140" t="s">
        <v>36</v>
      </c>
      <c r="K1025" s="140" t="s">
        <v>154</v>
      </c>
      <c r="L1025" s="140" t="s">
        <v>2566</v>
      </c>
      <c r="M1025" s="140" t="s">
        <v>2567</v>
      </c>
      <c r="N1025" s="140" t="s">
        <v>2668</v>
      </c>
      <c r="O1025" s="140" t="s">
        <v>2600</v>
      </c>
      <c r="P1025" s="140" t="s">
        <v>2735</v>
      </c>
      <c r="Q1025" s="140" t="s">
        <v>3447</v>
      </c>
      <c r="R1025" s="140" t="s">
        <v>2713</v>
      </c>
      <c r="S1025" s="140">
        <v>4.36E-2</v>
      </c>
      <c r="T1025" s="140">
        <v>3.5361290322580646E-2</v>
      </c>
      <c r="U1025" s="140">
        <f t="shared" si="38"/>
        <v>8.2387096774193536E-3</v>
      </c>
      <c r="V1025" s="140">
        <v>2.7330000000000001</v>
      </c>
      <c r="W1025" s="140">
        <v>13.315</v>
      </c>
      <c r="X1025" s="149">
        <f t="shared" si="37"/>
        <v>36.389895000000003</v>
      </c>
      <c r="Y1025" s="149"/>
    </row>
    <row r="1026" spans="1:25" ht="16">
      <c r="A1026" s="117" t="s">
        <v>3570</v>
      </c>
      <c r="B1026" s="139" t="s">
        <v>3448</v>
      </c>
      <c r="C1026" s="140" t="s">
        <v>1744</v>
      </c>
      <c r="D1026" s="140" t="s">
        <v>3551</v>
      </c>
      <c r="E1026" s="140" t="s">
        <v>3505</v>
      </c>
      <c r="F1026" s="140" t="s">
        <v>36</v>
      </c>
      <c r="G1026" s="140"/>
      <c r="H1026" s="140">
        <v>60</v>
      </c>
      <c r="I1026" s="141">
        <v>42241</v>
      </c>
      <c r="J1026" s="140" t="s">
        <v>36</v>
      </c>
      <c r="K1026" s="140" t="s">
        <v>154</v>
      </c>
      <c r="L1026" s="140" t="s">
        <v>2566</v>
      </c>
      <c r="M1026" s="140" t="s">
        <v>2567</v>
      </c>
      <c r="N1026" s="140" t="s">
        <v>2668</v>
      </c>
      <c r="O1026" s="140" t="s">
        <v>2600</v>
      </c>
      <c r="P1026" s="140" t="s">
        <v>2735</v>
      </c>
      <c r="Q1026" s="140" t="s">
        <v>3503</v>
      </c>
      <c r="R1026" s="140" t="s">
        <v>2712</v>
      </c>
      <c r="S1026" s="140">
        <v>4.0300000000000002E-2</v>
      </c>
      <c r="T1026" s="140">
        <v>3.5361290322580646E-2</v>
      </c>
      <c r="U1026" s="140">
        <f t="shared" si="38"/>
        <v>4.9387096774193562E-3</v>
      </c>
      <c r="V1026" s="140">
        <v>2.3650000000000002</v>
      </c>
      <c r="W1026" s="140">
        <f>5.051+5.305</f>
        <v>10.356</v>
      </c>
      <c r="X1026" s="149">
        <f t="shared" si="37"/>
        <v>24.491940000000003</v>
      </c>
      <c r="Y1026" s="149"/>
    </row>
    <row r="1027" spans="1:25" ht="16">
      <c r="A1027" s="117" t="s">
        <v>3570</v>
      </c>
      <c r="B1027" s="139" t="s">
        <v>3449</v>
      </c>
      <c r="C1027" s="140" t="s">
        <v>1744</v>
      </c>
      <c r="D1027" s="140" t="s">
        <v>3551</v>
      </c>
      <c r="E1027" s="140" t="s">
        <v>36</v>
      </c>
      <c r="F1027" s="140" t="s">
        <v>36</v>
      </c>
      <c r="G1027" s="140"/>
      <c r="H1027" s="140">
        <v>60</v>
      </c>
      <c r="I1027" s="141">
        <v>42242</v>
      </c>
      <c r="J1027" s="140" t="s">
        <v>36</v>
      </c>
      <c r="K1027" s="140" t="s">
        <v>154</v>
      </c>
      <c r="L1027" s="140" t="s">
        <v>2566</v>
      </c>
      <c r="M1027" s="140" t="s">
        <v>2567</v>
      </c>
      <c r="N1027" s="140" t="s">
        <v>2668</v>
      </c>
      <c r="O1027" s="140" t="s">
        <v>2600</v>
      </c>
      <c r="P1027" s="140" t="s">
        <v>2735</v>
      </c>
      <c r="Q1027" s="140" t="s">
        <v>3504</v>
      </c>
      <c r="R1027" s="140" t="s">
        <v>2713</v>
      </c>
      <c r="S1027" s="140">
        <v>4.1099999999999998E-2</v>
      </c>
      <c r="T1027" s="140">
        <v>3.5361290322580646E-2</v>
      </c>
      <c r="U1027" s="140">
        <f t="shared" si="38"/>
        <v>5.7387096774193513E-3</v>
      </c>
      <c r="V1027" s="140">
        <v>2.3570000000000002</v>
      </c>
      <c r="W1027" s="140">
        <f>5.248+4.618</f>
        <v>9.8659999999999997</v>
      </c>
      <c r="X1027" s="149">
        <f t="shared" si="37"/>
        <v>23.254162000000001</v>
      </c>
      <c r="Y1027" s="149"/>
    </row>
    <row r="1028" spans="1:25" ht="16">
      <c r="A1028" s="117" t="s">
        <v>3570</v>
      </c>
      <c r="B1028" s="139" t="s">
        <v>3450</v>
      </c>
      <c r="C1028" s="140" t="s">
        <v>1744</v>
      </c>
      <c r="D1028" s="140" t="s">
        <v>3551</v>
      </c>
      <c r="E1028" s="140" t="s">
        <v>36</v>
      </c>
      <c r="F1028" s="140" t="s">
        <v>36</v>
      </c>
      <c r="G1028" s="140"/>
      <c r="H1028" s="140">
        <v>60</v>
      </c>
      <c r="I1028" s="141">
        <v>42243</v>
      </c>
      <c r="J1028" s="140" t="s">
        <v>36</v>
      </c>
      <c r="K1028" s="140" t="s">
        <v>154</v>
      </c>
      <c r="L1028" s="140" t="s">
        <v>2566</v>
      </c>
      <c r="M1028" s="140" t="s">
        <v>2567</v>
      </c>
      <c r="N1028" s="140" t="s">
        <v>2668</v>
      </c>
      <c r="O1028" s="140" t="s">
        <v>2600</v>
      </c>
      <c r="P1028" s="140" t="s">
        <v>2735</v>
      </c>
      <c r="Q1028" s="140" t="s">
        <v>3504</v>
      </c>
      <c r="R1028" s="140" t="s">
        <v>2713</v>
      </c>
      <c r="S1028" s="140">
        <v>4.0800000000000003E-2</v>
      </c>
      <c r="T1028" s="140">
        <v>3.5361290322580646E-2</v>
      </c>
      <c r="U1028" s="140">
        <f t="shared" si="38"/>
        <v>5.4387096774193566E-3</v>
      </c>
      <c r="V1028" s="140">
        <v>2.274</v>
      </c>
      <c r="W1028" s="140">
        <f>5.97+5.003</f>
        <v>10.972999999999999</v>
      </c>
      <c r="X1028" s="149">
        <f t="shared" si="37"/>
        <v>24.952601999999999</v>
      </c>
      <c r="Y1028" s="149"/>
    </row>
    <row r="1029" spans="1:25" ht="16">
      <c r="A1029" s="117" t="s">
        <v>3570</v>
      </c>
      <c r="B1029" s="139" t="s">
        <v>3451</v>
      </c>
      <c r="C1029" s="140" t="s">
        <v>1744</v>
      </c>
      <c r="D1029" s="140" t="s">
        <v>3551</v>
      </c>
      <c r="E1029" s="140" t="s">
        <v>3502</v>
      </c>
      <c r="F1029" s="140" t="s">
        <v>36</v>
      </c>
      <c r="G1029" s="140"/>
      <c r="H1029" s="140">
        <v>60</v>
      </c>
      <c r="I1029" s="141">
        <v>42244</v>
      </c>
      <c r="J1029" s="140" t="s">
        <v>36</v>
      </c>
      <c r="K1029" s="140" t="s">
        <v>154</v>
      </c>
      <c r="L1029" s="140" t="s">
        <v>2566</v>
      </c>
      <c r="M1029" s="140" t="s">
        <v>2567</v>
      </c>
      <c r="N1029" s="140" t="s">
        <v>2668</v>
      </c>
      <c r="O1029" s="140" t="s">
        <v>2600</v>
      </c>
      <c r="P1029" s="140" t="s">
        <v>2735</v>
      </c>
      <c r="Q1029" s="140" t="s">
        <v>3504</v>
      </c>
      <c r="R1029" s="140" t="s">
        <v>2713</v>
      </c>
      <c r="S1029" s="140">
        <v>4.07E-2</v>
      </c>
      <c r="T1029" s="140">
        <v>3.5361290322580646E-2</v>
      </c>
      <c r="U1029" s="140">
        <f t="shared" si="38"/>
        <v>5.3387096774193538E-3</v>
      </c>
      <c r="V1029" s="140">
        <v>2.2349999999999999</v>
      </c>
      <c r="W1029" s="140">
        <f>4.813+4.947</f>
        <v>9.76</v>
      </c>
      <c r="X1029" s="149">
        <f t="shared" si="37"/>
        <v>21.813599999999997</v>
      </c>
      <c r="Y1029" s="149"/>
    </row>
    <row r="1030" spans="1:25" ht="16">
      <c r="A1030" s="117" t="s">
        <v>3570</v>
      </c>
      <c r="B1030" s="139" t="s">
        <v>3452</v>
      </c>
      <c r="C1030" s="140" t="s">
        <v>1744</v>
      </c>
      <c r="D1030" s="140" t="s">
        <v>3551</v>
      </c>
      <c r="E1030" s="140" t="s">
        <v>3506</v>
      </c>
      <c r="F1030" s="140">
        <v>343</v>
      </c>
      <c r="G1030" s="140"/>
      <c r="H1030" s="140">
        <v>60</v>
      </c>
      <c r="I1030" s="141">
        <v>42245</v>
      </c>
      <c r="J1030" s="140" t="s">
        <v>36</v>
      </c>
      <c r="K1030" s="140" t="s">
        <v>154</v>
      </c>
      <c r="L1030" s="140" t="s">
        <v>2566</v>
      </c>
      <c r="M1030" s="140" t="s">
        <v>2567</v>
      </c>
      <c r="N1030" s="140" t="s">
        <v>2668</v>
      </c>
      <c r="O1030" s="140" t="s">
        <v>2600</v>
      </c>
      <c r="P1030" s="140" t="s">
        <v>2735</v>
      </c>
      <c r="Q1030" s="140" t="s">
        <v>3504</v>
      </c>
      <c r="R1030" s="140" t="s">
        <v>2713</v>
      </c>
      <c r="S1030" s="140">
        <v>4.0500000000000001E-2</v>
      </c>
      <c r="T1030" s="140">
        <v>3.5361290322580646E-2</v>
      </c>
      <c r="U1030" s="140">
        <f t="shared" si="38"/>
        <v>5.138709677419355E-3</v>
      </c>
      <c r="V1030" s="140">
        <v>2.4060000000000001</v>
      </c>
      <c r="W1030" s="140">
        <f>5.076+5.521</f>
        <v>10.597</v>
      </c>
      <c r="X1030" s="149">
        <f t="shared" si="37"/>
        <v>25.496382000000001</v>
      </c>
      <c r="Y1030" s="149"/>
    </row>
    <row r="1031" spans="1:25" ht="16">
      <c r="A1031" s="117" t="s">
        <v>3570</v>
      </c>
      <c r="B1031" s="139" t="s">
        <v>3453</v>
      </c>
      <c r="C1031" s="140" t="s">
        <v>1744</v>
      </c>
      <c r="D1031" s="140" t="s">
        <v>3551</v>
      </c>
      <c r="E1031" s="140" t="s">
        <v>3507</v>
      </c>
      <c r="F1031" s="140" t="s">
        <v>36</v>
      </c>
      <c r="G1031" s="140"/>
      <c r="H1031" s="140">
        <v>60</v>
      </c>
      <c r="I1031" s="141">
        <v>42246</v>
      </c>
      <c r="J1031" s="140" t="s">
        <v>36</v>
      </c>
      <c r="K1031" s="140" t="s">
        <v>154</v>
      </c>
      <c r="L1031" s="140" t="s">
        <v>2566</v>
      </c>
      <c r="M1031" s="140" t="s">
        <v>2567</v>
      </c>
      <c r="N1031" s="140" t="s">
        <v>2668</v>
      </c>
      <c r="O1031" s="140" t="s">
        <v>2600</v>
      </c>
      <c r="P1031" s="140" t="s">
        <v>2735</v>
      </c>
      <c r="Q1031" s="140" t="s">
        <v>3504</v>
      </c>
      <c r="R1031" s="140" t="s">
        <v>2713</v>
      </c>
      <c r="S1031" s="140">
        <v>4.0899999999999999E-2</v>
      </c>
      <c r="T1031" s="140">
        <v>3.5361290322580646E-2</v>
      </c>
      <c r="U1031" s="140">
        <f t="shared" si="38"/>
        <v>5.5387096774193526E-3</v>
      </c>
      <c r="V1031" s="140">
        <v>2.4049999999999998</v>
      </c>
      <c r="W1031" s="140">
        <f>5.397+4.361</f>
        <v>9.7579999999999991</v>
      </c>
      <c r="X1031" s="149">
        <f t="shared" si="37"/>
        <v>23.467989999999997</v>
      </c>
      <c r="Y1031" s="149"/>
    </row>
    <row r="1032" spans="1:25" ht="16">
      <c r="A1032" s="117" t="s">
        <v>3570</v>
      </c>
      <c r="B1032" s="139" t="s">
        <v>3454</v>
      </c>
      <c r="C1032" s="140" t="s">
        <v>1744</v>
      </c>
      <c r="D1032" s="140" t="s">
        <v>3551</v>
      </c>
      <c r="E1032" s="140" t="s">
        <v>3417</v>
      </c>
      <c r="F1032" s="140">
        <v>17</v>
      </c>
      <c r="G1032" s="140"/>
      <c r="H1032" s="140">
        <v>60</v>
      </c>
      <c r="I1032" s="141">
        <v>42247</v>
      </c>
      <c r="J1032" s="140" t="s">
        <v>36</v>
      </c>
      <c r="K1032" s="140" t="s">
        <v>154</v>
      </c>
      <c r="L1032" s="140" t="s">
        <v>2566</v>
      </c>
      <c r="M1032" s="140" t="s">
        <v>2567</v>
      </c>
      <c r="N1032" s="140" t="s">
        <v>2668</v>
      </c>
      <c r="O1032" s="140" t="s">
        <v>2600</v>
      </c>
      <c r="P1032" s="140" t="s">
        <v>2735</v>
      </c>
      <c r="Q1032" s="140" t="s">
        <v>3508</v>
      </c>
      <c r="R1032" s="140" t="s">
        <v>2713</v>
      </c>
      <c r="S1032" s="140">
        <v>4.2599999999999999E-2</v>
      </c>
      <c r="T1032" s="140">
        <v>3.5361290322580646E-2</v>
      </c>
      <c r="U1032" s="140">
        <f t="shared" si="38"/>
        <v>7.2387096774193527E-3</v>
      </c>
      <c r="V1032" s="140">
        <v>2.8370000000000002</v>
      </c>
      <c r="W1032" s="140">
        <f>6.204+6.797</f>
        <v>13.000999999999999</v>
      </c>
      <c r="X1032" s="149">
        <f t="shared" si="37"/>
        <v>36.883837</v>
      </c>
      <c r="Y1032" s="149"/>
    </row>
    <row r="1033" spans="1:25" ht="16">
      <c r="A1033" s="117" t="s">
        <v>3570</v>
      </c>
      <c r="B1033" s="139" t="s">
        <v>3455</v>
      </c>
      <c r="C1033" s="140" t="s">
        <v>1744</v>
      </c>
      <c r="D1033" s="140" t="s">
        <v>3551</v>
      </c>
      <c r="E1033" s="140" t="s">
        <v>3509</v>
      </c>
      <c r="F1033" s="140" t="s">
        <v>36</v>
      </c>
      <c r="G1033" s="140"/>
      <c r="H1033" s="140">
        <v>60</v>
      </c>
      <c r="I1033" s="141">
        <v>42248</v>
      </c>
      <c r="J1033" s="140" t="s">
        <v>36</v>
      </c>
      <c r="K1033" s="140" t="s">
        <v>154</v>
      </c>
      <c r="L1033" s="140" t="s">
        <v>2566</v>
      </c>
      <c r="M1033" s="140" t="s">
        <v>2567</v>
      </c>
      <c r="N1033" s="140" t="s">
        <v>2668</v>
      </c>
      <c r="O1033" s="140" t="s">
        <v>2600</v>
      </c>
      <c r="P1033" s="140" t="s">
        <v>2735</v>
      </c>
      <c r="Q1033" s="140" t="s">
        <v>3508</v>
      </c>
      <c r="R1033" s="140" t="s">
        <v>2713</v>
      </c>
      <c r="S1033" s="140">
        <v>4.2999999999999997E-2</v>
      </c>
      <c r="T1033" s="140">
        <v>3.5361290322580646E-2</v>
      </c>
      <c r="U1033" s="140">
        <f t="shared" si="38"/>
        <v>7.6387096774193503E-3</v>
      </c>
      <c r="V1033" s="140">
        <v>2.7040000000000002</v>
      </c>
      <c r="W1033" s="140">
        <f>5.864+5.454</f>
        <v>11.318</v>
      </c>
      <c r="X1033" s="149">
        <f t="shared" si="37"/>
        <v>30.603872000000003</v>
      </c>
      <c r="Y1033" s="149"/>
    </row>
    <row r="1034" spans="1:25" ht="16">
      <c r="A1034" s="117" t="s">
        <v>3570</v>
      </c>
      <c r="B1034" s="139" t="s">
        <v>3456</v>
      </c>
      <c r="C1034" s="140" t="s">
        <v>1744</v>
      </c>
      <c r="D1034" s="140" t="s">
        <v>3551</v>
      </c>
      <c r="E1034" s="140" t="s">
        <v>3510</v>
      </c>
      <c r="F1034" s="140">
        <v>634</v>
      </c>
      <c r="G1034" s="140"/>
      <c r="H1034" s="140">
        <v>60</v>
      </c>
      <c r="I1034" s="141">
        <v>42249</v>
      </c>
      <c r="J1034" s="140" t="s">
        <v>36</v>
      </c>
      <c r="K1034" s="140" t="s">
        <v>154</v>
      </c>
      <c r="L1034" s="140" t="s">
        <v>2566</v>
      </c>
      <c r="M1034" s="140" t="s">
        <v>2567</v>
      </c>
      <c r="N1034" s="140" t="s">
        <v>2668</v>
      </c>
      <c r="O1034" s="140" t="s">
        <v>2600</v>
      </c>
      <c r="P1034" s="140" t="s">
        <v>2735</v>
      </c>
      <c r="Q1034" s="140" t="s">
        <v>3508</v>
      </c>
      <c r="R1034" s="140" t="s">
        <v>2713</v>
      </c>
      <c r="S1034" s="140">
        <v>4.3299999999999998E-2</v>
      </c>
      <c r="T1034" s="140">
        <v>3.5361290322580646E-2</v>
      </c>
      <c r="U1034" s="140">
        <f t="shared" si="38"/>
        <v>7.9387096774193519E-3</v>
      </c>
      <c r="V1034" s="140">
        <v>2.8029999999999999</v>
      </c>
      <c r="W1034" s="140">
        <f>5.885+6.937</f>
        <v>12.821999999999999</v>
      </c>
      <c r="X1034" s="149">
        <f t="shared" si="37"/>
        <v>35.940065999999995</v>
      </c>
      <c r="Y1034" s="149"/>
    </row>
    <row r="1035" spans="1:25" ht="16">
      <c r="A1035" s="117" t="s">
        <v>3570</v>
      </c>
      <c r="B1035" s="139" t="s">
        <v>3457</v>
      </c>
      <c r="C1035" s="140" t="s">
        <v>1744</v>
      </c>
      <c r="D1035" s="140" t="s">
        <v>3551</v>
      </c>
      <c r="E1035" s="140" t="s">
        <v>3511</v>
      </c>
      <c r="F1035" s="140">
        <v>640</v>
      </c>
      <c r="G1035" s="140"/>
      <c r="H1035" s="140">
        <v>60</v>
      </c>
      <c r="I1035" s="141">
        <v>42250</v>
      </c>
      <c r="J1035" s="140" t="s">
        <v>36</v>
      </c>
      <c r="K1035" s="140" t="s">
        <v>154</v>
      </c>
      <c r="L1035" s="140" t="s">
        <v>2566</v>
      </c>
      <c r="M1035" s="140" t="s">
        <v>2567</v>
      </c>
      <c r="N1035" s="140" t="s">
        <v>2668</v>
      </c>
      <c r="O1035" s="140" t="s">
        <v>2600</v>
      </c>
      <c r="P1035" s="140" t="s">
        <v>2735</v>
      </c>
      <c r="Q1035" s="140" t="s">
        <v>3508</v>
      </c>
      <c r="R1035" s="140" t="s">
        <v>2713</v>
      </c>
      <c r="S1035" s="140">
        <v>4.2700000000000002E-2</v>
      </c>
      <c r="T1035" s="140">
        <v>3.5361290322580646E-2</v>
      </c>
      <c r="U1035" s="140">
        <f t="shared" si="38"/>
        <v>7.3387096774193555E-3</v>
      </c>
      <c r="V1035" s="140">
        <v>2.8</v>
      </c>
      <c r="W1035" s="140">
        <f>6.89+6.008</f>
        <v>12.898</v>
      </c>
      <c r="X1035" s="149">
        <f t="shared" si="37"/>
        <v>36.114399999999996</v>
      </c>
      <c r="Y1035" s="149"/>
    </row>
    <row r="1036" spans="1:25" ht="16">
      <c r="A1036" s="117" t="s">
        <v>3570</v>
      </c>
      <c r="B1036" s="139" t="s">
        <v>3458</v>
      </c>
      <c r="C1036" s="140" t="s">
        <v>1744</v>
      </c>
      <c r="D1036" s="140" t="s">
        <v>3551</v>
      </c>
      <c r="E1036" s="140" t="s">
        <v>3512</v>
      </c>
      <c r="F1036" s="140">
        <v>246</v>
      </c>
      <c r="G1036" s="140"/>
      <c r="H1036" s="140">
        <v>60</v>
      </c>
      <c r="I1036" s="141">
        <v>42251</v>
      </c>
      <c r="J1036" s="140" t="s">
        <v>36</v>
      </c>
      <c r="K1036" s="140" t="s">
        <v>154</v>
      </c>
      <c r="L1036" s="140" t="s">
        <v>2566</v>
      </c>
      <c r="M1036" s="140" t="s">
        <v>2567</v>
      </c>
      <c r="N1036" s="140" t="s">
        <v>2668</v>
      </c>
      <c r="O1036" s="140" t="s">
        <v>2600</v>
      </c>
      <c r="P1036" s="140" t="s">
        <v>2735</v>
      </c>
      <c r="Q1036" s="140" t="s">
        <v>3508</v>
      </c>
      <c r="R1036" s="140" t="s">
        <v>2713</v>
      </c>
      <c r="S1036" s="140">
        <v>4.1500000000000002E-2</v>
      </c>
      <c r="T1036" s="140">
        <v>3.5361290322580646E-2</v>
      </c>
      <c r="U1036" s="140">
        <f t="shared" si="38"/>
        <v>6.1387096774193559E-3</v>
      </c>
      <c r="V1036" s="140">
        <v>2.5830000000000002</v>
      </c>
      <c r="W1036" s="140">
        <v>12.167</v>
      </c>
      <c r="X1036" s="149">
        <f t="shared" si="37"/>
        <v>31.427361000000001</v>
      </c>
      <c r="Y1036" s="149"/>
    </row>
    <row r="1037" spans="1:25" ht="16">
      <c r="A1037" s="117" t="s">
        <v>3570</v>
      </c>
      <c r="B1037" s="139" t="s">
        <v>3459</v>
      </c>
      <c r="C1037" s="140" t="s">
        <v>1744</v>
      </c>
      <c r="D1037" s="140" t="s">
        <v>3551</v>
      </c>
      <c r="E1037" s="140" t="s">
        <v>3509</v>
      </c>
      <c r="F1037" s="140" t="s">
        <v>36</v>
      </c>
      <c r="G1037" s="140"/>
      <c r="H1037" s="140">
        <v>60</v>
      </c>
      <c r="I1037" s="141">
        <v>42252</v>
      </c>
      <c r="J1037" s="140" t="s">
        <v>36</v>
      </c>
      <c r="K1037" s="140" t="s">
        <v>154</v>
      </c>
      <c r="L1037" s="140" t="s">
        <v>2566</v>
      </c>
      <c r="M1037" s="140" t="s">
        <v>2567</v>
      </c>
      <c r="N1037" s="140" t="s">
        <v>2668</v>
      </c>
      <c r="O1037" s="140" t="s">
        <v>2600</v>
      </c>
      <c r="P1037" s="140" t="s">
        <v>2735</v>
      </c>
      <c r="Q1037" s="140" t="s">
        <v>3508</v>
      </c>
      <c r="R1037" s="140" t="s">
        <v>2713</v>
      </c>
      <c r="S1037" s="140">
        <v>4.2999999999999997E-2</v>
      </c>
      <c r="T1037" s="140">
        <v>3.5361290322580646E-2</v>
      </c>
      <c r="U1037" s="140">
        <f t="shared" si="38"/>
        <v>7.6387096774193503E-3</v>
      </c>
      <c r="V1037" s="140">
        <v>2.8079999999999998</v>
      </c>
      <c r="W1037" s="140">
        <f>7.181+6.422</f>
        <v>13.603</v>
      </c>
      <c r="X1037" s="149">
        <f t="shared" si="37"/>
        <v>38.197223999999999</v>
      </c>
      <c r="Y1037" s="149"/>
    </row>
    <row r="1038" spans="1:25" ht="16">
      <c r="A1038" s="117" t="s">
        <v>3570</v>
      </c>
      <c r="B1038" s="139" t="s">
        <v>3460</v>
      </c>
      <c r="C1038" s="140" t="s">
        <v>1744</v>
      </c>
      <c r="D1038" s="140" t="s">
        <v>3551</v>
      </c>
      <c r="E1038" s="140" t="s">
        <v>3421</v>
      </c>
      <c r="F1038" s="140">
        <v>530</v>
      </c>
      <c r="G1038" s="140"/>
      <c r="H1038" s="140">
        <v>60</v>
      </c>
      <c r="I1038" s="141">
        <v>42253</v>
      </c>
      <c r="J1038" s="140" t="s">
        <v>36</v>
      </c>
      <c r="K1038" s="140" t="s">
        <v>154</v>
      </c>
      <c r="L1038" s="140" t="s">
        <v>2566</v>
      </c>
      <c r="M1038" s="140" t="s">
        <v>2567</v>
      </c>
      <c r="N1038" s="140" t="s">
        <v>2668</v>
      </c>
      <c r="O1038" s="140" t="s">
        <v>2600</v>
      </c>
      <c r="P1038" s="140" t="s">
        <v>2735</v>
      </c>
      <c r="Q1038" s="140" t="s">
        <v>3508</v>
      </c>
      <c r="R1038" s="140" t="s">
        <v>2713</v>
      </c>
      <c r="S1038" s="140">
        <v>4.2299999999999997E-2</v>
      </c>
      <c r="T1038" s="140">
        <v>3.5361290322580646E-2</v>
      </c>
      <c r="U1038" s="140">
        <f t="shared" si="38"/>
        <v>6.938709677419351E-3</v>
      </c>
      <c r="V1038" s="140">
        <v>2.871</v>
      </c>
      <c r="W1038" s="140">
        <f>5.986+6.949</f>
        <v>12.934999999999999</v>
      </c>
      <c r="X1038" s="149">
        <f t="shared" si="37"/>
        <v>37.136384999999997</v>
      </c>
      <c r="Y1038" s="149"/>
    </row>
    <row r="1039" spans="1:25" ht="16">
      <c r="A1039" s="117" t="s">
        <v>3570</v>
      </c>
      <c r="B1039" s="139" t="s">
        <v>3461</v>
      </c>
      <c r="C1039" s="140" t="s">
        <v>1744</v>
      </c>
      <c r="D1039" s="140" t="s">
        <v>3551</v>
      </c>
      <c r="E1039" s="140" t="s">
        <v>3513</v>
      </c>
      <c r="F1039" s="140" t="s">
        <v>36</v>
      </c>
      <c r="G1039" s="140"/>
      <c r="H1039" s="140">
        <v>60</v>
      </c>
      <c r="I1039" s="141">
        <v>42254</v>
      </c>
      <c r="J1039" s="140" t="s">
        <v>36</v>
      </c>
      <c r="K1039" s="140" t="s">
        <v>154</v>
      </c>
      <c r="L1039" s="140" t="s">
        <v>2566</v>
      </c>
      <c r="M1039" s="140" t="s">
        <v>2567</v>
      </c>
      <c r="N1039" s="140" t="s">
        <v>2668</v>
      </c>
      <c r="O1039" s="140" t="s">
        <v>2600</v>
      </c>
      <c r="P1039" s="140" t="s">
        <v>2735</v>
      </c>
      <c r="Q1039" s="140" t="s">
        <v>3508</v>
      </c>
      <c r="R1039" s="140" t="s">
        <v>2713</v>
      </c>
      <c r="S1039" s="140">
        <v>4.2700000000000002E-2</v>
      </c>
      <c r="T1039" s="140">
        <v>3.5361290322580646E-2</v>
      </c>
      <c r="U1039" s="140">
        <f t="shared" si="38"/>
        <v>7.3387096774193555E-3</v>
      </c>
      <c r="V1039" s="140">
        <v>2.7240000000000002</v>
      </c>
      <c r="W1039" s="140">
        <f>7.232+5.695</f>
        <v>12.927</v>
      </c>
      <c r="X1039" s="149">
        <f t="shared" si="37"/>
        <v>35.213148000000004</v>
      </c>
      <c r="Y1039" s="149"/>
    </row>
    <row r="1040" spans="1:25" ht="16">
      <c r="A1040" s="117" t="s">
        <v>3570</v>
      </c>
      <c r="B1040" s="139" t="s">
        <v>3462</v>
      </c>
      <c r="C1040" s="140" t="s">
        <v>1744</v>
      </c>
      <c r="D1040" s="140" t="s">
        <v>3551</v>
      </c>
      <c r="E1040" s="140" t="s">
        <v>3509</v>
      </c>
      <c r="F1040" s="140" t="s">
        <v>36</v>
      </c>
      <c r="G1040" s="140"/>
      <c r="H1040" s="140">
        <v>60</v>
      </c>
      <c r="I1040" s="141">
        <v>42255</v>
      </c>
      <c r="J1040" s="140" t="s">
        <v>36</v>
      </c>
      <c r="K1040" s="140" t="s">
        <v>154</v>
      </c>
      <c r="L1040" s="140" t="s">
        <v>2566</v>
      </c>
      <c r="M1040" s="140" t="s">
        <v>2567</v>
      </c>
      <c r="N1040" s="140" t="s">
        <v>2668</v>
      </c>
      <c r="O1040" s="140" t="s">
        <v>2600</v>
      </c>
      <c r="P1040" s="140" t="s">
        <v>2735</v>
      </c>
      <c r="Q1040" s="140" t="s">
        <v>3508</v>
      </c>
      <c r="R1040" s="140" t="s">
        <v>2713</v>
      </c>
      <c r="S1040" s="140">
        <v>4.24E-2</v>
      </c>
      <c r="T1040" s="140">
        <v>3.5361290322580646E-2</v>
      </c>
      <c r="U1040" s="140">
        <f t="shared" si="38"/>
        <v>7.0387096774193539E-3</v>
      </c>
      <c r="V1040" s="140">
        <v>2.6629999999999998</v>
      </c>
      <c r="W1040" s="140">
        <f>6.045+6.424</f>
        <v>12.469000000000001</v>
      </c>
      <c r="X1040" s="149">
        <f t="shared" si="37"/>
        <v>33.204947000000004</v>
      </c>
      <c r="Y1040" s="149"/>
    </row>
    <row r="1041" spans="1:25" ht="16">
      <c r="A1041" s="117" t="s">
        <v>3570</v>
      </c>
      <c r="B1041" s="139" t="s">
        <v>3463</v>
      </c>
      <c r="C1041" s="140" t="s">
        <v>1744</v>
      </c>
      <c r="D1041" s="140" t="s">
        <v>3551</v>
      </c>
      <c r="E1041" s="140" t="s">
        <v>3514</v>
      </c>
      <c r="F1041" s="140" t="s">
        <v>36</v>
      </c>
      <c r="G1041" s="140"/>
      <c r="H1041" s="140">
        <v>60</v>
      </c>
      <c r="I1041" s="141">
        <v>42256</v>
      </c>
      <c r="J1041" s="140" t="s">
        <v>36</v>
      </c>
      <c r="K1041" s="140" t="s">
        <v>154</v>
      </c>
      <c r="L1041" s="140" t="s">
        <v>2566</v>
      </c>
      <c r="M1041" s="140" t="s">
        <v>2567</v>
      </c>
      <c r="N1041" s="140" t="s">
        <v>2668</v>
      </c>
      <c r="O1041" s="140" t="s">
        <v>2600</v>
      </c>
      <c r="P1041" s="140" t="s">
        <v>2735</v>
      </c>
      <c r="Q1041" s="140" t="s">
        <v>3508</v>
      </c>
      <c r="R1041" s="140" t="s">
        <v>2713</v>
      </c>
      <c r="S1041" s="140">
        <v>4.2299999999999997E-2</v>
      </c>
      <c r="T1041" s="140">
        <v>3.5361290322580646E-2</v>
      </c>
      <c r="U1041" s="140">
        <f t="shared" si="38"/>
        <v>6.938709677419351E-3</v>
      </c>
      <c r="V1041" s="140">
        <v>2.5099999999999998</v>
      </c>
      <c r="W1041" s="140">
        <f>5.636+6.558</f>
        <v>12.193999999999999</v>
      </c>
      <c r="X1041" s="149">
        <f t="shared" si="37"/>
        <v>30.606939999999994</v>
      </c>
      <c r="Y1041" s="149"/>
    </row>
    <row r="1042" spans="1:25" ht="16">
      <c r="A1042" s="117" t="s">
        <v>3570</v>
      </c>
      <c r="B1042" s="139" t="s">
        <v>3464</v>
      </c>
      <c r="C1042" s="140" t="s">
        <v>1744</v>
      </c>
      <c r="D1042" s="140" t="s">
        <v>3551</v>
      </c>
      <c r="E1042" s="140" t="s">
        <v>3515</v>
      </c>
      <c r="F1042" s="140" t="s">
        <v>36</v>
      </c>
      <c r="G1042" s="140"/>
      <c r="H1042" s="140">
        <v>60</v>
      </c>
      <c r="I1042" s="141">
        <v>42257</v>
      </c>
      <c r="J1042" s="140" t="s">
        <v>36</v>
      </c>
      <c r="K1042" s="140" t="s">
        <v>154</v>
      </c>
      <c r="L1042" s="140" t="s">
        <v>2566</v>
      </c>
      <c r="M1042" s="140" t="s">
        <v>2567</v>
      </c>
      <c r="N1042" s="140" t="s">
        <v>2668</v>
      </c>
      <c r="O1042" s="140" t="s">
        <v>2600</v>
      </c>
      <c r="P1042" s="140" t="s">
        <v>2735</v>
      </c>
      <c r="Q1042" s="140" t="s">
        <v>3508</v>
      </c>
      <c r="R1042" s="140" t="s">
        <v>2712</v>
      </c>
      <c r="S1042" s="140">
        <v>3.8899999999999997E-2</v>
      </c>
      <c r="T1042" s="140">
        <v>3.5361290322580646E-2</v>
      </c>
      <c r="U1042" s="140">
        <f t="shared" si="38"/>
        <v>3.5387096774193508E-3</v>
      </c>
      <c r="V1042" s="140">
        <v>2.085</v>
      </c>
      <c r="W1042" s="140">
        <f>4.952+4.24</f>
        <v>9.1920000000000002</v>
      </c>
      <c r="X1042" s="149">
        <f t="shared" si="37"/>
        <v>19.165320000000001</v>
      </c>
      <c r="Y1042" s="149"/>
    </row>
    <row r="1043" spans="1:25" ht="16">
      <c r="A1043" s="117" t="s">
        <v>3570</v>
      </c>
      <c r="B1043" s="139" t="s">
        <v>3465</v>
      </c>
      <c r="C1043" s="140" t="s">
        <v>1744</v>
      </c>
      <c r="D1043" s="140" t="s">
        <v>3551</v>
      </c>
      <c r="E1043" s="140" t="s">
        <v>3516</v>
      </c>
      <c r="F1043" s="140" t="s">
        <v>36</v>
      </c>
      <c r="G1043" s="140"/>
      <c r="H1043" s="140">
        <v>60</v>
      </c>
      <c r="I1043" s="141">
        <v>42258</v>
      </c>
      <c r="J1043" s="140" t="s">
        <v>36</v>
      </c>
      <c r="K1043" s="140" t="s">
        <v>154</v>
      </c>
      <c r="L1043" s="140" t="s">
        <v>2566</v>
      </c>
      <c r="M1043" s="140" t="s">
        <v>2567</v>
      </c>
      <c r="N1043" s="140" t="s">
        <v>2668</v>
      </c>
      <c r="O1043" s="140" t="s">
        <v>2600</v>
      </c>
      <c r="P1043" s="140" t="s">
        <v>2735</v>
      </c>
      <c r="Q1043" s="140" t="s">
        <v>3508</v>
      </c>
      <c r="R1043" s="140" t="s">
        <v>2713</v>
      </c>
      <c r="S1043" s="140">
        <v>3.8800000000000001E-2</v>
      </c>
      <c r="T1043" s="140">
        <v>3.5361290322580646E-2</v>
      </c>
      <c r="U1043" s="140">
        <f t="shared" si="38"/>
        <v>3.4387096774193548E-3</v>
      </c>
      <c r="V1043" s="140">
        <v>2.165</v>
      </c>
      <c r="W1043" s="140">
        <f>4.753+4.883</f>
        <v>9.6359999999999992</v>
      </c>
      <c r="X1043" s="149">
        <f t="shared" si="37"/>
        <v>20.861939999999997</v>
      </c>
      <c r="Y1043" s="149"/>
    </row>
    <row r="1044" spans="1:25" ht="16">
      <c r="A1044" s="117" t="s">
        <v>3570</v>
      </c>
      <c r="B1044" s="139" t="s">
        <v>3466</v>
      </c>
      <c r="C1044" s="140" t="s">
        <v>1744</v>
      </c>
      <c r="D1044" s="140" t="s">
        <v>3551</v>
      </c>
      <c r="E1044" s="140" t="s">
        <v>3518</v>
      </c>
      <c r="F1044" s="140" t="s">
        <v>36</v>
      </c>
      <c r="G1044" s="140"/>
      <c r="H1044" s="140">
        <v>60</v>
      </c>
      <c r="I1044" s="141">
        <v>42259</v>
      </c>
      <c r="J1044" s="140" t="s">
        <v>36</v>
      </c>
      <c r="K1044" s="140" t="s">
        <v>154</v>
      </c>
      <c r="L1044" s="140" t="s">
        <v>2566</v>
      </c>
      <c r="M1044" s="140" t="s">
        <v>2567</v>
      </c>
      <c r="N1044" s="140" t="s">
        <v>2668</v>
      </c>
      <c r="O1044" s="140" t="s">
        <v>2600</v>
      </c>
      <c r="P1044" s="140" t="s">
        <v>2735</v>
      </c>
      <c r="Q1044" s="140" t="s">
        <v>3517</v>
      </c>
      <c r="R1044" s="140" t="s">
        <v>2713</v>
      </c>
      <c r="S1044" s="140">
        <v>3.8300000000000001E-2</v>
      </c>
      <c r="T1044" s="140">
        <v>3.5361290322580646E-2</v>
      </c>
      <c r="U1044" s="140">
        <f t="shared" si="38"/>
        <v>2.9387096774193544E-3</v>
      </c>
      <c r="V1044" s="140">
        <v>2.2330000000000001</v>
      </c>
      <c r="W1044" s="140">
        <f>4.562+5.741</f>
        <v>10.303000000000001</v>
      </c>
      <c r="X1044" s="149">
        <f t="shared" si="37"/>
        <v>23.006599000000001</v>
      </c>
      <c r="Y1044" s="149"/>
    </row>
    <row r="1045" spans="1:25" ht="16">
      <c r="A1045" s="117" t="s">
        <v>3570</v>
      </c>
      <c r="B1045" s="139" t="s">
        <v>3467</v>
      </c>
      <c r="C1045" s="140" t="s">
        <v>1744</v>
      </c>
      <c r="D1045" s="140" t="s">
        <v>3551</v>
      </c>
      <c r="E1045" s="140" t="s">
        <v>3519</v>
      </c>
      <c r="F1045" s="140" t="s">
        <v>36</v>
      </c>
      <c r="G1045" s="140"/>
      <c r="H1045" s="140">
        <v>60</v>
      </c>
      <c r="I1045" s="141">
        <v>42260</v>
      </c>
      <c r="J1045" s="140" t="s">
        <v>36</v>
      </c>
      <c r="K1045" s="140" t="s">
        <v>154</v>
      </c>
      <c r="L1045" s="140" t="s">
        <v>2566</v>
      </c>
      <c r="M1045" s="140" t="s">
        <v>2567</v>
      </c>
      <c r="N1045" s="140" t="s">
        <v>2668</v>
      </c>
      <c r="O1045" s="140" t="s">
        <v>2600</v>
      </c>
      <c r="P1045" s="140" t="s">
        <v>2735</v>
      </c>
      <c r="Q1045" s="140" t="s">
        <v>3517</v>
      </c>
      <c r="R1045" s="140" t="s">
        <v>2713</v>
      </c>
      <c r="S1045" s="140">
        <v>3.9E-2</v>
      </c>
      <c r="T1045" s="140">
        <v>3.5361290322580646E-2</v>
      </c>
      <c r="U1045" s="140">
        <f t="shared" si="38"/>
        <v>3.6387096774193536E-3</v>
      </c>
      <c r="V1045" s="140">
        <v>2.3079999999999998</v>
      </c>
      <c r="W1045" s="140">
        <f>5.213+5.547</f>
        <v>10.76</v>
      </c>
      <c r="X1045" s="149">
        <f t="shared" si="37"/>
        <v>24.834079999999997</v>
      </c>
      <c r="Y1045" s="149"/>
    </row>
    <row r="1046" spans="1:25" ht="16">
      <c r="A1046" s="117" t="s">
        <v>3570</v>
      </c>
      <c r="B1046" s="139" t="s">
        <v>3468</v>
      </c>
      <c r="C1046" s="140" t="s">
        <v>1744</v>
      </c>
      <c r="D1046" s="140" t="s">
        <v>3551</v>
      </c>
      <c r="E1046" s="140" t="s">
        <v>3520</v>
      </c>
      <c r="F1046" s="140">
        <v>588</v>
      </c>
      <c r="G1046" s="140"/>
      <c r="H1046" s="140">
        <v>60</v>
      </c>
      <c r="I1046" s="141">
        <v>42261</v>
      </c>
      <c r="J1046" s="140" t="s">
        <v>36</v>
      </c>
      <c r="K1046" s="140" t="s">
        <v>154</v>
      </c>
      <c r="L1046" s="140" t="s">
        <v>2566</v>
      </c>
      <c r="M1046" s="140" t="s">
        <v>2567</v>
      </c>
      <c r="N1046" s="140" t="s">
        <v>2668</v>
      </c>
      <c r="O1046" s="140" t="s">
        <v>2600</v>
      </c>
      <c r="P1046" s="140" t="s">
        <v>2735</v>
      </c>
      <c r="Q1046" s="140" t="s">
        <v>3517</v>
      </c>
      <c r="R1046" s="140" t="s">
        <v>2713</v>
      </c>
      <c r="S1046" s="140">
        <v>4.2299999999999997E-2</v>
      </c>
      <c r="T1046" s="140">
        <v>3.5361290322580646E-2</v>
      </c>
      <c r="U1046" s="140">
        <f t="shared" si="38"/>
        <v>6.938709677419351E-3</v>
      </c>
      <c r="V1046" s="140">
        <v>2.95</v>
      </c>
      <c r="W1046" s="140">
        <f>5.599+5.354</f>
        <v>10.952999999999999</v>
      </c>
      <c r="X1046" s="149">
        <f t="shared" si="37"/>
        <v>32.311349999999997</v>
      </c>
      <c r="Y1046" s="149"/>
    </row>
    <row r="1047" spans="1:25" ht="16">
      <c r="A1047" s="117" t="s">
        <v>3570</v>
      </c>
      <c r="B1047" s="139" t="s">
        <v>3469</v>
      </c>
      <c r="C1047" s="140" t="s">
        <v>1744</v>
      </c>
      <c r="D1047" s="140" t="s">
        <v>3551</v>
      </c>
      <c r="E1047" s="140" t="s">
        <v>3521</v>
      </c>
      <c r="F1047" s="140">
        <v>158</v>
      </c>
      <c r="G1047" s="140"/>
      <c r="H1047" s="140">
        <v>60</v>
      </c>
      <c r="I1047" s="141">
        <v>42262</v>
      </c>
      <c r="J1047" s="140" t="s">
        <v>36</v>
      </c>
      <c r="K1047" s="140" t="s">
        <v>154</v>
      </c>
      <c r="L1047" s="140" t="s">
        <v>2566</v>
      </c>
      <c r="M1047" s="140" t="s">
        <v>2567</v>
      </c>
      <c r="N1047" s="140" t="s">
        <v>2668</v>
      </c>
      <c r="O1047" s="140" t="s">
        <v>2600</v>
      </c>
      <c r="P1047" s="140" t="s">
        <v>2735</v>
      </c>
      <c r="Q1047" s="140" t="s">
        <v>3517</v>
      </c>
      <c r="R1047" s="140" t="s">
        <v>2713</v>
      </c>
      <c r="S1047" s="140">
        <v>3.9699999999999999E-2</v>
      </c>
      <c r="T1047" s="140">
        <v>3.5361290322580646E-2</v>
      </c>
      <c r="U1047" s="140">
        <f t="shared" si="38"/>
        <v>4.3387096774193529E-3</v>
      </c>
      <c r="V1047" s="140">
        <v>2.3380000000000001</v>
      </c>
      <c r="W1047" s="140">
        <f>5.227+6.091</f>
        <v>11.318000000000001</v>
      </c>
      <c r="X1047" s="149">
        <f t="shared" si="37"/>
        <v>26.461484000000006</v>
      </c>
      <c r="Y1047" s="149"/>
    </row>
    <row r="1048" spans="1:25" ht="16">
      <c r="A1048" s="117" t="s">
        <v>3570</v>
      </c>
      <c r="B1048" s="139" t="s">
        <v>3470</v>
      </c>
      <c r="C1048" s="140" t="s">
        <v>1744</v>
      </c>
      <c r="D1048" s="140" t="s">
        <v>3551</v>
      </c>
      <c r="E1048" s="140" t="s">
        <v>3522</v>
      </c>
      <c r="F1048" s="140">
        <v>477</v>
      </c>
      <c r="G1048" s="140"/>
      <c r="H1048" s="140">
        <v>60</v>
      </c>
      <c r="I1048" s="141">
        <v>42263</v>
      </c>
      <c r="J1048" s="140" t="s">
        <v>36</v>
      </c>
      <c r="K1048" s="140" t="s">
        <v>154</v>
      </c>
      <c r="L1048" s="140" t="s">
        <v>2566</v>
      </c>
      <c r="M1048" s="140" t="s">
        <v>2567</v>
      </c>
      <c r="N1048" s="140" t="s">
        <v>2668</v>
      </c>
      <c r="O1048" s="140" t="s">
        <v>2600</v>
      </c>
      <c r="P1048" s="140" t="s">
        <v>2735</v>
      </c>
      <c r="Q1048" s="140" t="s">
        <v>3517</v>
      </c>
      <c r="R1048" s="140" t="s">
        <v>2713</v>
      </c>
      <c r="S1048" s="140">
        <v>3.9199999999999999E-2</v>
      </c>
      <c r="T1048" s="140">
        <v>3.5361290322580646E-2</v>
      </c>
      <c r="U1048" s="140">
        <f t="shared" si="38"/>
        <v>3.8387096774193524E-3</v>
      </c>
      <c r="V1048" s="140">
        <v>2.411</v>
      </c>
      <c r="W1048" s="140">
        <f>4.842+5.19</f>
        <v>10.032</v>
      </c>
      <c r="X1048" s="149">
        <f t="shared" si="37"/>
        <v>24.187152000000001</v>
      </c>
      <c r="Y1048" s="149"/>
    </row>
    <row r="1049" spans="1:25" ht="16">
      <c r="A1049" s="117" t="s">
        <v>3570</v>
      </c>
      <c r="B1049" s="139" t="s">
        <v>3471</v>
      </c>
      <c r="C1049" s="140" t="s">
        <v>1744</v>
      </c>
      <c r="D1049" s="140" t="s">
        <v>3551</v>
      </c>
      <c r="E1049" s="140" t="s">
        <v>3522</v>
      </c>
      <c r="F1049" s="140">
        <v>474</v>
      </c>
      <c r="G1049" s="140"/>
      <c r="H1049" s="140">
        <v>60</v>
      </c>
      <c r="I1049" s="141">
        <v>42264</v>
      </c>
      <c r="J1049" s="140" t="s">
        <v>36</v>
      </c>
      <c r="K1049" s="140" t="s">
        <v>154</v>
      </c>
      <c r="L1049" s="140" t="s">
        <v>2566</v>
      </c>
      <c r="M1049" s="140" t="s">
        <v>2567</v>
      </c>
      <c r="N1049" s="140" t="s">
        <v>2668</v>
      </c>
      <c r="O1049" s="140" t="s">
        <v>2600</v>
      </c>
      <c r="P1049" s="140" t="s">
        <v>2735</v>
      </c>
      <c r="Q1049" s="140" t="s">
        <v>3517</v>
      </c>
      <c r="R1049" s="140" t="s">
        <v>2713</v>
      </c>
      <c r="S1049" s="140">
        <v>3.95E-2</v>
      </c>
      <c r="T1049" s="140">
        <v>3.5361290322580646E-2</v>
      </c>
      <c r="U1049" s="140">
        <f t="shared" si="38"/>
        <v>4.1387096774193541E-3</v>
      </c>
      <c r="V1049" s="140">
        <v>2.387</v>
      </c>
      <c r="W1049" s="140">
        <f>6.033+4.924</f>
        <v>10.957000000000001</v>
      </c>
      <c r="X1049" s="149">
        <f t="shared" si="37"/>
        <v>26.154359000000003</v>
      </c>
      <c r="Y1049" s="149"/>
    </row>
    <row r="1050" spans="1:25" ht="16">
      <c r="A1050" s="117" t="s">
        <v>3570</v>
      </c>
      <c r="B1050" s="139" t="s">
        <v>3472</v>
      </c>
      <c r="C1050" s="140" t="s">
        <v>1744</v>
      </c>
      <c r="D1050" s="140" t="s">
        <v>3551</v>
      </c>
      <c r="E1050" s="140" t="s">
        <v>3523</v>
      </c>
      <c r="F1050" s="140">
        <v>508</v>
      </c>
      <c r="G1050" s="140"/>
      <c r="H1050" s="140">
        <v>60</v>
      </c>
      <c r="I1050" s="141">
        <v>42265</v>
      </c>
      <c r="J1050" s="140" t="s">
        <v>36</v>
      </c>
      <c r="K1050" s="140" t="s">
        <v>154</v>
      </c>
      <c r="L1050" s="140" t="s">
        <v>2566</v>
      </c>
      <c r="M1050" s="140" t="s">
        <v>2567</v>
      </c>
      <c r="N1050" s="140" t="s">
        <v>2668</v>
      </c>
      <c r="O1050" s="140" t="s">
        <v>2600</v>
      </c>
      <c r="P1050" s="140" t="s">
        <v>2735</v>
      </c>
      <c r="Q1050" s="140" t="s">
        <v>3517</v>
      </c>
      <c r="R1050" s="140" t="s">
        <v>2713</v>
      </c>
      <c r="S1050" s="140">
        <v>3.9199999999999999E-2</v>
      </c>
      <c r="T1050" s="140">
        <v>3.5361290322580646E-2</v>
      </c>
      <c r="U1050" s="140">
        <f t="shared" si="38"/>
        <v>3.8387096774193524E-3</v>
      </c>
      <c r="V1050" s="140">
        <v>2.3119999999999998</v>
      </c>
      <c r="W1050" s="140">
        <f>5.162+6.229</f>
        <v>11.391</v>
      </c>
      <c r="X1050" s="149">
        <f t="shared" si="37"/>
        <v>26.335991999999997</v>
      </c>
      <c r="Y1050" s="149"/>
    </row>
    <row r="1051" spans="1:25" ht="16">
      <c r="A1051" s="117" t="s">
        <v>3570</v>
      </c>
      <c r="B1051" s="139" t="s">
        <v>3473</v>
      </c>
      <c r="C1051" s="140" t="s">
        <v>1744</v>
      </c>
      <c r="D1051" s="140" t="s">
        <v>3551</v>
      </c>
      <c r="E1051" s="140" t="s">
        <v>3524</v>
      </c>
      <c r="F1051" s="140">
        <v>509</v>
      </c>
      <c r="G1051" s="140"/>
      <c r="H1051" s="140">
        <v>60</v>
      </c>
      <c r="I1051" s="141">
        <v>42266</v>
      </c>
      <c r="J1051" s="140" t="s">
        <v>36</v>
      </c>
      <c r="K1051" s="140" t="s">
        <v>154</v>
      </c>
      <c r="L1051" s="140" t="s">
        <v>2566</v>
      </c>
      <c r="M1051" s="140" t="s">
        <v>2567</v>
      </c>
      <c r="N1051" s="140" t="s">
        <v>2668</v>
      </c>
      <c r="O1051" s="140" t="s">
        <v>2600</v>
      </c>
      <c r="P1051" s="140" t="s">
        <v>2735</v>
      </c>
      <c r="Q1051" s="140" t="s">
        <v>3517</v>
      </c>
      <c r="R1051" s="140" t="s">
        <v>2713</v>
      </c>
      <c r="S1051" s="140">
        <v>3.95E-2</v>
      </c>
      <c r="T1051" s="140">
        <v>3.5361290322580646E-2</v>
      </c>
      <c r="U1051" s="140">
        <f t="shared" si="38"/>
        <v>4.1387096774193541E-3</v>
      </c>
      <c r="V1051" s="140">
        <v>2.2690000000000001</v>
      </c>
      <c r="W1051" s="140">
        <f>4.775+6.259</f>
        <v>11.034000000000001</v>
      </c>
      <c r="X1051" s="149">
        <f t="shared" si="37"/>
        <v>25.036146000000002</v>
      </c>
      <c r="Y1051" s="149"/>
    </row>
    <row r="1052" spans="1:25" ht="16">
      <c r="A1052" s="117" t="s">
        <v>3570</v>
      </c>
      <c r="B1052" s="139" t="s">
        <v>3474</v>
      </c>
      <c r="C1052" s="140" t="s">
        <v>1744</v>
      </c>
      <c r="D1052" s="140" t="s">
        <v>3551</v>
      </c>
      <c r="E1052" s="140" t="s">
        <v>3525</v>
      </c>
      <c r="F1052" s="140">
        <v>495</v>
      </c>
      <c r="G1052" s="140"/>
      <c r="H1052" s="140">
        <v>60</v>
      </c>
      <c r="I1052" s="141">
        <v>42267</v>
      </c>
      <c r="J1052" s="140" t="s">
        <v>36</v>
      </c>
      <c r="K1052" s="140" t="s">
        <v>154</v>
      </c>
      <c r="L1052" s="140" t="s">
        <v>2566</v>
      </c>
      <c r="M1052" s="140" t="s">
        <v>2567</v>
      </c>
      <c r="N1052" s="140" t="s">
        <v>2668</v>
      </c>
      <c r="O1052" s="140" t="s">
        <v>2600</v>
      </c>
      <c r="P1052" s="140" t="s">
        <v>2735</v>
      </c>
      <c r="Q1052" s="140" t="s">
        <v>3517</v>
      </c>
      <c r="R1052" s="140" t="s">
        <v>2713</v>
      </c>
      <c r="S1052" s="140">
        <v>3.8800000000000001E-2</v>
      </c>
      <c r="T1052" s="140">
        <v>3.5361290322580646E-2</v>
      </c>
      <c r="U1052" s="140">
        <f t="shared" si="38"/>
        <v>3.4387096774193548E-3</v>
      </c>
      <c r="V1052" s="140">
        <v>2.17</v>
      </c>
      <c r="W1052" s="140">
        <f>5.325+4.904</f>
        <v>10.228999999999999</v>
      </c>
      <c r="X1052" s="149">
        <f t="shared" si="37"/>
        <v>22.196929999999998</v>
      </c>
      <c r="Y1052" s="149"/>
    </row>
    <row r="1053" spans="1:25" ht="16">
      <c r="A1053" s="117" t="s">
        <v>3570</v>
      </c>
      <c r="B1053" s="139" t="s">
        <v>3475</v>
      </c>
      <c r="C1053" s="140" t="s">
        <v>1744</v>
      </c>
      <c r="D1053" s="140" t="s">
        <v>3551</v>
      </c>
      <c r="E1053" s="140" t="s">
        <v>3526</v>
      </c>
      <c r="F1053" s="140">
        <v>491</v>
      </c>
      <c r="G1053" s="140"/>
      <c r="H1053" s="140">
        <v>60</v>
      </c>
      <c r="I1053" s="141">
        <v>42268</v>
      </c>
      <c r="J1053" s="140" t="s">
        <v>36</v>
      </c>
      <c r="K1053" s="140" t="s">
        <v>154</v>
      </c>
      <c r="L1053" s="140" t="s">
        <v>2566</v>
      </c>
      <c r="M1053" s="140" t="s">
        <v>2567</v>
      </c>
      <c r="N1053" s="140" t="s">
        <v>2668</v>
      </c>
      <c r="O1053" s="140" t="s">
        <v>2600</v>
      </c>
      <c r="P1053" s="140" t="s">
        <v>2735</v>
      </c>
      <c r="Q1053" s="140" t="s">
        <v>3517</v>
      </c>
      <c r="R1053" s="140" t="s">
        <v>2713</v>
      </c>
      <c r="S1053" s="140">
        <v>3.9399999999999998E-2</v>
      </c>
      <c r="T1053" s="140">
        <v>3.5361290322580646E-2</v>
      </c>
      <c r="U1053" s="140">
        <f t="shared" si="38"/>
        <v>4.0387096774193512E-3</v>
      </c>
      <c r="V1053" s="140">
        <v>2.2400000000000002</v>
      </c>
      <c r="W1053" s="140">
        <f>4.939+5.476</f>
        <v>10.414999999999999</v>
      </c>
      <c r="X1053" s="149">
        <f t="shared" si="37"/>
        <v>23.329599999999999</v>
      </c>
      <c r="Y1053" s="149"/>
    </row>
    <row r="1054" spans="1:25" ht="16">
      <c r="A1054" s="117" t="s">
        <v>3570</v>
      </c>
      <c r="B1054" s="139" t="s">
        <v>3476</v>
      </c>
      <c r="C1054" s="140" t="s">
        <v>1744</v>
      </c>
      <c r="D1054" s="140" t="s">
        <v>3551</v>
      </c>
      <c r="E1054" s="140" t="s">
        <v>3527</v>
      </c>
      <c r="F1054" s="140">
        <v>480</v>
      </c>
      <c r="G1054" s="140"/>
      <c r="H1054" s="140">
        <v>60</v>
      </c>
      <c r="I1054" s="141">
        <v>42269</v>
      </c>
      <c r="J1054" s="140" t="s">
        <v>36</v>
      </c>
      <c r="K1054" s="140" t="s">
        <v>154</v>
      </c>
      <c r="L1054" s="140" t="s">
        <v>2566</v>
      </c>
      <c r="M1054" s="140" t="s">
        <v>2567</v>
      </c>
      <c r="N1054" s="140" t="s">
        <v>2668</v>
      </c>
      <c r="O1054" s="140" t="s">
        <v>2600</v>
      </c>
      <c r="P1054" s="140" t="s">
        <v>2735</v>
      </c>
      <c r="Q1054" s="140" t="s">
        <v>3517</v>
      </c>
      <c r="R1054" s="140" t="s">
        <v>2713</v>
      </c>
      <c r="S1054" s="140">
        <v>3.8699999999999998E-2</v>
      </c>
      <c r="T1054" s="140">
        <v>3.5361290322580646E-2</v>
      </c>
      <c r="U1054" s="140">
        <f t="shared" si="38"/>
        <v>3.338709677419352E-3</v>
      </c>
      <c r="V1054" s="140">
        <v>2.2029999999999998</v>
      </c>
      <c r="W1054" s="140">
        <v>10.975</v>
      </c>
      <c r="X1054" s="149">
        <f t="shared" si="37"/>
        <v>24.177924999999998</v>
      </c>
      <c r="Y1054" s="149"/>
    </row>
    <row r="1055" spans="1:25" ht="16">
      <c r="A1055" s="117" t="s">
        <v>3570</v>
      </c>
      <c r="B1055" s="139" t="s">
        <v>3477</v>
      </c>
      <c r="C1055" s="140" t="s">
        <v>1744</v>
      </c>
      <c r="D1055" s="140" t="s">
        <v>3551</v>
      </c>
      <c r="E1055" s="140" t="s">
        <v>3528</v>
      </c>
      <c r="F1055" s="140">
        <v>481</v>
      </c>
      <c r="G1055" s="140"/>
      <c r="H1055" s="140">
        <v>60</v>
      </c>
      <c r="I1055" s="141">
        <v>42270</v>
      </c>
      <c r="J1055" s="140" t="s">
        <v>36</v>
      </c>
      <c r="K1055" s="140" t="s">
        <v>154</v>
      </c>
      <c r="L1055" s="140" t="s">
        <v>2566</v>
      </c>
      <c r="M1055" s="140" t="s">
        <v>2567</v>
      </c>
      <c r="N1055" s="140" t="s">
        <v>2668</v>
      </c>
      <c r="O1055" s="140" t="s">
        <v>2600</v>
      </c>
      <c r="P1055" s="140" t="s">
        <v>2735</v>
      </c>
      <c r="Q1055" s="140" t="s">
        <v>3517</v>
      </c>
      <c r="R1055" s="140" t="s">
        <v>2713</v>
      </c>
      <c r="S1055" s="140">
        <v>3.9E-2</v>
      </c>
      <c r="T1055" s="140">
        <v>3.5361290322580646E-2</v>
      </c>
      <c r="U1055" s="140">
        <f t="shared" si="38"/>
        <v>3.6387096774193536E-3</v>
      </c>
      <c r="V1055" s="140">
        <v>2.2930000000000001</v>
      </c>
      <c r="W1055" s="140">
        <f>5.478+4.893</f>
        <v>10.370999999999999</v>
      </c>
      <c r="X1055" s="149">
        <f t="shared" si="37"/>
        <v>23.780702999999999</v>
      </c>
      <c r="Y1055" s="149"/>
    </row>
    <row r="1056" spans="1:25" ht="16">
      <c r="A1056" s="117" t="s">
        <v>3570</v>
      </c>
      <c r="B1056" s="139" t="s">
        <v>3478</v>
      </c>
      <c r="C1056" s="140" t="s">
        <v>1744</v>
      </c>
      <c r="D1056" s="140" t="s">
        <v>3551</v>
      </c>
      <c r="E1056" s="140" t="s">
        <v>3506</v>
      </c>
      <c r="F1056" s="140">
        <v>342</v>
      </c>
      <c r="G1056" s="140"/>
      <c r="H1056" s="140">
        <v>60</v>
      </c>
      <c r="I1056" s="141">
        <v>42271</v>
      </c>
      <c r="J1056" s="140" t="s">
        <v>36</v>
      </c>
      <c r="K1056" s="140" t="s">
        <v>154</v>
      </c>
      <c r="L1056" s="140" t="s">
        <v>2566</v>
      </c>
      <c r="M1056" s="140" t="s">
        <v>2567</v>
      </c>
      <c r="N1056" s="140" t="s">
        <v>2668</v>
      </c>
      <c r="O1056" s="140" t="s">
        <v>2600</v>
      </c>
      <c r="P1056" s="140" t="s">
        <v>2735</v>
      </c>
      <c r="Q1056" s="140" t="s">
        <v>3517</v>
      </c>
      <c r="R1056" s="140" t="s">
        <v>2713</v>
      </c>
      <c r="S1056" s="140">
        <v>3.9399999999999998E-2</v>
      </c>
      <c r="T1056" s="140">
        <v>3.5361290322580646E-2</v>
      </c>
      <c r="U1056" s="140">
        <f t="shared" si="38"/>
        <v>4.0387096774193512E-3</v>
      </c>
      <c r="V1056" s="140">
        <v>2.3919999999999999</v>
      </c>
      <c r="W1056" s="140">
        <f>5.2+6.374</f>
        <v>11.574</v>
      </c>
      <c r="X1056" s="149">
        <f t="shared" si="37"/>
        <v>27.685008</v>
      </c>
      <c r="Y1056" s="149"/>
    </row>
    <row r="1057" spans="1:25" ht="16">
      <c r="A1057" s="117" t="s">
        <v>3570</v>
      </c>
      <c r="B1057" s="139" t="s">
        <v>3479</v>
      </c>
      <c r="C1057" s="140" t="s">
        <v>1744</v>
      </c>
      <c r="D1057" s="140" t="s">
        <v>3551</v>
      </c>
      <c r="E1057" s="140" t="s">
        <v>3514</v>
      </c>
      <c r="F1057" s="140" t="s">
        <v>36</v>
      </c>
      <c r="G1057" s="140"/>
      <c r="H1057" s="140">
        <v>60</v>
      </c>
      <c r="I1057" s="141">
        <v>42272</v>
      </c>
      <c r="J1057" s="140" t="s">
        <v>36</v>
      </c>
      <c r="K1057" s="140" t="s">
        <v>154</v>
      </c>
      <c r="L1057" s="140" t="s">
        <v>2566</v>
      </c>
      <c r="M1057" s="140" t="s">
        <v>2567</v>
      </c>
      <c r="N1057" s="140" t="s">
        <v>2668</v>
      </c>
      <c r="O1057" s="140" t="s">
        <v>2600</v>
      </c>
      <c r="P1057" s="140" t="s">
        <v>2735</v>
      </c>
      <c r="Q1057" s="140" t="s">
        <v>3517</v>
      </c>
      <c r="R1057" s="140" t="s">
        <v>2713</v>
      </c>
      <c r="S1057" s="140">
        <v>3.8600000000000002E-2</v>
      </c>
      <c r="T1057" s="140">
        <v>3.5361290322580646E-2</v>
      </c>
      <c r="U1057" s="140">
        <f t="shared" si="38"/>
        <v>3.2387096774193561E-3</v>
      </c>
      <c r="V1057" s="140">
        <v>2.17</v>
      </c>
      <c r="W1057" s="140">
        <v>10.147</v>
      </c>
      <c r="X1057" s="149">
        <f t="shared" si="37"/>
        <v>22.018989999999999</v>
      </c>
      <c r="Y1057" s="149"/>
    </row>
    <row r="1058" spans="1:25" ht="16">
      <c r="A1058" s="117" t="s">
        <v>3570</v>
      </c>
      <c r="B1058" s="139" t="s">
        <v>3480</v>
      </c>
      <c r="C1058" s="140" t="s">
        <v>1744</v>
      </c>
      <c r="D1058" s="140" t="s">
        <v>3551</v>
      </c>
      <c r="E1058" s="140" t="s">
        <v>3228</v>
      </c>
      <c r="F1058" s="140" t="s">
        <v>36</v>
      </c>
      <c r="G1058" s="140"/>
      <c r="H1058" s="140">
        <v>60</v>
      </c>
      <c r="I1058" s="141">
        <v>42273</v>
      </c>
      <c r="J1058" s="140" t="s">
        <v>36</v>
      </c>
      <c r="K1058" s="140" t="s">
        <v>154</v>
      </c>
      <c r="L1058" s="140" t="s">
        <v>2566</v>
      </c>
      <c r="M1058" s="140" t="s">
        <v>2567</v>
      </c>
      <c r="N1058" s="140" t="s">
        <v>2668</v>
      </c>
      <c r="O1058" s="140" t="s">
        <v>2600</v>
      </c>
      <c r="P1058" s="140" t="s">
        <v>2735</v>
      </c>
      <c r="Q1058" s="140" t="s">
        <v>3517</v>
      </c>
      <c r="R1058" s="140" t="s">
        <v>2713</v>
      </c>
      <c r="S1058" s="140">
        <v>4.0399999999999998E-2</v>
      </c>
      <c r="T1058" s="140">
        <v>3.5361290322580646E-2</v>
      </c>
      <c r="U1058" s="140">
        <f t="shared" si="38"/>
        <v>5.0387096774193521E-3</v>
      </c>
      <c r="V1058" s="140">
        <v>2.6120000000000001</v>
      </c>
      <c r="W1058" s="140">
        <v>11.196999999999999</v>
      </c>
      <c r="X1058" s="149">
        <f t="shared" si="37"/>
        <v>29.246563999999999</v>
      </c>
      <c r="Y1058" s="149"/>
    </row>
    <row r="1059" spans="1:25" ht="16">
      <c r="A1059" s="117" t="s">
        <v>3570</v>
      </c>
      <c r="B1059" s="139" t="s">
        <v>3481</v>
      </c>
      <c r="C1059" s="140" t="s">
        <v>1744</v>
      </c>
      <c r="D1059" s="140" t="s">
        <v>3551</v>
      </c>
      <c r="E1059" s="140" t="s">
        <v>3529</v>
      </c>
      <c r="F1059" s="140">
        <v>730</v>
      </c>
      <c r="G1059" s="140"/>
      <c r="H1059" s="140">
        <v>60</v>
      </c>
      <c r="I1059" s="141">
        <v>42274</v>
      </c>
      <c r="J1059" s="140" t="s">
        <v>36</v>
      </c>
      <c r="K1059" s="140" t="s">
        <v>154</v>
      </c>
      <c r="L1059" s="140" t="s">
        <v>2566</v>
      </c>
      <c r="M1059" s="140" t="s">
        <v>2567</v>
      </c>
      <c r="N1059" s="140" t="s">
        <v>2668</v>
      </c>
      <c r="O1059" s="140" t="s">
        <v>2600</v>
      </c>
      <c r="P1059" s="140" t="s">
        <v>2735</v>
      </c>
      <c r="Q1059" s="140" t="s">
        <v>3517</v>
      </c>
      <c r="R1059" s="140" t="s">
        <v>2713</v>
      </c>
      <c r="S1059" s="140">
        <v>3.9300000000000002E-2</v>
      </c>
      <c r="T1059" s="140">
        <v>3.5361290322580646E-2</v>
      </c>
      <c r="U1059" s="140">
        <f t="shared" si="38"/>
        <v>3.9387096774193553E-3</v>
      </c>
      <c r="V1059" s="140">
        <v>2.2629999999999999</v>
      </c>
      <c r="W1059" s="140">
        <f>5.085+6.901</f>
        <v>11.986000000000001</v>
      </c>
      <c r="X1059" s="149">
        <f t="shared" si="37"/>
        <v>27.124317999999999</v>
      </c>
      <c r="Y1059" s="149"/>
    </row>
    <row r="1060" spans="1:25" ht="16">
      <c r="A1060" s="117" t="s">
        <v>3570</v>
      </c>
      <c r="B1060" s="139" t="s">
        <v>3482</v>
      </c>
      <c r="C1060" s="140" t="s">
        <v>1744</v>
      </c>
      <c r="D1060" s="140" t="s">
        <v>3551</v>
      </c>
      <c r="E1060" s="140" t="s">
        <v>3530</v>
      </c>
      <c r="F1060" s="140">
        <v>156</v>
      </c>
      <c r="G1060" s="140"/>
      <c r="H1060" s="140">
        <v>60</v>
      </c>
      <c r="I1060" s="141">
        <v>42275</v>
      </c>
      <c r="J1060" s="140" t="s">
        <v>36</v>
      </c>
      <c r="K1060" s="140" t="s">
        <v>154</v>
      </c>
      <c r="L1060" s="140" t="s">
        <v>2566</v>
      </c>
      <c r="M1060" s="140" t="s">
        <v>2567</v>
      </c>
      <c r="N1060" s="140" t="s">
        <v>2668</v>
      </c>
      <c r="O1060" s="140" t="s">
        <v>2600</v>
      </c>
      <c r="P1060" s="140" t="s">
        <v>2735</v>
      </c>
      <c r="Q1060" s="140" t="s">
        <v>2384</v>
      </c>
      <c r="R1060" s="140" t="s">
        <v>2713</v>
      </c>
      <c r="S1060" s="140">
        <v>4.6600000000000003E-2</v>
      </c>
      <c r="T1060" s="140">
        <v>3.5361290322580646E-2</v>
      </c>
      <c r="U1060" s="140">
        <f t="shared" si="38"/>
        <v>1.1238709677419356E-2</v>
      </c>
      <c r="V1060" s="140">
        <v>3.335</v>
      </c>
      <c r="W1060" s="140">
        <f>7.197+8.473</f>
        <v>15.670000000000002</v>
      </c>
      <c r="X1060" s="149">
        <f t="shared" si="37"/>
        <v>52.259450000000008</v>
      </c>
      <c r="Y1060" s="149"/>
    </row>
    <row r="1061" spans="1:25" ht="16">
      <c r="A1061" s="117" t="s">
        <v>3570</v>
      </c>
      <c r="B1061" s="139" t="s">
        <v>3483</v>
      </c>
      <c r="C1061" s="140" t="s">
        <v>1744</v>
      </c>
      <c r="D1061" s="140" t="s">
        <v>3551</v>
      </c>
      <c r="E1061" s="140" t="s">
        <v>3531</v>
      </c>
      <c r="F1061" s="140">
        <v>428</v>
      </c>
      <c r="G1061" s="140"/>
      <c r="H1061" s="140">
        <v>60</v>
      </c>
      <c r="I1061" s="141">
        <v>42276</v>
      </c>
      <c r="J1061" s="140" t="s">
        <v>36</v>
      </c>
      <c r="K1061" s="140" t="s">
        <v>154</v>
      </c>
      <c r="L1061" s="140" t="s">
        <v>2566</v>
      </c>
      <c r="M1061" s="140" t="s">
        <v>2567</v>
      </c>
      <c r="N1061" s="140" t="s">
        <v>2668</v>
      </c>
      <c r="O1061" s="140" t="s">
        <v>2600</v>
      </c>
      <c r="P1061" s="140" t="s">
        <v>2735</v>
      </c>
      <c r="Q1061" s="140" t="s">
        <v>2384</v>
      </c>
      <c r="R1061" s="140" t="s">
        <v>2712</v>
      </c>
      <c r="S1061" s="140">
        <v>4.2799999999999998E-2</v>
      </c>
      <c r="T1061" s="140">
        <v>3.5361290322580646E-2</v>
      </c>
      <c r="U1061" s="140">
        <f t="shared" si="38"/>
        <v>7.4387096774193515E-3</v>
      </c>
      <c r="V1061" s="140">
        <v>3.0550000000000002</v>
      </c>
      <c r="W1061" s="140">
        <f>5.083+1.739+6.3</f>
        <v>13.122</v>
      </c>
      <c r="X1061" s="149">
        <f t="shared" si="37"/>
        <v>40.087710000000001</v>
      </c>
      <c r="Y1061" s="149"/>
    </row>
    <row r="1062" spans="1:25" ht="16">
      <c r="A1062" s="117" t="s">
        <v>3570</v>
      </c>
      <c r="B1062" s="139" t="s">
        <v>3484</v>
      </c>
      <c r="C1062" s="140" t="s">
        <v>1744</v>
      </c>
      <c r="D1062" s="140" t="s">
        <v>3551</v>
      </c>
      <c r="E1062" s="140" t="s">
        <v>3532</v>
      </c>
      <c r="F1062" s="140" t="s">
        <v>36</v>
      </c>
      <c r="G1062" s="140"/>
      <c r="H1062" s="140">
        <v>60</v>
      </c>
      <c r="I1062" s="141">
        <v>42277</v>
      </c>
      <c r="J1062" s="140" t="s">
        <v>36</v>
      </c>
      <c r="K1062" s="140" t="s">
        <v>154</v>
      </c>
      <c r="L1062" s="140" t="s">
        <v>2566</v>
      </c>
      <c r="M1062" s="140" t="s">
        <v>2567</v>
      </c>
      <c r="N1062" s="140" t="s">
        <v>2668</v>
      </c>
      <c r="O1062" s="140" t="s">
        <v>2600</v>
      </c>
      <c r="P1062" s="140" t="s">
        <v>2735</v>
      </c>
      <c r="Q1062" s="140" t="s">
        <v>2384</v>
      </c>
      <c r="R1062" s="140" t="s">
        <v>2713</v>
      </c>
      <c r="S1062" s="140">
        <v>4.82E-2</v>
      </c>
      <c r="T1062" s="140">
        <v>3.5361290322580646E-2</v>
      </c>
      <c r="U1062" s="140">
        <f t="shared" si="38"/>
        <v>1.2838709677419353E-2</v>
      </c>
      <c r="V1062" s="140">
        <v>3.3860000000000001</v>
      </c>
      <c r="W1062" s="140">
        <f>7.909+8.116</f>
        <v>16.024999999999999</v>
      </c>
      <c r="X1062" s="149">
        <f t="shared" si="37"/>
        <v>54.260649999999998</v>
      </c>
      <c r="Y1062" s="149"/>
    </row>
    <row r="1063" spans="1:25" ht="16">
      <c r="A1063" s="117" t="s">
        <v>3570</v>
      </c>
      <c r="B1063" s="139" t="s">
        <v>3485</v>
      </c>
      <c r="C1063" s="140" t="s">
        <v>1744</v>
      </c>
      <c r="D1063" s="140" t="s">
        <v>3551</v>
      </c>
      <c r="E1063" s="140" t="s">
        <v>3198</v>
      </c>
      <c r="F1063" s="140">
        <v>328</v>
      </c>
      <c r="G1063" s="140"/>
      <c r="H1063" s="140">
        <v>60</v>
      </c>
      <c r="I1063" s="141">
        <v>42278</v>
      </c>
      <c r="J1063" s="140" t="s">
        <v>36</v>
      </c>
      <c r="K1063" s="140" t="s">
        <v>154</v>
      </c>
      <c r="L1063" s="140" t="s">
        <v>2566</v>
      </c>
      <c r="M1063" s="140" t="s">
        <v>2567</v>
      </c>
      <c r="N1063" s="140" t="s">
        <v>2668</v>
      </c>
      <c r="O1063" s="140" t="s">
        <v>2600</v>
      </c>
      <c r="P1063" s="140" t="s">
        <v>2735</v>
      </c>
      <c r="Q1063" s="140" t="s">
        <v>2384</v>
      </c>
      <c r="R1063" s="140" t="s">
        <v>2713</v>
      </c>
      <c r="S1063" s="140">
        <v>5.0799999999999998E-2</v>
      </c>
      <c r="T1063" s="140">
        <v>3.5361290322580646E-2</v>
      </c>
      <c r="U1063" s="140">
        <f t="shared" si="38"/>
        <v>1.5438709677419352E-2</v>
      </c>
      <c r="V1063" s="140">
        <v>3.4609999999999999</v>
      </c>
      <c r="W1063" s="140">
        <f>7.331+7.739</f>
        <v>15.07</v>
      </c>
      <c r="X1063" s="149">
        <f t="shared" si="37"/>
        <v>52.157269999999997</v>
      </c>
      <c r="Y1063" s="149"/>
    </row>
    <row r="1064" spans="1:25" ht="16">
      <c r="A1064" s="117" t="s">
        <v>3570</v>
      </c>
      <c r="B1064" s="139" t="s">
        <v>3486</v>
      </c>
      <c r="C1064" s="140" t="s">
        <v>1744</v>
      </c>
      <c r="D1064" s="140" t="s">
        <v>3551</v>
      </c>
      <c r="E1064" s="140" t="s">
        <v>3533</v>
      </c>
      <c r="F1064" s="140">
        <v>335</v>
      </c>
      <c r="G1064" s="140"/>
      <c r="H1064" s="140">
        <v>60</v>
      </c>
      <c r="I1064" s="141">
        <v>42279</v>
      </c>
      <c r="J1064" s="140" t="s">
        <v>36</v>
      </c>
      <c r="K1064" s="140" t="s">
        <v>154</v>
      </c>
      <c r="L1064" s="140" t="s">
        <v>2566</v>
      </c>
      <c r="M1064" s="140" t="s">
        <v>2567</v>
      </c>
      <c r="N1064" s="140" t="s">
        <v>2668</v>
      </c>
      <c r="O1064" s="140" t="s">
        <v>2600</v>
      </c>
      <c r="P1064" s="140" t="s">
        <v>2735</v>
      </c>
      <c r="Q1064" s="140" t="s">
        <v>2384</v>
      </c>
      <c r="R1064" s="140" t="s">
        <v>2713</v>
      </c>
      <c r="S1064" s="140">
        <v>4.3999999999999997E-2</v>
      </c>
      <c r="T1064" s="140">
        <v>3.5361290322580646E-2</v>
      </c>
      <c r="U1064" s="140">
        <f t="shared" si="38"/>
        <v>8.6387096774193511E-3</v>
      </c>
      <c r="V1064" s="140">
        <v>3.1080000000000001</v>
      </c>
      <c r="W1064" s="140">
        <f>6.886+6.999</f>
        <v>13.885</v>
      </c>
      <c r="X1064" s="149">
        <f t="shared" si="37"/>
        <v>43.154580000000003</v>
      </c>
      <c r="Y1064" s="149"/>
    </row>
    <row r="1065" spans="1:25" ht="16">
      <c r="A1065" s="117" t="s">
        <v>3570</v>
      </c>
      <c r="B1065" s="139" t="s">
        <v>3487</v>
      </c>
      <c r="C1065" s="140" t="s">
        <v>1744</v>
      </c>
      <c r="D1065" s="140" t="s">
        <v>3551</v>
      </c>
      <c r="E1065" s="140" t="s">
        <v>3534</v>
      </c>
      <c r="F1065" s="140">
        <v>102</v>
      </c>
      <c r="G1065" s="140"/>
      <c r="H1065" s="140">
        <v>60</v>
      </c>
      <c r="I1065" s="141">
        <v>42280</v>
      </c>
      <c r="J1065" s="140" t="s">
        <v>36</v>
      </c>
      <c r="K1065" s="140" t="s">
        <v>154</v>
      </c>
      <c r="L1065" s="140" t="s">
        <v>2566</v>
      </c>
      <c r="M1065" s="140" t="s">
        <v>2567</v>
      </c>
      <c r="N1065" s="140" t="s">
        <v>2668</v>
      </c>
      <c r="O1065" s="140" t="s">
        <v>2600</v>
      </c>
      <c r="P1065" s="140" t="s">
        <v>2735</v>
      </c>
      <c r="Q1065" s="140" t="s">
        <v>2384</v>
      </c>
      <c r="R1065" s="140" t="s">
        <v>2713</v>
      </c>
      <c r="S1065" s="140">
        <v>4.2500000000000003E-2</v>
      </c>
      <c r="T1065" s="140">
        <v>3.5361290322580646E-2</v>
      </c>
      <c r="U1065" s="140">
        <f t="shared" si="38"/>
        <v>7.1387096774193567E-3</v>
      </c>
      <c r="V1065" s="140">
        <v>3</v>
      </c>
      <c r="W1065" s="140">
        <f>6.918+7.025</f>
        <v>13.943000000000001</v>
      </c>
      <c r="X1065" s="149">
        <f t="shared" si="37"/>
        <v>41.829000000000008</v>
      </c>
      <c r="Y1065" s="149"/>
    </row>
    <row r="1066" spans="1:25" ht="16">
      <c r="A1066" s="117" t="s">
        <v>3570</v>
      </c>
      <c r="B1066" s="139" t="s">
        <v>3488</v>
      </c>
      <c r="C1066" s="140" t="s">
        <v>1744</v>
      </c>
      <c r="D1066" s="140" t="s">
        <v>3551</v>
      </c>
      <c r="E1066" s="140" t="s">
        <v>3535</v>
      </c>
      <c r="F1066" s="140">
        <v>157</v>
      </c>
      <c r="G1066" s="140"/>
      <c r="H1066" s="140">
        <v>60</v>
      </c>
      <c r="I1066" s="141">
        <v>42281</v>
      </c>
      <c r="J1066" s="140" t="s">
        <v>36</v>
      </c>
      <c r="K1066" s="140" t="s">
        <v>154</v>
      </c>
      <c r="L1066" s="140" t="s">
        <v>2566</v>
      </c>
      <c r="M1066" s="140" t="s">
        <v>2567</v>
      </c>
      <c r="N1066" s="140" t="s">
        <v>2668</v>
      </c>
      <c r="O1066" s="140" t="s">
        <v>2600</v>
      </c>
      <c r="P1066" s="140" t="s">
        <v>2735</v>
      </c>
      <c r="Q1066" s="140" t="s">
        <v>2384</v>
      </c>
      <c r="R1066" s="140" t="s">
        <v>2713</v>
      </c>
      <c r="S1066" s="140">
        <v>4.6100000000000002E-2</v>
      </c>
      <c r="T1066" s="140">
        <v>3.5361290322580646E-2</v>
      </c>
      <c r="U1066" s="140">
        <f t="shared" si="38"/>
        <v>1.0738709677419356E-2</v>
      </c>
      <c r="V1066" s="140">
        <v>3.2919999999999998</v>
      </c>
      <c r="W1066" s="140">
        <f>8.01+6.793</f>
        <v>14.803000000000001</v>
      </c>
      <c r="X1066" s="149">
        <f t="shared" si="37"/>
        <v>48.731476000000001</v>
      </c>
      <c r="Y1066" s="149"/>
    </row>
    <row r="1067" spans="1:25" ht="16">
      <c r="A1067" s="117" t="s">
        <v>3570</v>
      </c>
      <c r="B1067" s="139" t="s">
        <v>3489</v>
      </c>
      <c r="C1067" s="140" t="s">
        <v>1744</v>
      </c>
      <c r="D1067" s="140" t="s">
        <v>3551</v>
      </c>
      <c r="E1067" s="140" t="s">
        <v>3536</v>
      </c>
      <c r="F1067" s="140">
        <v>345</v>
      </c>
      <c r="G1067" s="140"/>
      <c r="H1067" s="140">
        <v>60</v>
      </c>
      <c r="I1067" s="141">
        <v>42282</v>
      </c>
      <c r="J1067" s="140" t="s">
        <v>36</v>
      </c>
      <c r="K1067" s="140" t="s">
        <v>154</v>
      </c>
      <c r="L1067" s="140" t="s">
        <v>2566</v>
      </c>
      <c r="M1067" s="140" t="s">
        <v>2567</v>
      </c>
      <c r="N1067" s="140" t="s">
        <v>2668</v>
      </c>
      <c r="O1067" s="140" t="s">
        <v>2600</v>
      </c>
      <c r="P1067" s="140" t="s">
        <v>2735</v>
      </c>
      <c r="Q1067" s="140" t="s">
        <v>2384</v>
      </c>
      <c r="R1067" s="140" t="s">
        <v>2713</v>
      </c>
      <c r="S1067" s="140">
        <v>4.5999999999999999E-2</v>
      </c>
      <c r="T1067" s="140">
        <v>3.5361290322580646E-2</v>
      </c>
      <c r="U1067" s="140">
        <f t="shared" si="38"/>
        <v>1.0638709677419353E-2</v>
      </c>
      <c r="V1067" s="140">
        <v>3.2930000000000001</v>
      </c>
      <c r="W1067" s="140">
        <f>7.128+6.7</f>
        <v>13.827999999999999</v>
      </c>
      <c r="X1067" s="149">
        <f t="shared" si="37"/>
        <v>45.535603999999999</v>
      </c>
      <c r="Y1067" s="149"/>
    </row>
    <row r="1068" spans="1:25" ht="16">
      <c r="A1068" s="117" t="s">
        <v>3570</v>
      </c>
      <c r="B1068" s="139" t="s">
        <v>3490</v>
      </c>
      <c r="C1068" s="140" t="s">
        <v>1744</v>
      </c>
      <c r="D1068" s="140" t="s">
        <v>3551</v>
      </c>
      <c r="E1068" s="140" t="s">
        <v>3227</v>
      </c>
      <c r="F1068" s="140">
        <v>1</v>
      </c>
      <c r="G1068" s="140"/>
      <c r="H1068" s="140">
        <v>60</v>
      </c>
      <c r="I1068" s="141">
        <v>42283</v>
      </c>
      <c r="J1068" s="140" t="s">
        <v>36</v>
      </c>
      <c r="K1068" s="140" t="s">
        <v>154</v>
      </c>
      <c r="L1068" s="140" t="s">
        <v>2566</v>
      </c>
      <c r="M1068" s="140" t="s">
        <v>2567</v>
      </c>
      <c r="N1068" s="140" t="s">
        <v>2668</v>
      </c>
      <c r="O1068" s="140" t="s">
        <v>2600</v>
      </c>
      <c r="P1068" s="140" t="s">
        <v>2735</v>
      </c>
      <c r="Q1068" s="140" t="s">
        <v>2384</v>
      </c>
      <c r="R1068" s="140" t="s">
        <v>2713</v>
      </c>
      <c r="S1068" s="140">
        <v>4.4900000000000002E-2</v>
      </c>
      <c r="T1068" s="140">
        <v>3.5361290322580646E-2</v>
      </c>
      <c r="U1068" s="140">
        <f t="shared" si="38"/>
        <v>9.5387096774193561E-3</v>
      </c>
      <c r="V1068" s="140">
        <v>3.2650000000000001</v>
      </c>
      <c r="W1068" s="140">
        <v>13.991</v>
      </c>
      <c r="X1068" s="149">
        <f t="shared" si="37"/>
        <v>45.680615000000003</v>
      </c>
      <c r="Y1068" s="149"/>
    </row>
    <row r="1069" spans="1:25" ht="16">
      <c r="A1069" s="117" t="s">
        <v>3570</v>
      </c>
      <c r="B1069" s="139" t="s">
        <v>3491</v>
      </c>
      <c r="C1069" s="140" t="s">
        <v>1744</v>
      </c>
      <c r="D1069" s="140" t="s">
        <v>3551</v>
      </c>
      <c r="E1069" s="140" t="s">
        <v>3419</v>
      </c>
      <c r="F1069" s="140">
        <v>51</v>
      </c>
      <c r="G1069" s="140"/>
      <c r="H1069" s="140">
        <v>60</v>
      </c>
      <c r="I1069" s="141">
        <v>42284</v>
      </c>
      <c r="J1069" s="140" t="s">
        <v>36</v>
      </c>
      <c r="K1069" s="140" t="s">
        <v>154</v>
      </c>
      <c r="L1069" s="140" t="s">
        <v>2566</v>
      </c>
      <c r="M1069" s="140" t="s">
        <v>2567</v>
      </c>
      <c r="N1069" s="140" t="s">
        <v>2668</v>
      </c>
      <c r="O1069" s="140" t="s">
        <v>2600</v>
      </c>
      <c r="P1069" s="140" t="s">
        <v>2735</v>
      </c>
      <c r="Q1069" s="140" t="s">
        <v>2384</v>
      </c>
      <c r="R1069" s="140" t="s">
        <v>2713</v>
      </c>
      <c r="S1069" s="140">
        <v>4.3499999999999997E-2</v>
      </c>
      <c r="T1069" s="140">
        <v>3.5361290322580646E-2</v>
      </c>
      <c r="U1069" s="140">
        <f t="shared" si="38"/>
        <v>8.1387096774193507E-3</v>
      </c>
      <c r="V1069" s="140">
        <v>3.3370000000000002</v>
      </c>
      <c r="W1069" s="140">
        <f>7.74+7.54</f>
        <v>15.280000000000001</v>
      </c>
      <c r="X1069" s="149">
        <f t="shared" si="37"/>
        <v>50.989360000000005</v>
      </c>
      <c r="Y1069" s="149"/>
    </row>
    <row r="1070" spans="1:25" ht="16">
      <c r="A1070" s="117" t="s">
        <v>3570</v>
      </c>
      <c r="B1070" s="139" t="s">
        <v>3492</v>
      </c>
      <c r="C1070" s="140" t="s">
        <v>1744</v>
      </c>
      <c r="D1070" s="140" t="s">
        <v>3551</v>
      </c>
      <c r="E1070" s="140" t="s">
        <v>3511</v>
      </c>
      <c r="F1070" s="140">
        <v>649</v>
      </c>
      <c r="G1070" s="140"/>
      <c r="H1070" s="140">
        <v>60</v>
      </c>
      <c r="I1070" s="141">
        <v>42285</v>
      </c>
      <c r="J1070" s="140" t="s">
        <v>36</v>
      </c>
      <c r="K1070" s="140" t="s">
        <v>154</v>
      </c>
      <c r="L1070" s="140" t="s">
        <v>2566</v>
      </c>
      <c r="M1070" s="140" t="s">
        <v>2567</v>
      </c>
      <c r="N1070" s="140" t="s">
        <v>2668</v>
      </c>
      <c r="O1070" s="140" t="s">
        <v>2600</v>
      </c>
      <c r="P1070" s="140" t="s">
        <v>2735</v>
      </c>
      <c r="Q1070" s="140" t="s">
        <v>2384</v>
      </c>
      <c r="R1070" s="140" t="s">
        <v>2712</v>
      </c>
      <c r="S1070" s="140">
        <v>4.5499999999999999E-2</v>
      </c>
      <c r="T1070" s="140">
        <v>3.5361290322580646E-2</v>
      </c>
      <c r="U1070" s="140">
        <f t="shared" si="38"/>
        <v>1.0138709677419352E-2</v>
      </c>
      <c r="V1070" s="140">
        <v>3.3279999999999998</v>
      </c>
      <c r="W1070" s="140">
        <f>6.821+7.752</f>
        <v>14.573</v>
      </c>
      <c r="X1070" s="149">
        <f t="shared" si="37"/>
        <v>48.498944000000002</v>
      </c>
      <c r="Y1070" s="149"/>
    </row>
    <row r="1071" spans="1:25" ht="16">
      <c r="A1071" s="117" t="s">
        <v>3570</v>
      </c>
      <c r="B1071" s="139" t="s">
        <v>3493</v>
      </c>
      <c r="C1071" s="140" t="s">
        <v>1744</v>
      </c>
      <c r="D1071" s="140" t="s">
        <v>3551</v>
      </c>
      <c r="E1071" s="140" t="s">
        <v>3537</v>
      </c>
      <c r="F1071" s="140">
        <v>417</v>
      </c>
      <c r="G1071" s="140"/>
      <c r="H1071" s="140">
        <v>60</v>
      </c>
      <c r="I1071" s="141">
        <v>42286</v>
      </c>
      <c r="J1071" s="140" t="s">
        <v>36</v>
      </c>
      <c r="K1071" s="140" t="s">
        <v>154</v>
      </c>
      <c r="L1071" s="140" t="s">
        <v>2566</v>
      </c>
      <c r="M1071" s="140" t="s">
        <v>2567</v>
      </c>
      <c r="N1071" s="140" t="s">
        <v>2668</v>
      </c>
      <c r="O1071" s="140" t="s">
        <v>2600</v>
      </c>
      <c r="P1071" s="140" t="s">
        <v>2735</v>
      </c>
      <c r="Q1071" s="140" t="s">
        <v>2384</v>
      </c>
      <c r="R1071" s="140" t="s">
        <v>2712</v>
      </c>
      <c r="S1071" s="140">
        <v>4.1399999999999999E-2</v>
      </c>
      <c r="T1071" s="140">
        <v>3.5361290322580646E-2</v>
      </c>
      <c r="U1071" s="140">
        <f t="shared" si="38"/>
        <v>6.038709677419353E-3</v>
      </c>
      <c r="V1071" s="140">
        <v>2.7349999999999999</v>
      </c>
      <c r="W1071" s="140">
        <f>5.787+7.419</f>
        <v>13.206</v>
      </c>
      <c r="X1071" s="149">
        <f t="shared" si="37"/>
        <v>36.118409999999997</v>
      </c>
      <c r="Y1071" s="149"/>
    </row>
    <row r="1072" spans="1:25" ht="16">
      <c r="A1072" s="117" t="s">
        <v>3570</v>
      </c>
      <c r="B1072" s="139" t="s">
        <v>3494</v>
      </c>
      <c r="C1072" s="140" t="s">
        <v>1744</v>
      </c>
      <c r="D1072" s="140" t="s">
        <v>3551</v>
      </c>
      <c r="E1072" s="140" t="s">
        <v>3538</v>
      </c>
      <c r="F1072" s="140">
        <v>257</v>
      </c>
      <c r="G1072" s="140"/>
      <c r="H1072" s="140">
        <v>60</v>
      </c>
      <c r="I1072" s="141">
        <v>42287</v>
      </c>
      <c r="J1072" s="140" t="s">
        <v>36</v>
      </c>
      <c r="K1072" s="140" t="s">
        <v>154</v>
      </c>
      <c r="L1072" s="140" t="s">
        <v>2566</v>
      </c>
      <c r="M1072" s="140" t="s">
        <v>2567</v>
      </c>
      <c r="N1072" s="140" t="s">
        <v>2668</v>
      </c>
      <c r="O1072" s="140" t="s">
        <v>2600</v>
      </c>
      <c r="P1072" s="140" t="s">
        <v>2735</v>
      </c>
      <c r="Q1072" s="140" t="s">
        <v>2384</v>
      </c>
      <c r="R1072" s="140" t="s">
        <v>2712</v>
      </c>
      <c r="S1072" s="140">
        <v>4.24E-2</v>
      </c>
      <c r="T1072" s="140">
        <v>3.5361290322580646E-2</v>
      </c>
      <c r="U1072" s="140">
        <f t="shared" si="38"/>
        <v>7.0387096774193539E-3</v>
      </c>
      <c r="V1072" s="140">
        <v>2.8119999999999998</v>
      </c>
      <c r="W1072" s="140">
        <f>6.502+6.671</f>
        <v>13.173</v>
      </c>
      <c r="X1072" s="149">
        <f t="shared" ref="X1072:X1078" si="39">V1072*W1072</f>
        <v>37.042476000000001</v>
      </c>
      <c r="Y1072" s="149"/>
    </row>
    <row r="1073" spans="1:25" ht="16">
      <c r="A1073" s="117" t="s">
        <v>3570</v>
      </c>
      <c r="B1073" s="139" t="s">
        <v>3495</v>
      </c>
      <c r="C1073" s="140" t="s">
        <v>1744</v>
      </c>
      <c r="D1073" s="140" t="s">
        <v>3551</v>
      </c>
      <c r="E1073" s="140" t="s">
        <v>3353</v>
      </c>
      <c r="F1073" s="140">
        <v>329</v>
      </c>
      <c r="G1073" s="140"/>
      <c r="H1073" s="140">
        <v>60</v>
      </c>
      <c r="I1073" s="141">
        <v>42288</v>
      </c>
      <c r="J1073" s="140" t="s">
        <v>36</v>
      </c>
      <c r="K1073" s="140" t="s">
        <v>154</v>
      </c>
      <c r="L1073" s="140" t="s">
        <v>2566</v>
      </c>
      <c r="M1073" s="140" t="s">
        <v>2567</v>
      </c>
      <c r="N1073" s="140" t="s">
        <v>2668</v>
      </c>
      <c r="O1073" s="140" t="s">
        <v>2600</v>
      </c>
      <c r="P1073" s="140" t="s">
        <v>2735</v>
      </c>
      <c r="Q1073" s="140" t="s">
        <v>2384</v>
      </c>
      <c r="R1073" s="140" t="s">
        <v>2713</v>
      </c>
      <c r="S1073" s="140">
        <v>4.3400000000000001E-2</v>
      </c>
      <c r="T1073" s="140">
        <v>3.5361290322580646E-2</v>
      </c>
      <c r="U1073" s="140">
        <f t="shared" ref="U1073:U1078" si="40">S1073-T1073</f>
        <v>8.0387096774193548E-3</v>
      </c>
      <c r="V1073" s="140">
        <v>3.1459999999999999</v>
      </c>
      <c r="W1073" s="140">
        <f>7.141+6.914</f>
        <v>14.055</v>
      </c>
      <c r="X1073" s="149">
        <f t="shared" si="39"/>
        <v>44.217030000000001</v>
      </c>
      <c r="Y1073" s="149"/>
    </row>
    <row r="1074" spans="1:25" ht="16">
      <c r="A1074" s="117" t="s">
        <v>3570</v>
      </c>
      <c r="B1074" s="139" t="s">
        <v>3496</v>
      </c>
      <c r="C1074" s="140" t="s">
        <v>1744</v>
      </c>
      <c r="D1074" s="140" t="s">
        <v>3551</v>
      </c>
      <c r="E1074" s="140" t="s">
        <v>3539</v>
      </c>
      <c r="F1074" s="140">
        <v>370</v>
      </c>
      <c r="G1074" s="140"/>
      <c r="H1074" s="140">
        <v>60</v>
      </c>
      <c r="I1074" s="141">
        <v>42289</v>
      </c>
      <c r="J1074" s="140" t="s">
        <v>36</v>
      </c>
      <c r="K1074" s="140" t="s">
        <v>154</v>
      </c>
      <c r="L1074" s="140" t="s">
        <v>2566</v>
      </c>
      <c r="M1074" s="140" t="s">
        <v>2567</v>
      </c>
      <c r="N1074" s="140" t="s">
        <v>2668</v>
      </c>
      <c r="O1074" s="140" t="s">
        <v>2600</v>
      </c>
      <c r="P1074" s="140" t="s">
        <v>2735</v>
      </c>
      <c r="Q1074" s="140" t="s">
        <v>2384</v>
      </c>
      <c r="R1074" s="140" t="s">
        <v>2713</v>
      </c>
      <c r="S1074" s="140">
        <v>4.4400000000000002E-2</v>
      </c>
      <c r="T1074" s="140">
        <v>3.5361290322580646E-2</v>
      </c>
      <c r="U1074" s="140">
        <f t="shared" si="40"/>
        <v>9.0387096774193557E-3</v>
      </c>
      <c r="V1074" s="140">
        <v>3.1589999999999998</v>
      </c>
      <c r="W1074" s="140">
        <f>6.952+7.285</f>
        <v>14.237</v>
      </c>
      <c r="X1074" s="149">
        <f t="shared" si="39"/>
        <v>44.974682999999999</v>
      </c>
      <c r="Y1074" s="149"/>
    </row>
    <row r="1075" spans="1:25" ht="16">
      <c r="A1075" s="117" t="s">
        <v>3570</v>
      </c>
      <c r="B1075" s="139" t="s">
        <v>3497</v>
      </c>
      <c r="C1075" s="140" t="s">
        <v>1744</v>
      </c>
      <c r="D1075" s="140" t="s">
        <v>3551</v>
      </c>
      <c r="E1075" s="140" t="s">
        <v>3540</v>
      </c>
      <c r="F1075" s="140">
        <v>746</v>
      </c>
      <c r="G1075" s="140"/>
      <c r="H1075" s="140">
        <v>60</v>
      </c>
      <c r="I1075" s="141">
        <v>42290</v>
      </c>
      <c r="J1075" s="140" t="s">
        <v>36</v>
      </c>
      <c r="K1075" s="140" t="s">
        <v>154</v>
      </c>
      <c r="L1075" s="140" t="s">
        <v>2566</v>
      </c>
      <c r="M1075" s="140" t="s">
        <v>2567</v>
      </c>
      <c r="N1075" s="140" t="s">
        <v>2668</v>
      </c>
      <c r="O1075" s="140" t="s">
        <v>2600</v>
      </c>
      <c r="P1075" s="140" t="s">
        <v>2735</v>
      </c>
      <c r="Q1075" s="140" t="s">
        <v>2384</v>
      </c>
      <c r="R1075" s="140" t="s">
        <v>2713</v>
      </c>
      <c r="S1075" s="140">
        <v>4.5699999999999998E-2</v>
      </c>
      <c r="T1075" s="140">
        <v>3.5361290322580646E-2</v>
      </c>
      <c r="U1075" s="140">
        <f t="shared" si="40"/>
        <v>1.0338709677419351E-2</v>
      </c>
      <c r="V1075" s="140">
        <v>3.2850000000000001</v>
      </c>
      <c r="W1075" s="140">
        <f>7.175+7.881</f>
        <v>15.056000000000001</v>
      </c>
      <c r="X1075" s="149">
        <f t="shared" si="39"/>
        <v>49.458960000000005</v>
      </c>
      <c r="Y1075" s="149"/>
    </row>
    <row r="1076" spans="1:25" ht="16">
      <c r="A1076" s="117" t="s">
        <v>3570</v>
      </c>
      <c r="B1076" s="139" t="s">
        <v>3498</v>
      </c>
      <c r="C1076" s="140" t="s">
        <v>1744</v>
      </c>
      <c r="D1076" s="140" t="s">
        <v>3551</v>
      </c>
      <c r="E1076" s="140" t="s">
        <v>3541</v>
      </c>
      <c r="F1076" s="140">
        <v>126</v>
      </c>
      <c r="G1076" s="140"/>
      <c r="H1076" s="140">
        <v>60</v>
      </c>
      <c r="I1076" s="141">
        <v>42291</v>
      </c>
      <c r="J1076" s="140" t="s">
        <v>36</v>
      </c>
      <c r="K1076" s="140" t="s">
        <v>154</v>
      </c>
      <c r="L1076" s="140" t="s">
        <v>2566</v>
      </c>
      <c r="M1076" s="140" t="s">
        <v>2567</v>
      </c>
      <c r="N1076" s="140" t="s">
        <v>2668</v>
      </c>
      <c r="O1076" s="140" t="s">
        <v>2600</v>
      </c>
      <c r="P1076" s="140" t="s">
        <v>2735</v>
      </c>
      <c r="Q1076" s="140" t="s">
        <v>2384</v>
      </c>
      <c r="R1076" s="140" t="s">
        <v>2713</v>
      </c>
      <c r="S1076" s="140">
        <v>4.65E-2</v>
      </c>
      <c r="T1076" s="140">
        <v>3.5361290322580646E-2</v>
      </c>
      <c r="U1076" s="140">
        <f t="shared" si="40"/>
        <v>1.1138709677419353E-2</v>
      </c>
      <c r="V1076" s="140">
        <v>3.4820000000000002</v>
      </c>
      <c r="W1076" s="140">
        <f>7.156+8.963</f>
        <v>16.119</v>
      </c>
      <c r="X1076" s="149">
        <f t="shared" si="39"/>
        <v>56.126358000000003</v>
      </c>
      <c r="Y1076" s="149"/>
    </row>
    <row r="1077" spans="1:25" ht="16">
      <c r="A1077" s="117" t="s">
        <v>3570</v>
      </c>
      <c r="B1077" s="139" t="s">
        <v>3499</v>
      </c>
      <c r="C1077" s="140" t="s">
        <v>1744</v>
      </c>
      <c r="D1077" s="140" t="s">
        <v>3551</v>
      </c>
      <c r="E1077" s="140" t="s">
        <v>3542</v>
      </c>
      <c r="F1077" s="140" t="s">
        <v>36</v>
      </c>
      <c r="G1077" s="140"/>
      <c r="H1077" s="140">
        <v>60</v>
      </c>
      <c r="I1077" s="141">
        <v>42292</v>
      </c>
      <c r="J1077" s="140" t="s">
        <v>36</v>
      </c>
      <c r="K1077" s="140" t="s">
        <v>154</v>
      </c>
      <c r="L1077" s="140" t="s">
        <v>2566</v>
      </c>
      <c r="M1077" s="140" t="s">
        <v>2567</v>
      </c>
      <c r="N1077" s="140" t="s">
        <v>2668</v>
      </c>
      <c r="O1077" s="140" t="s">
        <v>2600</v>
      </c>
      <c r="P1077" s="140" t="s">
        <v>2735</v>
      </c>
      <c r="Q1077" s="140" t="s">
        <v>2384</v>
      </c>
      <c r="R1077" s="140" t="s">
        <v>2713</v>
      </c>
      <c r="S1077" s="140">
        <v>4.6699999999999998E-2</v>
      </c>
      <c r="T1077" s="140">
        <v>3.5361290322580646E-2</v>
      </c>
      <c r="U1077" s="140">
        <f t="shared" si="40"/>
        <v>1.1338709677419352E-2</v>
      </c>
      <c r="V1077" s="140">
        <v>3.44</v>
      </c>
      <c r="W1077" s="140">
        <f>7.724+7.049</f>
        <v>14.773</v>
      </c>
      <c r="X1077" s="149">
        <f t="shared" si="39"/>
        <v>50.819119999999998</v>
      </c>
      <c r="Y1077" s="149"/>
    </row>
    <row r="1078" spans="1:25" ht="16">
      <c r="A1078" s="117" t="s">
        <v>3570</v>
      </c>
      <c r="B1078" s="139" t="s">
        <v>3500</v>
      </c>
      <c r="C1078" s="140" t="s">
        <v>1744</v>
      </c>
      <c r="D1078" s="140" t="s">
        <v>3551</v>
      </c>
      <c r="E1078" s="140" t="s">
        <v>3542</v>
      </c>
      <c r="F1078" s="140" t="s">
        <v>36</v>
      </c>
      <c r="G1078" s="140"/>
      <c r="H1078" s="140">
        <v>60</v>
      </c>
      <c r="I1078" s="141">
        <v>42293</v>
      </c>
      <c r="J1078" s="140" t="s">
        <v>36</v>
      </c>
      <c r="K1078" s="140" t="s">
        <v>154</v>
      </c>
      <c r="L1078" s="140" t="s">
        <v>2566</v>
      </c>
      <c r="M1078" s="140" t="s">
        <v>2567</v>
      </c>
      <c r="N1078" s="140" t="s">
        <v>2668</v>
      </c>
      <c r="O1078" s="140" t="s">
        <v>2600</v>
      </c>
      <c r="P1078" s="140" t="s">
        <v>2735</v>
      </c>
      <c r="Q1078" s="140" t="s">
        <v>2384</v>
      </c>
      <c r="R1078" s="140" t="s">
        <v>2713</v>
      </c>
      <c r="S1078" s="140">
        <v>4.53E-2</v>
      </c>
      <c r="T1078" s="140">
        <v>3.5361290322580646E-2</v>
      </c>
      <c r="U1078" s="140">
        <f t="shared" si="40"/>
        <v>9.9387096774193537E-3</v>
      </c>
      <c r="V1078" s="140">
        <v>3.214</v>
      </c>
      <c r="W1078" s="140">
        <f>7.041+8.07</f>
        <v>15.111000000000001</v>
      </c>
      <c r="X1078" s="149">
        <f t="shared" si="39"/>
        <v>48.566754000000003</v>
      </c>
      <c r="Y1078" s="149"/>
    </row>
  </sheetData>
  <conditionalFormatting sqref="U880:U1078">
    <cfRule type="cellIs" dxfId="107" priority="1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5"/>
  <sheetViews>
    <sheetView topLeftCell="A44" workbookViewId="0">
      <selection activeCell="G69" sqref="G69"/>
    </sheetView>
  </sheetViews>
  <sheetFormatPr baseColWidth="10" defaultColWidth="10.83203125" defaultRowHeight="15"/>
  <cols>
    <col min="2" max="2" width="11.83203125" bestFit="1" customWidth="1"/>
  </cols>
  <sheetData>
    <row r="1" spans="1:8">
      <c r="B1" t="s">
        <v>1740</v>
      </c>
      <c r="C1" t="s">
        <v>1744</v>
      </c>
    </row>
    <row r="2" spans="1:8">
      <c r="C2" t="s">
        <v>1745</v>
      </c>
      <c r="D2" t="s">
        <v>1746</v>
      </c>
      <c r="E2" t="s">
        <v>1747</v>
      </c>
      <c r="F2" t="s">
        <v>3543</v>
      </c>
      <c r="G2" t="s">
        <v>3544</v>
      </c>
      <c r="H2" t="s">
        <v>3545</v>
      </c>
    </row>
    <row r="3" spans="1:8">
      <c r="A3">
        <v>1</v>
      </c>
      <c r="B3">
        <v>3.6900000000000002E-2</v>
      </c>
      <c r="C3">
        <v>9.4700000000000006E-2</v>
      </c>
      <c r="D3">
        <v>6.7699999999999996E-2</v>
      </c>
      <c r="E3">
        <v>3.7199999999999997E-2</v>
      </c>
      <c r="F3">
        <v>2.5999999999999999E-3</v>
      </c>
      <c r="G3">
        <f>0.0328/10</f>
        <v>3.2800000000000004E-3</v>
      </c>
      <c r="H3">
        <v>3.61E-2</v>
      </c>
    </row>
    <row r="4" spans="1:8">
      <c r="A4">
        <v>2</v>
      </c>
      <c r="B4">
        <v>3.7100000000000001E-2</v>
      </c>
      <c r="C4">
        <v>9.4799999999999995E-2</v>
      </c>
      <c r="D4">
        <v>6.7500000000000004E-2</v>
      </c>
      <c r="E4">
        <v>3.8800000000000001E-2</v>
      </c>
      <c r="F4">
        <v>2.5999999999999999E-3</v>
      </c>
      <c r="G4">
        <f t="shared" ref="G4:G12" si="0">0.0328/10</f>
        <v>3.2800000000000004E-3</v>
      </c>
      <c r="H4">
        <v>3.5799999999999998E-2</v>
      </c>
    </row>
    <row r="5" spans="1:8">
      <c r="A5">
        <v>3</v>
      </c>
      <c r="B5">
        <v>3.6700000000000003E-2</v>
      </c>
      <c r="C5">
        <v>9.5299999999999996E-2</v>
      </c>
      <c r="D5">
        <v>6.7299999999999999E-2</v>
      </c>
      <c r="E5">
        <v>3.8899999999999997E-2</v>
      </c>
      <c r="F5">
        <v>2.5000000000000001E-3</v>
      </c>
      <c r="G5">
        <f t="shared" si="0"/>
        <v>3.2800000000000004E-3</v>
      </c>
      <c r="H5">
        <v>3.6999999999999998E-2</v>
      </c>
    </row>
    <row r="6" spans="1:8">
      <c r="A6">
        <v>4</v>
      </c>
      <c r="B6">
        <v>3.7499999999999999E-2</v>
      </c>
      <c r="C6">
        <v>9.4500000000000001E-2</v>
      </c>
      <c r="D6">
        <v>6.7100000000000007E-2</v>
      </c>
      <c r="E6">
        <v>3.9E-2</v>
      </c>
      <c r="F6">
        <v>2.5999999999999999E-3</v>
      </c>
      <c r="G6">
        <f t="shared" si="0"/>
        <v>3.2800000000000004E-3</v>
      </c>
      <c r="H6">
        <v>3.5400000000000001E-2</v>
      </c>
    </row>
    <row r="7" spans="1:8">
      <c r="A7">
        <v>5</v>
      </c>
      <c r="B7">
        <v>3.73E-2</v>
      </c>
      <c r="C7">
        <v>0.1008</v>
      </c>
      <c r="D7">
        <v>6.7199999999999996E-2</v>
      </c>
      <c r="E7">
        <v>3.9E-2</v>
      </c>
      <c r="F7">
        <v>2.5999999999999999E-3</v>
      </c>
      <c r="G7">
        <f t="shared" si="0"/>
        <v>3.2800000000000004E-3</v>
      </c>
      <c r="H7">
        <v>3.49E-2</v>
      </c>
    </row>
    <row r="8" spans="1:8">
      <c r="A8">
        <v>6</v>
      </c>
      <c r="B8">
        <v>3.73E-2</v>
      </c>
      <c r="C8">
        <v>9.2999999999999999E-2</v>
      </c>
      <c r="D8">
        <v>6.7199999999999996E-2</v>
      </c>
      <c r="E8">
        <v>3.8600000000000002E-2</v>
      </c>
      <c r="F8">
        <f>0.0271/10</f>
        <v>2.7099999999999997E-3</v>
      </c>
      <c r="G8">
        <f t="shared" si="0"/>
        <v>3.2800000000000004E-3</v>
      </c>
      <c r="H8">
        <v>3.49E-2</v>
      </c>
    </row>
    <row r="9" spans="1:8">
      <c r="A9">
        <v>7</v>
      </c>
      <c r="B9">
        <v>3.7400000000000003E-2</v>
      </c>
      <c r="C9">
        <v>9.6500000000000002E-2</v>
      </c>
      <c r="D9">
        <v>6.8400000000000002E-2</v>
      </c>
      <c r="E9">
        <v>3.95E-2</v>
      </c>
      <c r="F9">
        <f t="shared" ref="F9:F17" si="1">0.0271/10</f>
        <v>2.7099999999999997E-3</v>
      </c>
      <c r="G9">
        <f t="shared" si="0"/>
        <v>3.2800000000000004E-3</v>
      </c>
      <c r="H9">
        <v>3.56E-2</v>
      </c>
    </row>
    <row r="10" spans="1:8">
      <c r="A10">
        <v>8</v>
      </c>
      <c r="B10">
        <v>3.7199999999999997E-2</v>
      </c>
      <c r="C10">
        <v>9.6299999999999997E-2</v>
      </c>
      <c r="D10">
        <v>6.7799999999999999E-2</v>
      </c>
      <c r="E10">
        <v>3.7600000000000001E-2</v>
      </c>
      <c r="F10">
        <f t="shared" si="1"/>
        <v>2.7099999999999997E-3</v>
      </c>
      <c r="G10">
        <f t="shared" si="0"/>
        <v>3.2800000000000004E-3</v>
      </c>
      <c r="H10">
        <v>3.6200000000000003E-2</v>
      </c>
    </row>
    <row r="11" spans="1:8">
      <c r="A11">
        <v>9</v>
      </c>
      <c r="B11">
        <v>3.7900000000000003E-2</v>
      </c>
      <c r="C11">
        <v>9.6699999999999994E-2</v>
      </c>
      <c r="D11">
        <v>6.7699999999999996E-2</v>
      </c>
      <c r="E11">
        <v>3.9199999999999999E-2</v>
      </c>
      <c r="F11">
        <f t="shared" si="1"/>
        <v>2.7099999999999997E-3</v>
      </c>
      <c r="G11">
        <f t="shared" si="0"/>
        <v>3.2800000000000004E-3</v>
      </c>
      <c r="H11">
        <v>3.5700000000000003E-2</v>
      </c>
    </row>
    <row r="12" spans="1:8">
      <c r="A12">
        <v>10</v>
      </c>
      <c r="B12">
        <v>3.6900000000000002E-2</v>
      </c>
      <c r="C12">
        <v>9.8000000000000004E-2</v>
      </c>
      <c r="D12">
        <v>6.6699999999999995E-2</v>
      </c>
      <c r="E12">
        <v>3.8800000000000001E-2</v>
      </c>
      <c r="F12">
        <f t="shared" si="1"/>
        <v>2.7099999999999997E-3</v>
      </c>
      <c r="G12">
        <f t="shared" si="0"/>
        <v>3.2800000000000004E-3</v>
      </c>
      <c r="H12">
        <v>3.5900000000000001E-2</v>
      </c>
    </row>
    <row r="13" spans="1:8">
      <c r="A13">
        <v>11</v>
      </c>
      <c r="B13">
        <v>3.6900000000000002E-2</v>
      </c>
      <c r="C13">
        <v>9.5299999999999996E-2</v>
      </c>
      <c r="D13">
        <v>6.5600000000000006E-2</v>
      </c>
      <c r="E13">
        <v>3.9100000000000003E-2</v>
      </c>
      <c r="F13">
        <f t="shared" si="1"/>
        <v>2.7099999999999997E-3</v>
      </c>
      <c r="G13">
        <f>0.335/10</f>
        <v>3.3500000000000002E-2</v>
      </c>
      <c r="H13">
        <v>3.5299999999999998E-2</v>
      </c>
    </row>
    <row r="14" spans="1:8">
      <c r="A14">
        <v>12</v>
      </c>
      <c r="B14">
        <v>3.6499999999999998E-2</v>
      </c>
      <c r="C14">
        <v>9.8000000000000004E-2</v>
      </c>
      <c r="D14">
        <v>6.7699999999999996E-2</v>
      </c>
      <c r="E14">
        <v>3.8899999999999997E-2</v>
      </c>
      <c r="F14">
        <f t="shared" si="1"/>
        <v>2.7099999999999997E-3</v>
      </c>
      <c r="G14">
        <f t="shared" ref="G14:G22" si="2">0.335/10</f>
        <v>3.3500000000000002E-2</v>
      </c>
      <c r="H14">
        <v>3.44E-2</v>
      </c>
    </row>
    <row r="15" spans="1:8">
      <c r="A15">
        <v>13</v>
      </c>
      <c r="B15">
        <v>3.7999999999999999E-2</v>
      </c>
      <c r="C15">
        <v>9.69E-2</v>
      </c>
      <c r="D15">
        <v>6.7299999999999999E-2</v>
      </c>
      <c r="E15">
        <v>3.9199999999999999E-2</v>
      </c>
      <c r="F15">
        <f t="shared" si="1"/>
        <v>2.7099999999999997E-3</v>
      </c>
      <c r="G15">
        <f t="shared" si="2"/>
        <v>3.3500000000000002E-2</v>
      </c>
      <c r="H15">
        <v>3.49E-2</v>
      </c>
    </row>
    <row r="16" spans="1:8">
      <c r="A16">
        <v>14</v>
      </c>
      <c r="B16">
        <v>3.7199999999999997E-2</v>
      </c>
      <c r="C16">
        <v>9.6500000000000002E-2</v>
      </c>
      <c r="D16">
        <v>6.7199999999999996E-2</v>
      </c>
      <c r="E16">
        <v>3.9300000000000002E-2</v>
      </c>
      <c r="F16">
        <f t="shared" si="1"/>
        <v>2.7099999999999997E-3</v>
      </c>
      <c r="G16">
        <f t="shared" si="2"/>
        <v>3.3500000000000002E-2</v>
      </c>
      <c r="H16">
        <v>3.5200000000000002E-2</v>
      </c>
    </row>
    <row r="17" spans="1:8">
      <c r="A17">
        <v>15</v>
      </c>
      <c r="B17">
        <v>3.7499999999999999E-2</v>
      </c>
      <c r="C17">
        <v>0.10299999999999999</v>
      </c>
      <c r="D17">
        <v>6.7400000000000002E-2</v>
      </c>
      <c r="E17">
        <v>3.9E-2</v>
      </c>
      <c r="F17">
        <f t="shared" si="1"/>
        <v>2.7099999999999997E-3</v>
      </c>
      <c r="G17">
        <f t="shared" si="2"/>
        <v>3.3500000000000002E-2</v>
      </c>
      <c r="H17">
        <v>3.5400000000000001E-2</v>
      </c>
    </row>
    <row r="18" spans="1:8">
      <c r="A18">
        <v>16</v>
      </c>
      <c r="B18">
        <v>3.7199999999999997E-2</v>
      </c>
      <c r="C18">
        <v>9.69E-2</v>
      </c>
      <c r="D18">
        <v>6.7299999999999999E-2</v>
      </c>
      <c r="E18">
        <v>3.9199999999999999E-2</v>
      </c>
      <c r="F18">
        <f>0.0264/10</f>
        <v>2.64E-3</v>
      </c>
      <c r="G18">
        <f t="shared" si="2"/>
        <v>3.3500000000000002E-2</v>
      </c>
      <c r="H18">
        <v>3.5499999999999997E-2</v>
      </c>
    </row>
    <row r="19" spans="1:8">
      <c r="A19">
        <v>17</v>
      </c>
      <c r="B19">
        <v>3.6600000000000001E-2</v>
      </c>
      <c r="C19">
        <v>0.1009</v>
      </c>
      <c r="D19">
        <v>6.7199999999999996E-2</v>
      </c>
      <c r="E19">
        <v>3.8899999999999997E-2</v>
      </c>
      <c r="F19">
        <f t="shared" ref="F19:F27" si="3">0.0264/10</f>
        <v>2.64E-3</v>
      </c>
      <c r="G19">
        <f t="shared" si="2"/>
        <v>3.3500000000000002E-2</v>
      </c>
      <c r="H19">
        <v>3.5099999999999999E-2</v>
      </c>
    </row>
    <row r="20" spans="1:8">
      <c r="A20">
        <v>18</v>
      </c>
      <c r="B20">
        <v>3.7100000000000001E-2</v>
      </c>
      <c r="C20">
        <v>9.3700000000000006E-2</v>
      </c>
      <c r="D20">
        <v>6.7500000000000004E-2</v>
      </c>
      <c r="E20">
        <v>3.8699999999999998E-2</v>
      </c>
      <c r="F20">
        <f t="shared" si="3"/>
        <v>2.64E-3</v>
      </c>
      <c r="G20">
        <f t="shared" si="2"/>
        <v>3.3500000000000002E-2</v>
      </c>
      <c r="H20">
        <v>3.4000000000000002E-2</v>
      </c>
    </row>
    <row r="21" spans="1:8">
      <c r="A21">
        <v>19</v>
      </c>
      <c r="B21">
        <v>3.7499999999999999E-2</v>
      </c>
      <c r="C21">
        <v>9.6199999999999994E-2</v>
      </c>
      <c r="D21">
        <v>6.7400000000000002E-2</v>
      </c>
      <c r="E21">
        <v>3.9E-2</v>
      </c>
      <c r="F21">
        <f t="shared" si="3"/>
        <v>2.64E-3</v>
      </c>
      <c r="G21">
        <f t="shared" si="2"/>
        <v>3.3500000000000002E-2</v>
      </c>
      <c r="H21">
        <v>3.5000000000000003E-2</v>
      </c>
    </row>
    <row r="22" spans="1:8">
      <c r="A22">
        <v>20</v>
      </c>
      <c r="B22">
        <v>3.6999999999999998E-2</v>
      </c>
      <c r="C22">
        <v>9.69E-2</v>
      </c>
      <c r="D22">
        <v>6.7000000000000004E-2</v>
      </c>
      <c r="E22">
        <v>3.8699999999999998E-2</v>
      </c>
      <c r="F22">
        <f t="shared" si="3"/>
        <v>2.64E-3</v>
      </c>
      <c r="G22">
        <f t="shared" si="2"/>
        <v>3.3500000000000002E-2</v>
      </c>
      <c r="H22">
        <v>3.5700000000000003E-2</v>
      </c>
    </row>
    <row r="23" spans="1:8">
      <c r="A23">
        <v>21</v>
      </c>
      <c r="B23">
        <v>3.6900000000000002E-2</v>
      </c>
      <c r="C23">
        <v>9.4399999999999998E-2</v>
      </c>
      <c r="D23">
        <v>6.7100000000000007E-2</v>
      </c>
      <c r="E23">
        <v>3.9E-2</v>
      </c>
      <c r="F23">
        <f t="shared" si="3"/>
        <v>2.64E-3</v>
      </c>
      <c r="G23">
        <f>0.0362/11</f>
        <v>3.2909090909090913E-3</v>
      </c>
      <c r="H23">
        <v>3.4700000000000002E-2</v>
      </c>
    </row>
    <row r="24" spans="1:8">
      <c r="A24">
        <v>22</v>
      </c>
      <c r="B24">
        <v>3.6600000000000001E-2</v>
      </c>
      <c r="C24">
        <v>9.7199999999999995E-2</v>
      </c>
      <c r="D24">
        <v>6.7400000000000002E-2</v>
      </c>
      <c r="E24">
        <v>3.7600000000000001E-2</v>
      </c>
      <c r="F24">
        <f t="shared" si="3"/>
        <v>2.64E-3</v>
      </c>
      <c r="G24">
        <f t="shared" ref="G24:G33" si="4">0.0362/11</f>
        <v>3.2909090909090913E-3</v>
      </c>
      <c r="H24">
        <v>3.5000000000000003E-2</v>
      </c>
    </row>
    <row r="25" spans="1:8">
      <c r="A25">
        <v>23</v>
      </c>
      <c r="B25">
        <v>3.7199999999999997E-2</v>
      </c>
      <c r="C25">
        <v>9.5600000000000004E-2</v>
      </c>
      <c r="D25">
        <v>6.7699999999999996E-2</v>
      </c>
      <c r="E25">
        <v>3.78E-2</v>
      </c>
      <c r="F25">
        <f t="shared" si="3"/>
        <v>2.64E-3</v>
      </c>
      <c r="G25">
        <f t="shared" si="4"/>
        <v>3.2909090909090913E-3</v>
      </c>
      <c r="H25">
        <v>3.4799999999999998E-2</v>
      </c>
    </row>
    <row r="26" spans="1:8">
      <c r="A26">
        <v>24</v>
      </c>
      <c r="B26">
        <v>3.6700000000000003E-2</v>
      </c>
      <c r="C26">
        <v>9.5600000000000004E-2</v>
      </c>
      <c r="D26">
        <v>6.6900000000000001E-2</v>
      </c>
      <c r="E26">
        <v>3.8899999999999997E-2</v>
      </c>
      <c r="F26">
        <f t="shared" si="3"/>
        <v>2.64E-3</v>
      </c>
      <c r="G26">
        <f t="shared" si="4"/>
        <v>3.2909090909090913E-3</v>
      </c>
      <c r="H26">
        <v>3.5400000000000001E-2</v>
      </c>
    </row>
    <row r="27" spans="1:8">
      <c r="A27">
        <v>25</v>
      </c>
      <c r="B27">
        <v>3.7100000000000001E-2</v>
      </c>
      <c r="C27">
        <v>9.4E-2</v>
      </c>
      <c r="D27">
        <v>6.7000000000000004E-2</v>
      </c>
      <c r="E27">
        <v>3.9E-2</v>
      </c>
      <c r="F27">
        <f t="shared" si="3"/>
        <v>2.64E-3</v>
      </c>
      <c r="G27">
        <f t="shared" si="4"/>
        <v>3.2909090909090913E-3</v>
      </c>
      <c r="H27">
        <v>3.56E-2</v>
      </c>
    </row>
    <row r="28" spans="1:8">
      <c r="A28">
        <v>26</v>
      </c>
      <c r="B28">
        <v>3.6400000000000002E-2</v>
      </c>
      <c r="C28">
        <v>9.6500000000000002E-2</v>
      </c>
      <c r="D28">
        <v>6.6900000000000001E-2</v>
      </c>
      <c r="E28">
        <v>3.8899999999999997E-2</v>
      </c>
      <c r="F28">
        <f>0.0294/11</f>
        <v>2.6727272727272728E-3</v>
      </c>
      <c r="G28">
        <f t="shared" si="4"/>
        <v>3.2909090909090913E-3</v>
      </c>
      <c r="H28">
        <v>3.5499999999999997E-2</v>
      </c>
    </row>
    <row r="29" spans="1:8">
      <c r="A29">
        <v>27</v>
      </c>
      <c r="B29">
        <v>3.6499999999999998E-2</v>
      </c>
      <c r="C29">
        <v>9.6299999999999997E-2</v>
      </c>
      <c r="D29">
        <v>6.6699999999999995E-2</v>
      </c>
      <c r="E29">
        <v>3.8699999999999998E-2</v>
      </c>
      <c r="F29">
        <f t="shared" ref="F29:F38" si="5">0.0294/11</f>
        <v>2.6727272727272728E-3</v>
      </c>
      <c r="G29">
        <f t="shared" si="4"/>
        <v>3.2909090909090913E-3</v>
      </c>
      <c r="H29">
        <v>3.5099999999999999E-2</v>
      </c>
    </row>
    <row r="30" spans="1:8">
      <c r="A30">
        <v>28</v>
      </c>
      <c r="B30">
        <v>3.7499999999999999E-2</v>
      </c>
      <c r="C30">
        <v>9.4500000000000001E-2</v>
      </c>
      <c r="D30">
        <v>6.6400000000000001E-2</v>
      </c>
      <c r="E30">
        <v>3.9399999999999998E-2</v>
      </c>
      <c r="F30">
        <f t="shared" si="5"/>
        <v>2.6727272727272728E-3</v>
      </c>
      <c r="G30">
        <f t="shared" si="4"/>
        <v>3.2909090909090913E-3</v>
      </c>
      <c r="H30">
        <v>3.5099999999999999E-2</v>
      </c>
    </row>
    <row r="31" spans="1:8">
      <c r="A31">
        <v>29</v>
      </c>
      <c r="B31">
        <v>3.6600000000000001E-2</v>
      </c>
      <c r="C31">
        <v>9.4799999999999995E-2</v>
      </c>
      <c r="D31">
        <v>6.7599999999999993E-2</v>
      </c>
      <c r="E31">
        <v>3.8800000000000001E-2</v>
      </c>
      <c r="F31">
        <f t="shared" si="5"/>
        <v>2.6727272727272728E-3</v>
      </c>
      <c r="G31">
        <f t="shared" si="4"/>
        <v>3.2909090909090913E-3</v>
      </c>
      <c r="H31">
        <v>3.5499999999999997E-2</v>
      </c>
    </row>
    <row r="32" spans="1:8">
      <c r="A32">
        <v>30</v>
      </c>
      <c r="B32">
        <v>3.6900000000000002E-2</v>
      </c>
      <c r="C32">
        <v>9.4100000000000003E-2</v>
      </c>
      <c r="D32">
        <v>6.7400000000000002E-2</v>
      </c>
      <c r="E32">
        <v>3.8600000000000002E-2</v>
      </c>
      <c r="F32">
        <f t="shared" si="5"/>
        <v>2.6727272727272728E-3</v>
      </c>
      <c r="G32">
        <f t="shared" si="4"/>
        <v>3.2909090909090913E-3</v>
      </c>
      <c r="H32">
        <v>3.5499999999999997E-2</v>
      </c>
    </row>
    <row r="33" spans="1:8">
      <c r="A33">
        <v>31</v>
      </c>
      <c r="B33">
        <v>3.7900000000000003E-2</v>
      </c>
      <c r="C33">
        <v>9.4399999999999998E-2</v>
      </c>
      <c r="D33">
        <v>6.7299999999999999E-2</v>
      </c>
      <c r="E33">
        <v>3.78E-2</v>
      </c>
      <c r="F33">
        <f t="shared" si="5"/>
        <v>2.6727272727272728E-3</v>
      </c>
      <c r="G33">
        <f t="shared" si="4"/>
        <v>3.2909090909090913E-3</v>
      </c>
      <c r="H33">
        <v>3.5999999999999997E-2</v>
      </c>
    </row>
    <row r="34" spans="1:8">
      <c r="A34">
        <v>32</v>
      </c>
      <c r="B34">
        <v>3.7100000000000001E-2</v>
      </c>
      <c r="C34">
        <v>9.8199999999999996E-2</v>
      </c>
      <c r="D34">
        <v>6.7199999999999996E-2</v>
      </c>
      <c r="E34">
        <v>3.6999999999999998E-2</v>
      </c>
      <c r="F34">
        <f t="shared" si="5"/>
        <v>2.6727272727272728E-3</v>
      </c>
      <c r="G34">
        <f>0.0302/9</f>
        <v>3.3555555555555556E-3</v>
      </c>
    </row>
    <row r="35" spans="1:8">
      <c r="A35">
        <v>33</v>
      </c>
      <c r="B35">
        <v>3.6700000000000003E-2</v>
      </c>
      <c r="C35">
        <v>9.7699999999999995E-2</v>
      </c>
      <c r="D35">
        <v>6.7400000000000002E-2</v>
      </c>
      <c r="E35">
        <v>3.8899999999999997E-2</v>
      </c>
      <c r="F35">
        <f t="shared" si="5"/>
        <v>2.6727272727272728E-3</v>
      </c>
      <c r="G35">
        <f t="shared" ref="G35:G42" si="6">0.0302/9</f>
        <v>3.3555555555555556E-3</v>
      </c>
    </row>
    <row r="36" spans="1:8">
      <c r="A36">
        <v>34</v>
      </c>
      <c r="B36">
        <v>3.6600000000000001E-2</v>
      </c>
      <c r="C36">
        <v>9.5100000000000004E-2</v>
      </c>
      <c r="D36">
        <v>6.6699999999999995E-2</v>
      </c>
      <c r="E36">
        <v>3.8600000000000002E-2</v>
      </c>
      <c r="F36">
        <f t="shared" si="5"/>
        <v>2.6727272727272728E-3</v>
      </c>
      <c r="G36">
        <f t="shared" si="6"/>
        <v>3.3555555555555556E-3</v>
      </c>
    </row>
    <row r="37" spans="1:8">
      <c r="A37">
        <v>35</v>
      </c>
      <c r="B37">
        <v>3.7199999999999997E-2</v>
      </c>
      <c r="C37">
        <v>9.5399999999999999E-2</v>
      </c>
      <c r="D37">
        <v>6.7199999999999996E-2</v>
      </c>
      <c r="E37">
        <v>3.9100000000000003E-2</v>
      </c>
      <c r="F37">
        <f t="shared" si="5"/>
        <v>2.6727272727272728E-3</v>
      </c>
      <c r="G37">
        <f t="shared" si="6"/>
        <v>3.3555555555555556E-3</v>
      </c>
    </row>
    <row r="38" spans="1:8">
      <c r="A38">
        <v>36</v>
      </c>
      <c r="B38">
        <v>3.7699999999999997E-2</v>
      </c>
      <c r="C38">
        <v>9.5899999999999999E-2</v>
      </c>
      <c r="D38">
        <v>6.7000000000000004E-2</v>
      </c>
      <c r="E38">
        <v>3.8899999999999997E-2</v>
      </c>
      <c r="F38">
        <f t="shared" si="5"/>
        <v>2.6727272727272728E-3</v>
      </c>
      <c r="G38">
        <f t="shared" si="6"/>
        <v>3.3555555555555556E-3</v>
      </c>
    </row>
    <row r="39" spans="1:8">
      <c r="A39">
        <v>37</v>
      </c>
      <c r="B39">
        <v>3.6900000000000002E-2</v>
      </c>
      <c r="C39">
        <v>9.35E-2</v>
      </c>
      <c r="D39">
        <v>6.7100000000000007E-2</v>
      </c>
      <c r="E39">
        <v>3.9100000000000003E-2</v>
      </c>
      <c r="F39">
        <f>0.0293/11</f>
        <v>2.6636363636363637E-3</v>
      </c>
      <c r="G39">
        <f t="shared" si="6"/>
        <v>3.3555555555555556E-3</v>
      </c>
    </row>
    <row r="40" spans="1:8">
      <c r="A40">
        <v>38</v>
      </c>
      <c r="B40">
        <v>3.6299999999999999E-2</v>
      </c>
      <c r="C40">
        <v>9.4899999999999998E-2</v>
      </c>
      <c r="D40">
        <v>6.6400000000000001E-2</v>
      </c>
      <c r="E40">
        <v>3.8899999999999997E-2</v>
      </c>
      <c r="F40">
        <f t="shared" ref="F40:F49" si="7">0.0293/11</f>
        <v>2.6636363636363637E-3</v>
      </c>
      <c r="G40">
        <f t="shared" si="6"/>
        <v>3.3555555555555556E-3</v>
      </c>
    </row>
    <row r="41" spans="1:8">
      <c r="A41">
        <v>39</v>
      </c>
      <c r="B41">
        <v>3.7199999999999997E-2</v>
      </c>
      <c r="C41">
        <v>9.74E-2</v>
      </c>
      <c r="D41">
        <v>6.7500000000000004E-2</v>
      </c>
      <c r="E41">
        <v>3.7199999999999997E-2</v>
      </c>
      <c r="F41">
        <f t="shared" si="7"/>
        <v>2.6636363636363637E-3</v>
      </c>
      <c r="G41">
        <f t="shared" si="6"/>
        <v>3.3555555555555556E-3</v>
      </c>
    </row>
    <row r="42" spans="1:8">
      <c r="A42">
        <v>40</v>
      </c>
      <c r="B42">
        <v>3.6600000000000001E-2</v>
      </c>
      <c r="C42">
        <v>9.8799999999999999E-2</v>
      </c>
      <c r="D42">
        <v>6.7000000000000004E-2</v>
      </c>
      <c r="E42">
        <v>3.9100000000000003E-2</v>
      </c>
      <c r="F42">
        <f t="shared" si="7"/>
        <v>2.6636363636363637E-3</v>
      </c>
      <c r="G42">
        <f t="shared" si="6"/>
        <v>3.3555555555555556E-3</v>
      </c>
    </row>
    <row r="43" spans="1:8">
      <c r="A43">
        <v>41</v>
      </c>
      <c r="B43">
        <v>3.7199999999999997E-2</v>
      </c>
      <c r="C43">
        <v>9.3600000000000003E-2</v>
      </c>
      <c r="D43">
        <v>6.6600000000000006E-2</v>
      </c>
      <c r="E43">
        <v>3.8899999999999997E-2</v>
      </c>
      <c r="F43">
        <f t="shared" si="7"/>
        <v>2.6636363636363637E-3</v>
      </c>
      <c r="G43">
        <f>0.0394/12</f>
        <v>3.283333333333333E-3</v>
      </c>
    </row>
    <row r="44" spans="1:8">
      <c r="A44">
        <v>42</v>
      </c>
      <c r="B44">
        <v>3.6700000000000003E-2</v>
      </c>
      <c r="C44">
        <v>9.5799999999999996E-2</v>
      </c>
      <c r="D44">
        <v>6.7199999999999996E-2</v>
      </c>
      <c r="E44">
        <v>3.8600000000000002E-2</v>
      </c>
      <c r="F44">
        <f t="shared" si="7"/>
        <v>2.6636363636363637E-3</v>
      </c>
      <c r="G44">
        <f t="shared" ref="G44:G52" si="8">0.0394/12</f>
        <v>3.283333333333333E-3</v>
      </c>
    </row>
    <row r="45" spans="1:8">
      <c r="A45">
        <v>43</v>
      </c>
      <c r="B45">
        <v>3.5999999999999997E-2</v>
      </c>
      <c r="C45">
        <v>9.4600000000000004E-2</v>
      </c>
      <c r="D45">
        <v>6.7500000000000004E-2</v>
      </c>
      <c r="E45">
        <v>3.8800000000000001E-2</v>
      </c>
      <c r="F45">
        <f t="shared" si="7"/>
        <v>2.6636363636363637E-3</v>
      </c>
      <c r="G45">
        <f t="shared" si="8"/>
        <v>3.283333333333333E-3</v>
      </c>
    </row>
    <row r="46" spans="1:8">
      <c r="A46">
        <v>44</v>
      </c>
      <c r="B46">
        <v>3.5799999999999998E-2</v>
      </c>
      <c r="C46">
        <v>9.7299999999999998E-2</v>
      </c>
      <c r="D46">
        <v>6.7699999999999996E-2</v>
      </c>
      <c r="E46">
        <v>3.7600000000000001E-2</v>
      </c>
      <c r="F46">
        <f t="shared" si="7"/>
        <v>2.6636363636363637E-3</v>
      </c>
      <c r="G46">
        <f t="shared" si="8"/>
        <v>3.283333333333333E-3</v>
      </c>
    </row>
    <row r="47" spans="1:8">
      <c r="A47">
        <v>45</v>
      </c>
      <c r="B47">
        <v>3.6600000000000001E-2</v>
      </c>
      <c r="C47">
        <v>9.6100000000000005E-2</v>
      </c>
      <c r="D47">
        <v>6.6799999999999998E-2</v>
      </c>
      <c r="E47">
        <v>3.9199999999999999E-2</v>
      </c>
      <c r="F47">
        <f t="shared" si="7"/>
        <v>2.6636363636363637E-3</v>
      </c>
      <c r="G47">
        <f t="shared" si="8"/>
        <v>3.283333333333333E-3</v>
      </c>
    </row>
    <row r="48" spans="1:8">
      <c r="A48">
        <v>46</v>
      </c>
      <c r="B48">
        <v>3.5999999999999997E-2</v>
      </c>
      <c r="C48">
        <v>9.64E-2</v>
      </c>
      <c r="D48">
        <v>6.7100000000000007E-2</v>
      </c>
      <c r="E48">
        <v>3.73E-2</v>
      </c>
      <c r="F48">
        <f t="shared" si="7"/>
        <v>2.6636363636363637E-3</v>
      </c>
      <c r="G48">
        <f t="shared" si="8"/>
        <v>3.283333333333333E-3</v>
      </c>
    </row>
    <row r="49" spans="1:8">
      <c r="A49">
        <v>47</v>
      </c>
      <c r="B49">
        <v>3.5999999999999997E-2</v>
      </c>
      <c r="C49">
        <v>9.4100000000000003E-2</v>
      </c>
      <c r="D49">
        <v>6.6799999999999998E-2</v>
      </c>
      <c r="E49">
        <v>3.9199999999999999E-2</v>
      </c>
      <c r="F49">
        <f t="shared" si="7"/>
        <v>2.6636363636363637E-3</v>
      </c>
      <c r="G49">
        <f t="shared" si="8"/>
        <v>3.283333333333333E-3</v>
      </c>
    </row>
    <row r="50" spans="1:8">
      <c r="A50">
        <v>48</v>
      </c>
      <c r="B50">
        <v>3.6400000000000002E-2</v>
      </c>
      <c r="C50">
        <v>0.10150000000000001</v>
      </c>
      <c r="D50">
        <v>6.6900000000000001E-2</v>
      </c>
      <c r="E50">
        <v>3.8300000000000001E-2</v>
      </c>
      <c r="F50">
        <f>0.0083/3</f>
        <v>2.7666666666666668E-3</v>
      </c>
      <c r="G50">
        <f t="shared" si="8"/>
        <v>3.283333333333333E-3</v>
      </c>
    </row>
    <row r="51" spans="1:8">
      <c r="A51">
        <v>49</v>
      </c>
      <c r="B51">
        <v>3.5900000000000001E-2</v>
      </c>
      <c r="C51">
        <v>9.5000000000000001E-2</v>
      </c>
      <c r="D51">
        <v>6.7100000000000007E-2</v>
      </c>
      <c r="E51">
        <v>3.8600000000000002E-2</v>
      </c>
      <c r="F51">
        <f t="shared" ref="F51:F52" si="9">0.0083/3</f>
        <v>2.7666666666666668E-3</v>
      </c>
      <c r="G51">
        <f t="shared" si="8"/>
        <v>3.283333333333333E-3</v>
      </c>
    </row>
    <row r="52" spans="1:8">
      <c r="A52">
        <v>50</v>
      </c>
      <c r="B52">
        <v>3.6299999999999999E-2</v>
      </c>
      <c r="C52">
        <v>9.5200000000000007E-2</v>
      </c>
      <c r="D52">
        <v>6.6500000000000004E-2</v>
      </c>
      <c r="E52">
        <v>3.9199999999999999E-2</v>
      </c>
      <c r="F52">
        <f t="shared" si="9"/>
        <v>2.7666666666666668E-3</v>
      </c>
      <c r="G52">
        <f t="shared" si="8"/>
        <v>3.283333333333333E-3</v>
      </c>
    </row>
    <row r="53" spans="1:8">
      <c r="A53" t="s">
        <v>2246</v>
      </c>
      <c r="B53">
        <f t="shared" ref="B53:H53" si="10">AVERAGE(B3:B52)</f>
        <v>3.6903999999999992E-2</v>
      </c>
      <c r="C53">
        <f t="shared" si="10"/>
        <v>9.6175999999999984E-2</v>
      </c>
      <c r="D53">
        <f t="shared" si="10"/>
        <v>6.7166000000000003E-2</v>
      </c>
      <c r="E53">
        <f t="shared" si="10"/>
        <v>3.8671999999999984E-2</v>
      </c>
      <c r="F53">
        <f t="shared" si="10"/>
        <v>2.6680000000000011E-3</v>
      </c>
      <c r="G53">
        <f t="shared" si="10"/>
        <v>9.3406666666666673E-3</v>
      </c>
      <c r="H53">
        <f t="shared" si="10"/>
        <v>3.5361290322580646E-2</v>
      </c>
    </row>
    <row r="54" spans="1:8">
      <c r="B54">
        <f t="shared" ref="B54:H54" si="11">STDEV(B4:B53)</f>
        <v>5.2565185343572045E-4</v>
      </c>
      <c r="C54">
        <f t="shared" si="11"/>
        <v>2.0912307306893687E-3</v>
      </c>
      <c r="D54">
        <f t="shared" si="11"/>
        <v>4.4495679405019532E-4</v>
      </c>
      <c r="E54">
        <f t="shared" si="11"/>
        <v>5.912746576814588E-4</v>
      </c>
      <c r="F54">
        <f t="shared" si="11"/>
        <v>4.4525646372740371E-5</v>
      </c>
      <c r="G54">
        <f t="shared" si="11"/>
        <v>1.2170964496270397E-2</v>
      </c>
      <c r="H54">
        <f t="shared" si="11"/>
        <v>5.5827870674794136E-4</v>
      </c>
    </row>
    <row r="55" spans="1:8">
      <c r="B55">
        <f t="shared" ref="B55:H55" si="12">B54/SQRT(50)</f>
        <v>7.4338398021535021E-5</v>
      </c>
      <c r="C55">
        <f t="shared" si="12"/>
        <v>2.9574468613923025E-4</v>
      </c>
      <c r="D55">
        <f t="shared" si="12"/>
        <v>6.2926393281583827E-5</v>
      </c>
      <c r="E55">
        <f t="shared" si="12"/>
        <v>8.3618863998062817E-5</v>
      </c>
      <c r="F55">
        <f t="shared" si="12"/>
        <v>6.2968772973757836E-6</v>
      </c>
      <c r="G55">
        <f t="shared" si="12"/>
        <v>1.7212343057787021E-3</v>
      </c>
      <c r="H55">
        <f t="shared" si="12"/>
        <v>7.8952531866705055E-5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0"/>
  <sheetViews>
    <sheetView topLeftCell="A10" zoomScale="80" zoomScaleNormal="80" workbookViewId="0">
      <selection activeCell="N30" sqref="N30"/>
    </sheetView>
  </sheetViews>
  <sheetFormatPr baseColWidth="10" defaultColWidth="8.83203125" defaultRowHeight="15"/>
  <cols>
    <col min="5" max="5" width="9.83203125" bestFit="1" customWidth="1"/>
    <col min="9" max="9" width="8.83203125" customWidth="1"/>
  </cols>
  <sheetData>
    <row r="1" spans="1:17">
      <c r="A1" t="s">
        <v>288</v>
      </c>
      <c r="B1" t="s">
        <v>289</v>
      </c>
      <c r="C1" t="s">
        <v>8</v>
      </c>
      <c r="D1" t="s">
        <v>290</v>
      </c>
      <c r="E1" t="s">
        <v>291</v>
      </c>
      <c r="F1" t="s">
        <v>292</v>
      </c>
      <c r="G1" t="s">
        <v>1748</v>
      </c>
      <c r="H1" t="s">
        <v>1749</v>
      </c>
      <c r="I1" t="s">
        <v>9</v>
      </c>
      <c r="J1" t="s">
        <v>10</v>
      </c>
      <c r="K1" t="s">
        <v>1</v>
      </c>
      <c r="L1" t="s">
        <v>344</v>
      </c>
      <c r="M1" t="s">
        <v>345</v>
      </c>
      <c r="N1" t="s">
        <v>346</v>
      </c>
      <c r="O1" t="s">
        <v>347</v>
      </c>
      <c r="P1" t="s">
        <v>348</v>
      </c>
      <c r="Q1" t="s">
        <v>5</v>
      </c>
    </row>
    <row r="2" spans="1:17">
      <c r="A2" t="s">
        <v>12</v>
      </c>
      <c r="B2" t="s">
        <v>293</v>
      </c>
      <c r="C2">
        <v>1</v>
      </c>
      <c r="D2" t="s">
        <v>294</v>
      </c>
      <c r="E2">
        <v>4.5900000000000003E-2</v>
      </c>
      <c r="F2">
        <v>3</v>
      </c>
      <c r="G2">
        <v>3.8671999999999984E-2</v>
      </c>
      <c r="H2">
        <f t="shared" ref="H2:H40" si="0">E2-G2</f>
        <v>7.2280000000000191E-3</v>
      </c>
      <c r="I2">
        <v>2.4529999999999998</v>
      </c>
      <c r="J2">
        <f>5.047+4.888</f>
        <v>9.9349999999999987</v>
      </c>
    </row>
    <row r="3" spans="1:17">
      <c r="A3" t="s">
        <v>12</v>
      </c>
      <c r="B3" t="s">
        <v>295</v>
      </c>
      <c r="C3">
        <v>2</v>
      </c>
      <c r="D3" t="s">
        <v>294</v>
      </c>
      <c r="E3">
        <v>6.3200000000000006E-2</v>
      </c>
      <c r="F3">
        <v>3</v>
      </c>
      <c r="G3">
        <v>3.8671999999999984E-2</v>
      </c>
      <c r="H3">
        <f t="shared" si="0"/>
        <v>2.4528000000000022E-2</v>
      </c>
      <c r="I3">
        <v>3.7909999999999999</v>
      </c>
      <c r="J3">
        <f>7.341+7.646</f>
        <v>14.987</v>
      </c>
    </row>
    <row r="4" spans="1:17">
      <c r="A4" t="s">
        <v>12</v>
      </c>
      <c r="B4" t="s">
        <v>296</v>
      </c>
      <c r="C4">
        <v>3</v>
      </c>
      <c r="D4" t="s">
        <v>294</v>
      </c>
      <c r="E4">
        <v>8.1500000000000003E-2</v>
      </c>
      <c r="F4">
        <v>3</v>
      </c>
      <c r="G4">
        <v>3.8671999999999984E-2</v>
      </c>
      <c r="H4">
        <f t="shared" si="0"/>
        <v>4.2828000000000019E-2</v>
      </c>
      <c r="I4">
        <v>4.8010000000000002</v>
      </c>
      <c r="J4">
        <f>9.38+8.263</f>
        <v>17.643000000000001</v>
      </c>
    </row>
    <row r="5" spans="1:17">
      <c r="A5" t="s">
        <v>12</v>
      </c>
      <c r="B5" t="s">
        <v>297</v>
      </c>
      <c r="C5">
        <v>4</v>
      </c>
      <c r="D5" t="s">
        <v>294</v>
      </c>
      <c r="E5">
        <v>0.24460000000000001</v>
      </c>
      <c r="F5">
        <v>3</v>
      </c>
      <c r="G5">
        <v>3.8671999999999984E-2</v>
      </c>
      <c r="H5">
        <f t="shared" si="0"/>
        <v>0.20592800000000003</v>
      </c>
      <c r="I5">
        <v>8.7309999999999999</v>
      </c>
      <c r="J5">
        <f>11.497+11.61</f>
        <v>23.106999999999999</v>
      </c>
    </row>
    <row r="6" spans="1:17">
      <c r="A6" t="s">
        <v>12</v>
      </c>
      <c r="B6" t="s">
        <v>298</v>
      </c>
      <c r="C6">
        <v>5</v>
      </c>
      <c r="D6" t="s">
        <v>294</v>
      </c>
      <c r="E6">
        <v>9.8400000000000001E-2</v>
      </c>
      <c r="F6">
        <v>3</v>
      </c>
      <c r="G6">
        <v>3.8671999999999984E-2</v>
      </c>
      <c r="H6">
        <f t="shared" si="0"/>
        <v>5.9728000000000017E-2</v>
      </c>
      <c r="I6">
        <v>5.7750000000000004</v>
      </c>
      <c r="J6">
        <f>8.182+7.621</f>
        <v>15.803000000000001</v>
      </c>
    </row>
    <row r="7" spans="1:17">
      <c r="A7" t="s">
        <v>12</v>
      </c>
      <c r="B7" t="s">
        <v>299</v>
      </c>
      <c r="C7">
        <v>6</v>
      </c>
      <c r="D7" t="s">
        <v>294</v>
      </c>
      <c r="E7">
        <v>8.1299999999999997E-2</v>
      </c>
      <c r="F7">
        <v>3</v>
      </c>
      <c r="G7">
        <v>3.8671999999999984E-2</v>
      </c>
      <c r="H7">
        <f t="shared" si="0"/>
        <v>4.2628000000000013E-2</v>
      </c>
      <c r="I7">
        <v>5.274</v>
      </c>
      <c r="J7">
        <f>7.399+7.324</f>
        <v>14.722999999999999</v>
      </c>
    </row>
    <row r="8" spans="1:17">
      <c r="A8" t="s">
        <v>12</v>
      </c>
      <c r="B8" t="s">
        <v>301</v>
      </c>
      <c r="C8">
        <v>8</v>
      </c>
      <c r="D8" t="s">
        <v>294</v>
      </c>
      <c r="E8">
        <v>9.6100000000000005E-2</v>
      </c>
      <c r="F8">
        <v>3</v>
      </c>
      <c r="G8">
        <v>3.8671999999999984E-2</v>
      </c>
      <c r="H8">
        <f t="shared" si="0"/>
        <v>5.7428000000000021E-2</v>
      </c>
      <c r="I8">
        <v>6.0129999999999999</v>
      </c>
      <c r="J8">
        <f>6.013+9.304</f>
        <v>15.317</v>
      </c>
    </row>
    <row r="9" spans="1:17">
      <c r="A9" t="s">
        <v>12</v>
      </c>
      <c r="B9" t="s">
        <v>302</v>
      </c>
      <c r="C9">
        <v>9</v>
      </c>
      <c r="D9" t="s">
        <v>294</v>
      </c>
      <c r="E9">
        <v>0.1116</v>
      </c>
      <c r="F9">
        <v>3</v>
      </c>
      <c r="G9">
        <v>3.8671999999999984E-2</v>
      </c>
      <c r="H9">
        <f t="shared" si="0"/>
        <v>7.2928000000000021E-2</v>
      </c>
      <c r="I9">
        <v>7.3529999999999998</v>
      </c>
      <c r="J9">
        <f>8.811+8.437</f>
        <v>17.247999999999998</v>
      </c>
    </row>
    <row r="10" spans="1:17">
      <c r="A10" t="s">
        <v>12</v>
      </c>
      <c r="B10" t="s">
        <v>303</v>
      </c>
      <c r="C10">
        <v>10</v>
      </c>
      <c r="D10" t="s">
        <v>294</v>
      </c>
      <c r="E10">
        <v>8.2100000000000006E-2</v>
      </c>
      <c r="F10">
        <v>3</v>
      </c>
      <c r="G10">
        <v>3.8671999999999984E-2</v>
      </c>
      <c r="H10">
        <f t="shared" si="0"/>
        <v>4.3428000000000022E-2</v>
      </c>
      <c r="I10">
        <v>6.1429999999999998</v>
      </c>
      <c r="J10">
        <f>9.854+5.421</f>
        <v>15.274999999999999</v>
      </c>
    </row>
    <row r="11" spans="1:17">
      <c r="A11" t="s">
        <v>12</v>
      </c>
      <c r="B11" t="s">
        <v>305</v>
      </c>
      <c r="C11">
        <v>12</v>
      </c>
      <c r="D11" t="s">
        <v>294</v>
      </c>
      <c r="E11">
        <v>6.59E-2</v>
      </c>
      <c r="F11">
        <v>3</v>
      </c>
      <c r="G11">
        <v>3.8671999999999984E-2</v>
      </c>
      <c r="H11">
        <f t="shared" si="0"/>
        <v>2.7228000000000016E-2</v>
      </c>
      <c r="I11">
        <v>4.5579999999999998</v>
      </c>
      <c r="J11">
        <f>7.623+8.42</f>
        <v>16.042999999999999</v>
      </c>
    </row>
    <row r="12" spans="1:17">
      <c r="A12" t="s">
        <v>12</v>
      </c>
      <c r="B12" t="s">
        <v>306</v>
      </c>
      <c r="C12">
        <v>13</v>
      </c>
      <c r="D12" t="s">
        <v>294</v>
      </c>
      <c r="E12">
        <v>0.31929999999999997</v>
      </c>
      <c r="F12">
        <v>3</v>
      </c>
      <c r="G12">
        <v>3.8671999999999984E-2</v>
      </c>
      <c r="H12">
        <f t="shared" si="0"/>
        <v>0.28062799999999999</v>
      </c>
      <c r="I12">
        <v>9.4450000000000003</v>
      </c>
      <c r="J12">
        <f>16.468+12.708</f>
        <v>29.176000000000002</v>
      </c>
    </row>
    <row r="13" spans="1:17">
      <c r="A13" t="s">
        <v>12</v>
      </c>
      <c r="B13" t="s">
        <v>307</v>
      </c>
      <c r="C13">
        <v>14</v>
      </c>
      <c r="D13" t="s">
        <v>294</v>
      </c>
      <c r="E13">
        <v>6.2300000000000001E-2</v>
      </c>
      <c r="F13">
        <v>3</v>
      </c>
      <c r="G13">
        <v>3.8671999999999984E-2</v>
      </c>
      <c r="H13">
        <f t="shared" si="0"/>
        <v>2.3628000000000017E-2</v>
      </c>
      <c r="I13">
        <v>4.5519999999999996</v>
      </c>
      <c r="J13">
        <f>7.713+7.338</f>
        <v>15.051</v>
      </c>
    </row>
    <row r="14" spans="1:17">
      <c r="A14" t="s">
        <v>12</v>
      </c>
      <c r="B14" t="s">
        <v>308</v>
      </c>
      <c r="C14">
        <v>15</v>
      </c>
      <c r="D14" t="s">
        <v>294</v>
      </c>
      <c r="E14">
        <v>3.78E-2</v>
      </c>
      <c r="F14">
        <v>3</v>
      </c>
      <c r="G14">
        <v>3.6999999999999998E-2</v>
      </c>
      <c r="H14">
        <f t="shared" si="0"/>
        <v>8.000000000000021E-4</v>
      </c>
      <c r="I14">
        <v>8.9309999999999992</v>
      </c>
      <c r="J14">
        <f>11.654+11.837</f>
        <v>23.491</v>
      </c>
    </row>
    <row r="15" spans="1:17">
      <c r="A15" t="s">
        <v>12</v>
      </c>
      <c r="B15" t="s">
        <v>309</v>
      </c>
      <c r="C15">
        <v>16</v>
      </c>
      <c r="D15" t="s">
        <v>294</v>
      </c>
      <c r="E15">
        <v>4.5400000000000003E-2</v>
      </c>
      <c r="F15">
        <v>3</v>
      </c>
      <c r="G15">
        <v>3.8671999999999984E-2</v>
      </c>
      <c r="H15">
        <f t="shared" si="0"/>
        <v>6.7280000000000187E-3</v>
      </c>
      <c r="I15">
        <v>2.6659999999999999</v>
      </c>
      <c r="J15">
        <f>4.561+5.14</f>
        <v>9.7010000000000005</v>
      </c>
    </row>
    <row r="16" spans="1:17">
      <c r="A16" t="s">
        <v>12</v>
      </c>
      <c r="B16" t="s">
        <v>311</v>
      </c>
      <c r="C16">
        <v>18</v>
      </c>
      <c r="D16" t="s">
        <v>294</v>
      </c>
      <c r="E16">
        <v>0.34050000000000002</v>
      </c>
      <c r="F16">
        <v>1</v>
      </c>
      <c r="G16">
        <v>9.6175999999999984E-2</v>
      </c>
      <c r="H16">
        <f t="shared" si="0"/>
        <v>0.24432400000000004</v>
      </c>
      <c r="I16">
        <v>8.8689999999999998</v>
      </c>
      <c r="J16">
        <f>15.065+13.1</f>
        <v>28.164999999999999</v>
      </c>
    </row>
    <row r="17" spans="1:10">
      <c r="A17" t="s">
        <v>12</v>
      </c>
      <c r="B17" t="s">
        <v>312</v>
      </c>
      <c r="C17">
        <v>19</v>
      </c>
      <c r="D17" t="s">
        <v>294</v>
      </c>
      <c r="E17">
        <v>8.7499999999999994E-2</v>
      </c>
      <c r="F17">
        <v>3</v>
      </c>
      <c r="G17">
        <v>3.8671999999999984E-2</v>
      </c>
      <c r="H17">
        <f t="shared" si="0"/>
        <v>4.882800000000001E-2</v>
      </c>
      <c r="I17">
        <v>5.77</v>
      </c>
      <c r="J17">
        <f>6.886+8.263</f>
        <v>15.149000000000001</v>
      </c>
    </row>
    <row r="18" spans="1:10">
      <c r="A18" t="s">
        <v>12</v>
      </c>
      <c r="B18" t="s">
        <v>313</v>
      </c>
      <c r="C18">
        <v>20</v>
      </c>
      <c r="D18" t="s">
        <v>294</v>
      </c>
      <c r="E18">
        <v>0.1014</v>
      </c>
      <c r="F18">
        <v>3</v>
      </c>
      <c r="G18">
        <v>3.8671999999999984E-2</v>
      </c>
      <c r="H18">
        <f t="shared" si="0"/>
        <v>6.272800000000002E-2</v>
      </c>
      <c r="I18">
        <v>6.44</v>
      </c>
      <c r="J18">
        <f>9.267+7.953</f>
        <v>17.22</v>
      </c>
    </row>
    <row r="19" spans="1:10">
      <c r="A19" t="s">
        <v>12</v>
      </c>
      <c r="B19" t="s">
        <v>314</v>
      </c>
      <c r="C19">
        <v>21</v>
      </c>
      <c r="D19" t="s">
        <v>294</v>
      </c>
      <c r="E19">
        <v>0.48820000000000002</v>
      </c>
      <c r="F19">
        <v>1</v>
      </c>
      <c r="G19">
        <v>9.6175999999999984E-2</v>
      </c>
      <c r="H19">
        <f t="shared" si="0"/>
        <v>0.39202400000000004</v>
      </c>
      <c r="I19">
        <v>10.37</v>
      </c>
      <c r="J19">
        <f>16.643+16.271</f>
        <v>32.914000000000001</v>
      </c>
    </row>
    <row r="20" spans="1:10">
      <c r="A20" t="s">
        <v>12</v>
      </c>
      <c r="B20" t="s">
        <v>316</v>
      </c>
      <c r="C20">
        <v>23</v>
      </c>
      <c r="D20" t="s">
        <v>294</v>
      </c>
      <c r="E20">
        <v>7.4999999999999997E-2</v>
      </c>
      <c r="F20">
        <v>3</v>
      </c>
      <c r="G20">
        <v>3.8671999999999984E-2</v>
      </c>
      <c r="H20">
        <f t="shared" si="0"/>
        <v>3.6328000000000013E-2</v>
      </c>
      <c r="I20">
        <v>5.3029999999999999</v>
      </c>
      <c r="J20">
        <f>8.73+8.79</f>
        <v>17.52</v>
      </c>
    </row>
    <row r="21" spans="1:10">
      <c r="A21" t="s">
        <v>12</v>
      </c>
      <c r="B21" t="s">
        <v>317</v>
      </c>
      <c r="C21">
        <v>24</v>
      </c>
      <c r="D21" t="s">
        <v>294</v>
      </c>
      <c r="E21">
        <v>0.106</v>
      </c>
      <c r="F21">
        <v>3</v>
      </c>
      <c r="G21">
        <v>3.8671999999999984E-2</v>
      </c>
      <c r="H21">
        <f t="shared" si="0"/>
        <v>6.7328000000000013E-2</v>
      </c>
      <c r="I21">
        <v>5.3550000000000004</v>
      </c>
      <c r="J21">
        <f>8.131+5.922</f>
        <v>14.053000000000001</v>
      </c>
    </row>
    <row r="22" spans="1:10">
      <c r="A22" t="s">
        <v>12</v>
      </c>
      <c r="B22" t="s">
        <v>318</v>
      </c>
      <c r="C22">
        <v>25</v>
      </c>
      <c r="D22" t="s">
        <v>294</v>
      </c>
      <c r="E22">
        <v>7.1599999999999997E-2</v>
      </c>
      <c r="F22">
        <v>3</v>
      </c>
      <c r="G22">
        <v>3.8671999999999984E-2</v>
      </c>
      <c r="H22">
        <f t="shared" si="0"/>
        <v>3.2928000000000013E-2</v>
      </c>
      <c r="I22">
        <v>8.67</v>
      </c>
      <c r="J22">
        <f>10.447+7.41+6.879</f>
        <v>24.735999999999997</v>
      </c>
    </row>
    <row r="23" spans="1:10">
      <c r="A23" t="s">
        <v>12</v>
      </c>
      <c r="B23" t="s">
        <v>321</v>
      </c>
      <c r="C23">
        <v>28</v>
      </c>
      <c r="D23" t="s">
        <v>294</v>
      </c>
      <c r="E23">
        <v>4.9399999999999999E-2</v>
      </c>
      <c r="F23">
        <v>3</v>
      </c>
      <c r="G23">
        <v>3.8671999999999984E-2</v>
      </c>
      <c r="H23">
        <f t="shared" si="0"/>
        <v>1.0728000000000015E-2</v>
      </c>
      <c r="I23">
        <v>7.5529999999999999</v>
      </c>
      <c r="J23">
        <f>10.528+9.579</f>
        <v>20.106999999999999</v>
      </c>
    </row>
    <row r="24" spans="1:10">
      <c r="A24" t="s">
        <v>12</v>
      </c>
      <c r="B24" t="s">
        <v>324</v>
      </c>
      <c r="C24">
        <v>31</v>
      </c>
      <c r="D24" t="s">
        <v>294</v>
      </c>
      <c r="E24">
        <v>9.7799999999999998E-2</v>
      </c>
      <c r="F24">
        <v>3</v>
      </c>
      <c r="G24">
        <v>3.8671999999999984E-2</v>
      </c>
      <c r="H24">
        <f t="shared" si="0"/>
        <v>5.9128000000000014E-2</v>
      </c>
      <c r="I24">
        <v>5.5179999999999998</v>
      </c>
      <c r="J24">
        <f>10.866+8.484</f>
        <v>19.350000000000001</v>
      </c>
    </row>
    <row r="25" spans="1:10">
      <c r="A25" t="s">
        <v>12</v>
      </c>
      <c r="B25" t="s">
        <v>325</v>
      </c>
      <c r="C25">
        <v>32</v>
      </c>
      <c r="D25" t="s">
        <v>294</v>
      </c>
      <c r="E25">
        <v>0.1079</v>
      </c>
      <c r="F25">
        <v>3</v>
      </c>
      <c r="G25">
        <v>3.8671999999999984E-2</v>
      </c>
      <c r="H25">
        <f t="shared" si="0"/>
        <v>6.9228000000000012E-2</v>
      </c>
      <c r="I25">
        <v>4.0330000000000004</v>
      </c>
      <c r="J25">
        <f>7.706+7.78</f>
        <v>15.486000000000001</v>
      </c>
    </row>
    <row r="26" spans="1:10">
      <c r="A26" t="s">
        <v>12</v>
      </c>
      <c r="B26" t="s">
        <v>326</v>
      </c>
      <c r="C26">
        <v>33</v>
      </c>
      <c r="D26" t="s">
        <v>294</v>
      </c>
      <c r="E26">
        <v>5.0599999999999999E-2</v>
      </c>
      <c r="F26">
        <v>3</v>
      </c>
      <c r="G26">
        <v>3.8671999999999984E-2</v>
      </c>
      <c r="H26">
        <f t="shared" si="0"/>
        <v>1.1928000000000015E-2</v>
      </c>
      <c r="I26">
        <v>3.1549999999999998</v>
      </c>
      <c r="J26">
        <f>5.399+3.889</f>
        <v>9.2880000000000003</v>
      </c>
    </row>
    <row r="27" spans="1:10">
      <c r="A27" t="s">
        <v>12</v>
      </c>
      <c r="B27" t="s">
        <v>327</v>
      </c>
      <c r="C27">
        <v>34</v>
      </c>
      <c r="D27" t="s">
        <v>294</v>
      </c>
      <c r="E27">
        <v>0.11169999999999999</v>
      </c>
      <c r="F27">
        <v>3</v>
      </c>
      <c r="G27">
        <v>3.8671999999999984E-2</v>
      </c>
      <c r="H27">
        <f t="shared" si="0"/>
        <v>7.302800000000001E-2</v>
      </c>
      <c r="I27">
        <v>4.0819999999999999</v>
      </c>
      <c r="J27">
        <v>12.737</v>
      </c>
    </row>
    <row r="28" spans="1:10">
      <c r="A28" t="s">
        <v>12</v>
      </c>
      <c r="B28" t="s">
        <v>328</v>
      </c>
      <c r="C28">
        <v>35</v>
      </c>
      <c r="D28" t="s">
        <v>294</v>
      </c>
      <c r="E28">
        <v>0.15140000000000001</v>
      </c>
      <c r="F28">
        <v>3</v>
      </c>
      <c r="G28">
        <v>3.8671999999999984E-2</v>
      </c>
      <c r="H28">
        <f t="shared" si="0"/>
        <v>0.11272800000000002</v>
      </c>
      <c r="I28">
        <v>6.1470000000000002</v>
      </c>
      <c r="J28">
        <f>10.115+7.994</f>
        <v>18.109000000000002</v>
      </c>
    </row>
    <row r="29" spans="1:10">
      <c r="A29" t="s">
        <v>12</v>
      </c>
      <c r="B29" t="s">
        <v>329</v>
      </c>
      <c r="C29">
        <v>36</v>
      </c>
      <c r="D29" t="s">
        <v>294</v>
      </c>
      <c r="E29">
        <v>0.51659999999999995</v>
      </c>
      <c r="F29">
        <v>3</v>
      </c>
      <c r="G29">
        <v>3.8671999999999984E-2</v>
      </c>
      <c r="H29">
        <f t="shared" si="0"/>
        <v>0.47792799999999996</v>
      </c>
      <c r="I29">
        <v>5.617</v>
      </c>
      <c r="J29">
        <f>7.804+9.178</f>
        <v>16.981999999999999</v>
      </c>
    </row>
    <row r="30" spans="1:10">
      <c r="A30" t="s">
        <v>12</v>
      </c>
      <c r="B30" t="s">
        <v>330</v>
      </c>
      <c r="C30">
        <v>37</v>
      </c>
      <c r="D30" t="s">
        <v>294</v>
      </c>
      <c r="E30">
        <v>0.47</v>
      </c>
      <c r="F30">
        <v>3</v>
      </c>
      <c r="G30">
        <v>3.8671999999999984E-2</v>
      </c>
      <c r="H30">
        <f t="shared" si="0"/>
        <v>0.43132799999999999</v>
      </c>
      <c r="I30">
        <v>9.8360000000000003</v>
      </c>
      <c r="J30">
        <f>16.646+16.17</f>
        <v>32.816000000000003</v>
      </c>
    </row>
    <row r="31" spans="1:10">
      <c r="A31" t="s">
        <v>12</v>
      </c>
      <c r="B31" t="s">
        <v>331</v>
      </c>
      <c r="C31">
        <v>38</v>
      </c>
      <c r="D31" t="s">
        <v>294</v>
      </c>
      <c r="E31">
        <v>5.91E-2</v>
      </c>
      <c r="F31">
        <v>3</v>
      </c>
      <c r="G31">
        <v>3.8671999999999984E-2</v>
      </c>
      <c r="H31">
        <f t="shared" si="0"/>
        <v>2.0428000000000016E-2</v>
      </c>
      <c r="I31">
        <v>2.2709999999999999</v>
      </c>
      <c r="J31">
        <f>5.004+5.492</f>
        <v>10.495999999999999</v>
      </c>
    </row>
    <row r="32" spans="1:10">
      <c r="A32" t="s">
        <v>12</v>
      </c>
      <c r="B32" t="s">
        <v>332</v>
      </c>
      <c r="C32">
        <v>39</v>
      </c>
      <c r="D32" t="s">
        <v>294</v>
      </c>
      <c r="E32">
        <v>7.7600000000000002E-2</v>
      </c>
      <c r="F32">
        <v>3</v>
      </c>
      <c r="G32">
        <v>3.8671999999999984E-2</v>
      </c>
      <c r="H32">
        <f t="shared" si="0"/>
        <v>3.8928000000000018E-2</v>
      </c>
      <c r="I32">
        <v>5.5819999999999999</v>
      </c>
      <c r="J32">
        <f>8.399+7.797</f>
        <v>16.195999999999998</v>
      </c>
    </row>
    <row r="33" spans="1:10">
      <c r="A33" t="s">
        <v>12</v>
      </c>
      <c r="B33" t="s">
        <v>333</v>
      </c>
      <c r="C33">
        <v>40</v>
      </c>
      <c r="D33" t="s">
        <v>294</v>
      </c>
      <c r="E33">
        <v>0.10979999999999999</v>
      </c>
      <c r="F33">
        <v>3</v>
      </c>
      <c r="G33">
        <v>3.8671999999999984E-2</v>
      </c>
      <c r="H33">
        <f t="shared" si="0"/>
        <v>7.1128000000000011E-2</v>
      </c>
      <c r="I33">
        <v>5.8029999999999999</v>
      </c>
      <c r="J33">
        <f>10.848+9.422</f>
        <v>20.270000000000003</v>
      </c>
    </row>
    <row r="34" spans="1:10">
      <c r="A34" t="s">
        <v>12</v>
      </c>
      <c r="B34" t="s">
        <v>334</v>
      </c>
      <c r="C34">
        <v>41</v>
      </c>
      <c r="D34" t="s">
        <v>294</v>
      </c>
      <c r="E34">
        <v>5.2200000000000003E-2</v>
      </c>
      <c r="F34">
        <v>3</v>
      </c>
      <c r="G34">
        <v>3.8671999999999984E-2</v>
      </c>
      <c r="H34">
        <f t="shared" si="0"/>
        <v>1.3528000000000019E-2</v>
      </c>
      <c r="I34">
        <v>3.4870000000000001</v>
      </c>
      <c r="J34">
        <f>6.227+5.732</f>
        <v>11.959</v>
      </c>
    </row>
    <row r="35" spans="1:10">
      <c r="A35" t="s">
        <v>12</v>
      </c>
      <c r="B35" t="s">
        <v>335</v>
      </c>
      <c r="C35">
        <v>42</v>
      </c>
      <c r="D35" t="s">
        <v>294</v>
      </c>
      <c r="E35">
        <v>9.0499999999999997E-2</v>
      </c>
      <c r="F35">
        <v>3</v>
      </c>
      <c r="G35">
        <v>3.8671999999999984E-2</v>
      </c>
      <c r="H35">
        <f t="shared" si="0"/>
        <v>5.1828000000000013E-2</v>
      </c>
      <c r="I35">
        <v>4.9180000000000001</v>
      </c>
      <c r="J35">
        <f>8.31+6.807</f>
        <v>15.117000000000001</v>
      </c>
    </row>
    <row r="36" spans="1:10">
      <c r="A36" t="s">
        <v>12</v>
      </c>
      <c r="B36" t="s">
        <v>336</v>
      </c>
      <c r="C36">
        <v>43</v>
      </c>
      <c r="D36" t="s">
        <v>294</v>
      </c>
      <c r="E36">
        <v>4.9799999999999997E-2</v>
      </c>
      <c r="F36">
        <v>3</v>
      </c>
      <c r="G36">
        <v>3.8671999999999984E-2</v>
      </c>
      <c r="H36">
        <f t="shared" si="0"/>
        <v>1.1128000000000013E-2</v>
      </c>
      <c r="I36">
        <v>3.1709999999999998</v>
      </c>
      <c r="J36">
        <f>2.903+2.96+5.067</f>
        <v>10.93</v>
      </c>
    </row>
    <row r="37" spans="1:10">
      <c r="A37" t="s">
        <v>12</v>
      </c>
      <c r="B37" t="s">
        <v>338</v>
      </c>
      <c r="C37">
        <v>45</v>
      </c>
      <c r="D37" t="s">
        <v>294</v>
      </c>
      <c r="E37">
        <v>0.24640000000000001</v>
      </c>
      <c r="F37">
        <v>3</v>
      </c>
      <c r="G37">
        <v>3.8671999999999984E-2</v>
      </c>
      <c r="H37">
        <f t="shared" si="0"/>
        <v>0.20772800000000002</v>
      </c>
      <c r="I37">
        <v>9.5470000000000006</v>
      </c>
      <c r="J37">
        <f>13.896+12.765</f>
        <v>26.661000000000001</v>
      </c>
    </row>
    <row r="38" spans="1:10">
      <c r="A38" t="s">
        <v>12</v>
      </c>
      <c r="B38" t="s">
        <v>339</v>
      </c>
      <c r="C38">
        <v>46</v>
      </c>
      <c r="D38" t="s">
        <v>294</v>
      </c>
      <c r="E38">
        <v>0.23860000000000001</v>
      </c>
      <c r="F38">
        <v>3</v>
      </c>
      <c r="G38">
        <v>3.8671999999999984E-2</v>
      </c>
      <c r="H38">
        <f t="shared" si="0"/>
        <v>0.19992800000000002</v>
      </c>
      <c r="I38">
        <v>7.7480000000000002</v>
      </c>
      <c r="J38">
        <f>10.36+13.076</f>
        <v>23.436</v>
      </c>
    </row>
    <row r="39" spans="1:10">
      <c r="A39" t="s">
        <v>12</v>
      </c>
      <c r="B39" t="s">
        <v>323</v>
      </c>
      <c r="C39">
        <v>30</v>
      </c>
      <c r="D39" t="s">
        <v>294</v>
      </c>
      <c r="E39">
        <v>7.3000000000000001E-3</v>
      </c>
      <c r="F39" t="s">
        <v>32</v>
      </c>
      <c r="G39">
        <v>0</v>
      </c>
      <c r="H39">
        <f t="shared" si="0"/>
        <v>7.3000000000000001E-3</v>
      </c>
      <c r="I39">
        <v>5.5789999999999997</v>
      </c>
      <c r="J39">
        <f>10.412+9.699</f>
        <v>20.111000000000001</v>
      </c>
    </row>
    <row r="40" spans="1:10">
      <c r="A40" t="s">
        <v>12</v>
      </c>
      <c r="B40" t="s">
        <v>320</v>
      </c>
      <c r="C40">
        <v>27</v>
      </c>
      <c r="D40" t="s">
        <v>294</v>
      </c>
      <c r="E40">
        <v>5.0000000000000001E-3</v>
      </c>
      <c r="F40" t="s">
        <v>32</v>
      </c>
      <c r="G40">
        <v>0</v>
      </c>
      <c r="H40">
        <f t="shared" si="0"/>
        <v>5.0000000000000001E-3</v>
      </c>
      <c r="I40">
        <v>3.54</v>
      </c>
      <c r="J40">
        <f>4.875+4.963</f>
        <v>9.838000000000001</v>
      </c>
    </row>
  </sheetData>
  <conditionalFormatting sqref="C1:C40">
    <cfRule type="duplicateValues" dxfId="99" priority="11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99"/>
  <sheetViews>
    <sheetView tabSelected="1" topLeftCell="A76" workbookViewId="0">
      <selection activeCell="A99" sqref="A99:XFD99"/>
    </sheetView>
  </sheetViews>
  <sheetFormatPr baseColWidth="10" defaultColWidth="10.6640625" defaultRowHeight="15"/>
  <cols>
    <col min="1" max="1" width="15.6640625" bestFit="1" customWidth="1"/>
  </cols>
  <sheetData>
    <row r="1" spans="1:23">
      <c r="A1" t="s">
        <v>964</v>
      </c>
    </row>
    <row r="2" spans="1:23" s="11" customFormat="1" ht="19">
      <c r="A2" s="25" t="s">
        <v>1102</v>
      </c>
      <c r="B2" s="25" t="s">
        <v>2115</v>
      </c>
      <c r="C2" s="25" t="s">
        <v>2226</v>
      </c>
      <c r="D2" s="27">
        <v>42921</v>
      </c>
      <c r="E2" s="25">
        <v>9.7558279999999993</v>
      </c>
      <c r="F2" s="25">
        <v>49.725133</v>
      </c>
      <c r="G2" s="25"/>
      <c r="H2" s="25"/>
      <c r="I2" s="25"/>
      <c r="J2" s="51">
        <v>232</v>
      </c>
      <c r="K2" s="25">
        <v>1.772</v>
      </c>
      <c r="L2" s="29">
        <v>1.8E-3</v>
      </c>
      <c r="M2" s="48"/>
      <c r="N2" s="55">
        <f>L2</f>
        <v>1.8E-3</v>
      </c>
      <c r="O2" s="25"/>
      <c r="P2" s="25"/>
      <c r="Q2" s="25"/>
      <c r="R2" s="25" t="s">
        <v>36</v>
      </c>
      <c r="S2" s="25"/>
      <c r="T2" s="25" t="s">
        <v>890</v>
      </c>
      <c r="U2" s="25" t="s">
        <v>889</v>
      </c>
      <c r="V2" s="27">
        <v>42972</v>
      </c>
      <c r="W2" s="25">
        <f>V2-D2</f>
        <v>51</v>
      </c>
    </row>
    <row r="3" spans="1:23" s="11" customFormat="1">
      <c r="A3" s="25" t="s">
        <v>965</v>
      </c>
      <c r="B3" s="25" t="s">
        <v>2115</v>
      </c>
      <c r="C3" s="25"/>
      <c r="D3" s="25"/>
      <c r="E3" s="25"/>
      <c r="F3" s="25"/>
      <c r="G3" s="25"/>
      <c r="H3" s="25"/>
      <c r="I3" s="25" t="s">
        <v>907</v>
      </c>
      <c r="J3" s="11">
        <v>367</v>
      </c>
      <c r="K3" s="26" t="s">
        <v>917</v>
      </c>
      <c r="L3" s="30">
        <v>6.2E-2</v>
      </c>
      <c r="M3" s="29">
        <v>3.6903999999999992E-2</v>
      </c>
      <c r="N3" s="48">
        <f t="shared" ref="N3:N10" si="0">L3-M3</f>
        <v>2.5096000000000007E-2</v>
      </c>
      <c r="O3" s="25" t="s">
        <v>36</v>
      </c>
      <c r="P3" s="25" t="s">
        <v>36</v>
      </c>
      <c r="Q3" s="25" t="s">
        <v>36</v>
      </c>
      <c r="R3" s="25" t="s">
        <v>967</v>
      </c>
      <c r="S3" s="25"/>
      <c r="T3" s="25" t="s">
        <v>887</v>
      </c>
      <c r="U3" s="25" t="s">
        <v>886</v>
      </c>
      <c r="V3" s="25" t="s">
        <v>36</v>
      </c>
      <c r="W3" s="25" t="s">
        <v>36</v>
      </c>
    </row>
    <row r="4" spans="1:23" s="11" customFormat="1" ht="16">
      <c r="A4" s="25" t="s">
        <v>905</v>
      </c>
      <c r="B4" s="22" t="s">
        <v>2115</v>
      </c>
      <c r="C4" s="53" t="s">
        <v>2233</v>
      </c>
      <c r="D4" s="27">
        <v>42902</v>
      </c>
      <c r="E4">
        <v>10.086428</v>
      </c>
      <c r="F4">
        <v>49.909314000000002</v>
      </c>
      <c r="G4" s="25"/>
      <c r="H4" s="25"/>
      <c r="I4" s="25" t="s">
        <v>892</v>
      </c>
      <c r="J4">
        <v>423</v>
      </c>
      <c r="K4" s="25" t="s">
        <v>917</v>
      </c>
      <c r="L4" s="29">
        <v>4.2900000000000001E-2</v>
      </c>
      <c r="M4" s="24">
        <v>3.6903999999999992E-2</v>
      </c>
      <c r="N4" s="21">
        <f t="shared" si="0"/>
        <v>5.9960000000000083E-3</v>
      </c>
      <c r="O4" s="11" t="s">
        <v>36</v>
      </c>
      <c r="P4" s="11" t="s">
        <v>36</v>
      </c>
      <c r="Q4" s="11" t="s">
        <v>36</v>
      </c>
      <c r="R4" s="25"/>
      <c r="S4" s="25"/>
      <c r="T4" s="25" t="s">
        <v>887</v>
      </c>
      <c r="U4" s="25" t="s">
        <v>886</v>
      </c>
      <c r="V4" s="25" t="s">
        <v>36</v>
      </c>
      <c r="W4" s="25" t="s">
        <v>36</v>
      </c>
    </row>
    <row r="5" spans="1:23" s="25" customFormat="1">
      <c r="A5" s="25" t="s">
        <v>899</v>
      </c>
      <c r="B5" s="22" t="s">
        <v>2115</v>
      </c>
      <c r="C5" t="s">
        <v>2236</v>
      </c>
      <c r="D5" s="23">
        <v>42902</v>
      </c>
      <c r="E5">
        <v>10.022767</v>
      </c>
      <c r="F5">
        <v>49.938633000000003</v>
      </c>
      <c r="I5" s="25" t="s">
        <v>892</v>
      </c>
      <c r="J5">
        <v>429</v>
      </c>
      <c r="K5" s="25" t="s">
        <v>917</v>
      </c>
      <c r="L5" s="29">
        <v>3.9300000000000002E-2</v>
      </c>
      <c r="M5" s="24">
        <v>3.6903999999999992E-2</v>
      </c>
      <c r="N5" s="21">
        <f t="shared" si="0"/>
        <v>2.3960000000000092E-3</v>
      </c>
      <c r="O5" s="11" t="s">
        <v>36</v>
      </c>
      <c r="P5" s="11" t="s">
        <v>36</v>
      </c>
      <c r="Q5" s="11" t="s">
        <v>36</v>
      </c>
      <c r="T5" s="25" t="s">
        <v>887</v>
      </c>
      <c r="U5" s="25" t="s">
        <v>886</v>
      </c>
      <c r="V5" s="25" t="s">
        <v>36</v>
      </c>
      <c r="W5" s="25" t="s">
        <v>36</v>
      </c>
    </row>
    <row r="6" spans="1:23" s="11" customFormat="1" ht="16">
      <c r="A6" s="25" t="s">
        <v>897</v>
      </c>
      <c r="B6" s="22" t="s">
        <v>2115</v>
      </c>
      <c r="C6" s="56" t="s">
        <v>2233</v>
      </c>
      <c r="D6" s="27">
        <v>42902</v>
      </c>
      <c r="E6">
        <v>10.086428</v>
      </c>
      <c r="F6">
        <v>49.909314000000002</v>
      </c>
      <c r="G6" s="25"/>
      <c r="H6" s="25"/>
      <c r="I6" s="25" t="s">
        <v>892</v>
      </c>
      <c r="J6">
        <v>431</v>
      </c>
      <c r="K6" s="25" t="s">
        <v>917</v>
      </c>
      <c r="L6" s="29">
        <v>4.1099999999999998E-2</v>
      </c>
      <c r="M6" s="24">
        <v>3.6903999999999992E-2</v>
      </c>
      <c r="N6" s="21">
        <f t="shared" si="0"/>
        <v>4.1960000000000053E-3</v>
      </c>
      <c r="O6" s="11" t="s">
        <v>36</v>
      </c>
      <c r="P6" s="11" t="s">
        <v>36</v>
      </c>
      <c r="Q6" s="11" t="s">
        <v>36</v>
      </c>
      <c r="R6" s="25" t="s">
        <v>2245</v>
      </c>
      <c r="S6" s="25"/>
      <c r="T6" s="25" t="s">
        <v>887</v>
      </c>
      <c r="U6" s="25" t="s">
        <v>886</v>
      </c>
      <c r="V6" s="25" t="s">
        <v>36</v>
      </c>
      <c r="W6" s="25" t="s">
        <v>36</v>
      </c>
    </row>
    <row r="7" spans="1:23" s="11" customFormat="1" ht="16">
      <c r="A7" s="25" t="s">
        <v>1435</v>
      </c>
      <c r="B7" s="25" t="s">
        <v>2115</v>
      </c>
      <c r="C7" s="54" t="s">
        <v>2244</v>
      </c>
      <c r="D7" s="27">
        <v>42888</v>
      </c>
      <c r="E7">
        <v>10.017931000000001</v>
      </c>
      <c r="F7">
        <v>49.935696999999998</v>
      </c>
      <c r="G7" s="25"/>
      <c r="H7" s="25"/>
      <c r="I7" s="25" t="s">
        <v>885</v>
      </c>
      <c r="J7">
        <v>526</v>
      </c>
      <c r="K7" s="25" t="s">
        <v>917</v>
      </c>
      <c r="L7" s="29">
        <v>8.1199999999999994E-2</v>
      </c>
      <c r="M7" s="29">
        <v>3.6903999999999992E-2</v>
      </c>
      <c r="N7" s="48">
        <f t="shared" si="0"/>
        <v>4.4296000000000002E-2</v>
      </c>
      <c r="O7" s="25" t="s">
        <v>36</v>
      </c>
      <c r="P7" s="25" t="s">
        <v>36</v>
      </c>
      <c r="Q7" s="25" t="s">
        <v>36</v>
      </c>
      <c r="R7" s="25"/>
      <c r="S7" s="25"/>
      <c r="T7" s="25"/>
      <c r="U7" s="25" t="s">
        <v>886</v>
      </c>
      <c r="V7" s="25" t="s">
        <v>36</v>
      </c>
      <c r="W7" s="25" t="s">
        <v>36</v>
      </c>
    </row>
    <row r="8" spans="1:23" s="11" customFormat="1">
      <c r="A8" s="25" t="s">
        <v>1376</v>
      </c>
      <c r="B8" s="25" t="s">
        <v>2115</v>
      </c>
      <c r="C8" s="43" t="s">
        <v>2234</v>
      </c>
      <c r="D8" s="27">
        <v>42872</v>
      </c>
      <c r="E8">
        <v>10.053630999999999</v>
      </c>
      <c r="F8">
        <v>49.900486000000001</v>
      </c>
      <c r="G8" s="25"/>
      <c r="H8" s="25"/>
      <c r="I8" s="25" t="s">
        <v>885</v>
      </c>
      <c r="J8">
        <v>585</v>
      </c>
      <c r="K8" s="25" t="s">
        <v>946</v>
      </c>
      <c r="L8" s="29">
        <v>4.1099999999999998E-2</v>
      </c>
      <c r="M8" s="29">
        <v>3.6903999999999992E-2</v>
      </c>
      <c r="N8" s="48">
        <f t="shared" si="0"/>
        <v>4.1960000000000053E-3</v>
      </c>
      <c r="O8" s="25" t="s">
        <v>36</v>
      </c>
      <c r="P8" s="25" t="s">
        <v>36</v>
      </c>
      <c r="Q8" s="25" t="s">
        <v>36</v>
      </c>
      <c r="R8" s="25"/>
      <c r="S8" s="25"/>
      <c r="T8" s="25"/>
      <c r="U8" s="25" t="s">
        <v>886</v>
      </c>
      <c r="V8" s="25" t="s">
        <v>36</v>
      </c>
      <c r="W8" s="25" t="s">
        <v>36</v>
      </c>
    </row>
    <row r="9" spans="1:23" s="11" customFormat="1">
      <c r="A9" s="25" t="s">
        <v>1588</v>
      </c>
      <c r="B9" s="25" t="s">
        <v>2115</v>
      </c>
      <c r="C9" s="25"/>
      <c r="D9" s="25"/>
      <c r="E9" s="25"/>
      <c r="F9" s="25"/>
      <c r="G9" s="25"/>
      <c r="H9" s="25"/>
      <c r="I9" s="25" t="s">
        <v>1542</v>
      </c>
      <c r="J9">
        <v>616</v>
      </c>
      <c r="K9" s="25" t="s">
        <v>917</v>
      </c>
      <c r="L9" s="29">
        <v>3.9E-2</v>
      </c>
      <c r="M9" s="29">
        <v>3.6903999999999992E-2</v>
      </c>
      <c r="N9" s="48">
        <f t="shared" si="0"/>
        <v>2.0960000000000076E-3</v>
      </c>
      <c r="O9" s="25" t="s">
        <v>36</v>
      </c>
      <c r="P9" s="25" t="s">
        <v>36</v>
      </c>
      <c r="Q9" s="25" t="s">
        <v>36</v>
      </c>
      <c r="R9" s="25"/>
      <c r="S9" s="25"/>
      <c r="T9" s="25"/>
      <c r="U9" s="25" t="s">
        <v>886</v>
      </c>
      <c r="V9" s="25" t="s">
        <v>36</v>
      </c>
      <c r="W9" s="25" t="s">
        <v>36</v>
      </c>
    </row>
    <row r="10" spans="1:23" s="11" customFormat="1">
      <c r="A10" s="25" t="s">
        <v>1592</v>
      </c>
      <c r="B10" s="25" t="s">
        <v>2115</v>
      </c>
      <c r="C10" s="25"/>
      <c r="D10" s="25"/>
      <c r="E10" s="25"/>
      <c r="F10" s="25"/>
      <c r="G10" s="25"/>
      <c r="H10" s="25"/>
      <c r="I10" s="25" t="s">
        <v>1542</v>
      </c>
      <c r="J10">
        <v>629</v>
      </c>
      <c r="K10" s="25" t="s">
        <v>917</v>
      </c>
      <c r="L10" s="29">
        <v>0.04</v>
      </c>
      <c r="M10" s="29">
        <v>3.6903999999999992E-2</v>
      </c>
      <c r="N10" s="48">
        <f t="shared" si="0"/>
        <v>3.0960000000000085E-3</v>
      </c>
      <c r="O10" s="29">
        <v>1.6719999999999999</v>
      </c>
      <c r="P10" s="29">
        <v>9.4939999999999998</v>
      </c>
      <c r="Q10" s="25">
        <f>O10*P10</f>
        <v>15.873968</v>
      </c>
      <c r="R10" s="25"/>
      <c r="S10" s="25"/>
      <c r="T10" s="25"/>
      <c r="U10" s="25" t="s">
        <v>886</v>
      </c>
      <c r="V10" s="25" t="s">
        <v>36</v>
      </c>
      <c r="W10" s="25" t="s">
        <v>36</v>
      </c>
    </row>
    <row r="11" spans="1:23" s="11" customFormat="1">
      <c r="A11" s="25" t="s">
        <v>1600</v>
      </c>
      <c r="B11" s="25" t="s">
        <v>2115</v>
      </c>
      <c r="C11" s="25"/>
      <c r="D11" s="25"/>
      <c r="E11" s="25"/>
      <c r="F11" s="25"/>
      <c r="G11" s="25"/>
      <c r="H11" s="25"/>
      <c r="I11" s="25" t="s">
        <v>1542</v>
      </c>
      <c r="J11">
        <v>638</v>
      </c>
      <c r="K11" s="25" t="s">
        <v>917</v>
      </c>
      <c r="L11" s="29">
        <v>3.8300000000000001E-2</v>
      </c>
      <c r="M11" s="29">
        <v>3.6903999999999992E-2</v>
      </c>
      <c r="N11" s="48"/>
      <c r="O11" s="25" t="s">
        <v>36</v>
      </c>
      <c r="P11" s="25" t="s">
        <v>36</v>
      </c>
      <c r="Q11" s="25" t="s">
        <v>36</v>
      </c>
      <c r="R11" s="25"/>
      <c r="S11" s="25"/>
      <c r="T11" s="25"/>
      <c r="U11" s="25" t="s">
        <v>886</v>
      </c>
      <c r="V11" s="25" t="s">
        <v>36</v>
      </c>
      <c r="W11" s="25" t="s">
        <v>36</v>
      </c>
    </row>
    <row r="12" spans="1:23" s="11" customFormat="1">
      <c r="A12" s="25" t="s">
        <v>1609</v>
      </c>
      <c r="B12" s="25" t="s">
        <v>2115</v>
      </c>
      <c r="C12" s="25"/>
      <c r="D12" s="25"/>
      <c r="E12" s="25"/>
      <c r="F12" s="25"/>
      <c r="G12" s="25"/>
      <c r="H12" s="25"/>
      <c r="I12" s="25" t="s">
        <v>1542</v>
      </c>
      <c r="J12">
        <v>658</v>
      </c>
      <c r="K12" s="25" t="s">
        <v>917</v>
      </c>
      <c r="L12" s="29">
        <v>4.4999999999999998E-2</v>
      </c>
      <c r="M12" s="29"/>
      <c r="N12" s="48"/>
      <c r="O12" s="25" t="s">
        <v>36</v>
      </c>
      <c r="P12" s="25" t="s">
        <v>36</v>
      </c>
      <c r="Q12" s="25" t="s">
        <v>36</v>
      </c>
      <c r="R12" s="25"/>
      <c r="S12" s="25"/>
      <c r="T12" s="25"/>
      <c r="U12" s="25" t="s">
        <v>886</v>
      </c>
      <c r="V12" s="25" t="s">
        <v>36</v>
      </c>
      <c r="W12" s="25" t="s">
        <v>36</v>
      </c>
    </row>
    <row r="13" spans="1:23" s="11" customFormat="1">
      <c r="A13" s="25" t="s">
        <v>1613</v>
      </c>
      <c r="B13" s="25" t="s">
        <v>2115</v>
      </c>
      <c r="C13" s="25"/>
      <c r="D13" s="25"/>
      <c r="E13" s="25"/>
      <c r="F13" s="25"/>
      <c r="G13" s="25"/>
      <c r="H13" s="25"/>
      <c r="I13" s="25" t="s">
        <v>1542</v>
      </c>
      <c r="J13" s="25">
        <v>662</v>
      </c>
      <c r="K13" s="25" t="s">
        <v>917</v>
      </c>
      <c r="L13" s="25"/>
      <c r="M13" s="29"/>
      <c r="N13" s="48"/>
      <c r="O13" s="25" t="s">
        <v>36</v>
      </c>
      <c r="P13" s="25" t="s">
        <v>36</v>
      </c>
      <c r="Q13" s="25" t="s">
        <v>36</v>
      </c>
      <c r="R13" s="25"/>
      <c r="S13" s="25"/>
      <c r="T13" s="25"/>
      <c r="U13" s="25" t="s">
        <v>886</v>
      </c>
      <c r="V13" s="25" t="s">
        <v>36</v>
      </c>
      <c r="W13" s="25" t="s">
        <v>36</v>
      </c>
    </row>
    <row r="14" spans="1:23" s="11" customFormat="1">
      <c r="A14" s="25" t="s">
        <v>1634</v>
      </c>
      <c r="B14" s="25" t="s">
        <v>2115</v>
      </c>
      <c r="C14" s="25"/>
      <c r="D14" s="25"/>
      <c r="E14" s="25"/>
      <c r="F14" s="25"/>
      <c r="G14" s="25"/>
      <c r="H14" s="25"/>
      <c r="I14" s="25" t="s">
        <v>1542</v>
      </c>
      <c r="J14" s="25">
        <v>729</v>
      </c>
      <c r="K14" s="25" t="s">
        <v>917</v>
      </c>
      <c r="L14" s="29">
        <v>4.1200000000000001E-2</v>
      </c>
      <c r="M14" s="29">
        <v>3.6903999999999992E-2</v>
      </c>
      <c r="N14" s="48">
        <f>L14-M14</f>
        <v>4.2960000000000081E-3</v>
      </c>
      <c r="O14" s="25" t="s">
        <v>36</v>
      </c>
      <c r="P14" s="25" t="s">
        <v>36</v>
      </c>
      <c r="Q14" s="25" t="s">
        <v>36</v>
      </c>
      <c r="R14" s="25"/>
      <c r="S14" s="25"/>
      <c r="T14" s="25"/>
      <c r="U14" s="25" t="s">
        <v>886</v>
      </c>
      <c r="V14" s="25" t="s">
        <v>36</v>
      </c>
      <c r="W14" s="25" t="s">
        <v>36</v>
      </c>
    </row>
    <row r="15" spans="1:23" s="11" customFormat="1">
      <c r="A15" s="25" t="s">
        <v>1650</v>
      </c>
      <c r="B15" s="25" t="s">
        <v>2115</v>
      </c>
      <c r="C15" s="25"/>
      <c r="D15" s="25"/>
      <c r="E15" s="25"/>
      <c r="F15" s="25"/>
      <c r="G15" s="25"/>
      <c r="H15" s="25"/>
      <c r="I15" s="25" t="s">
        <v>1542</v>
      </c>
      <c r="J15" s="25">
        <v>759</v>
      </c>
      <c r="K15" s="25" t="s">
        <v>917</v>
      </c>
      <c r="L15" s="29">
        <v>3.9100000000000003E-2</v>
      </c>
      <c r="M15" s="29">
        <v>3.6903999999999992E-2</v>
      </c>
      <c r="N15" s="48">
        <f>L15-M15</f>
        <v>2.1960000000000104E-3</v>
      </c>
      <c r="O15" s="25" t="s">
        <v>36</v>
      </c>
      <c r="P15" s="25" t="s">
        <v>36</v>
      </c>
      <c r="Q15" s="25" t="s">
        <v>36</v>
      </c>
      <c r="R15" s="25"/>
      <c r="S15" s="25"/>
      <c r="T15" s="25"/>
      <c r="U15" s="25" t="s">
        <v>886</v>
      </c>
      <c r="V15" s="25" t="s">
        <v>36</v>
      </c>
      <c r="W15" s="25" t="s">
        <v>36</v>
      </c>
    </row>
    <row r="16" spans="1:23" s="11" customFormat="1" ht="19">
      <c r="A16" s="25" t="s">
        <v>1180</v>
      </c>
      <c r="B16" s="25" t="s">
        <v>2115</v>
      </c>
      <c r="C16" s="22" t="s">
        <v>2226</v>
      </c>
      <c r="D16" s="27">
        <v>42921</v>
      </c>
      <c r="E16" s="22">
        <v>9.7558279999999993</v>
      </c>
      <c r="F16" s="22">
        <v>49.725133</v>
      </c>
      <c r="G16" s="25"/>
      <c r="H16" s="25"/>
      <c r="I16" s="25"/>
      <c r="J16" s="51"/>
      <c r="K16" s="25"/>
      <c r="L16" s="25"/>
      <c r="M16" s="25"/>
      <c r="N16" s="47">
        <f>L16</f>
        <v>0</v>
      </c>
      <c r="O16" s="48"/>
      <c r="P16" s="48"/>
      <c r="Q16" s="11">
        <f>O16*P16</f>
        <v>0</v>
      </c>
      <c r="R16" s="25"/>
      <c r="S16" s="25"/>
      <c r="T16" s="25" t="s">
        <v>890</v>
      </c>
      <c r="U16" s="25" t="s">
        <v>889</v>
      </c>
      <c r="V16" s="27">
        <v>42972</v>
      </c>
      <c r="W16" s="25">
        <f>V16-D16</f>
        <v>51</v>
      </c>
    </row>
    <row r="17" spans="1:24" s="11" customFormat="1" ht="19">
      <c r="A17" s="25" t="s">
        <v>1127</v>
      </c>
      <c r="B17" s="25" t="s">
        <v>2115</v>
      </c>
      <c r="C17" s="25" t="s">
        <v>2226</v>
      </c>
      <c r="D17" s="25" t="s">
        <v>36</v>
      </c>
      <c r="E17" s="25">
        <v>9.7558279999999993</v>
      </c>
      <c r="F17" s="25">
        <v>49.725133</v>
      </c>
      <c r="G17" s="25"/>
      <c r="H17" s="25"/>
      <c r="I17" s="25"/>
      <c r="J17" s="51"/>
      <c r="K17" s="25"/>
      <c r="L17" s="25"/>
      <c r="M17" s="48"/>
      <c r="N17" s="55">
        <f>L17</f>
        <v>0</v>
      </c>
      <c r="O17" s="25"/>
      <c r="P17" s="25"/>
      <c r="Q17" s="25">
        <f>O17*P17</f>
        <v>0</v>
      </c>
      <c r="R17" s="25"/>
      <c r="S17" s="25"/>
      <c r="T17" s="25" t="s">
        <v>36</v>
      </c>
      <c r="U17" s="25" t="s">
        <v>36</v>
      </c>
      <c r="V17" s="25" t="s">
        <v>36</v>
      </c>
      <c r="W17" s="25" t="s">
        <v>36</v>
      </c>
    </row>
    <row r="18" spans="1:24" s="11" customFormat="1" ht="19">
      <c r="A18" s="25" t="s">
        <v>1124</v>
      </c>
      <c r="B18" s="25" t="s">
        <v>2115</v>
      </c>
      <c r="C18" s="25" t="s">
        <v>2226</v>
      </c>
      <c r="D18" s="25" t="s">
        <v>36</v>
      </c>
      <c r="E18" s="25">
        <v>9.7558279999999993</v>
      </c>
      <c r="F18" s="25">
        <v>49.725133</v>
      </c>
      <c r="G18" s="25"/>
      <c r="H18" s="25"/>
      <c r="I18" s="25"/>
      <c r="J18" s="51"/>
      <c r="K18" s="25"/>
      <c r="L18" s="25"/>
      <c r="M18" s="48"/>
      <c r="N18" s="55">
        <f>L18</f>
        <v>0</v>
      </c>
      <c r="O18" s="25"/>
      <c r="P18" s="25"/>
      <c r="Q18" s="25">
        <f>O18*P18</f>
        <v>0</v>
      </c>
      <c r="R18" s="25"/>
      <c r="S18" s="25"/>
      <c r="T18" s="25" t="s">
        <v>36</v>
      </c>
      <c r="U18" s="25" t="s">
        <v>36</v>
      </c>
      <c r="V18" s="25" t="s">
        <v>36</v>
      </c>
      <c r="W18" s="25" t="s">
        <v>36</v>
      </c>
    </row>
    <row r="19" spans="1:24" s="25" customFormat="1" ht="19">
      <c r="A19" s="25" t="s">
        <v>1221</v>
      </c>
      <c r="B19" s="25" t="s">
        <v>2115</v>
      </c>
      <c r="C19" s="62" t="s">
        <v>2226</v>
      </c>
      <c r="D19" s="27">
        <v>42921</v>
      </c>
      <c r="E19" s="25">
        <v>9.7558279999999993</v>
      </c>
      <c r="F19" s="25">
        <v>49.725133</v>
      </c>
      <c r="J19" s="51">
        <v>109</v>
      </c>
      <c r="L19" s="29">
        <v>3.95E-2</v>
      </c>
      <c r="M19">
        <v>3.8671999999999984E-2</v>
      </c>
      <c r="N19" s="63">
        <f>L19-M19</f>
        <v>8.2800000000001622E-4</v>
      </c>
      <c r="O19" s="25" t="s">
        <v>36</v>
      </c>
      <c r="P19" s="25" t="s">
        <v>36</v>
      </c>
      <c r="Q19" s="25" t="s">
        <v>36</v>
      </c>
      <c r="T19" s="25" t="s">
        <v>887</v>
      </c>
      <c r="U19" s="25" t="s">
        <v>889</v>
      </c>
      <c r="V19" s="27">
        <v>42972</v>
      </c>
      <c r="W19" s="25">
        <f>V19-D19</f>
        <v>51</v>
      </c>
    </row>
    <row r="20" spans="1:24" s="25" customFormat="1" ht="19">
      <c r="A20" s="25" t="s">
        <v>1215</v>
      </c>
      <c r="B20" s="25" t="s">
        <v>2115</v>
      </c>
      <c r="C20" s="62" t="s">
        <v>2226</v>
      </c>
      <c r="D20" s="27">
        <v>42921</v>
      </c>
      <c r="E20" s="25">
        <v>9.7558279999999993</v>
      </c>
      <c r="F20" s="25">
        <v>49.725133</v>
      </c>
      <c r="J20" s="51">
        <v>115</v>
      </c>
      <c r="L20" s="29">
        <v>4.1300000000000003E-2</v>
      </c>
      <c r="M20">
        <v>3.8671999999999984E-2</v>
      </c>
      <c r="N20" s="63">
        <f>L20-M20</f>
        <v>2.6280000000000192E-3</v>
      </c>
      <c r="O20" s="25" t="s">
        <v>36</v>
      </c>
      <c r="P20" s="25" t="s">
        <v>36</v>
      </c>
      <c r="Q20" s="25" t="s">
        <v>36</v>
      </c>
      <c r="T20" s="25" t="s">
        <v>887</v>
      </c>
      <c r="U20" s="25" t="s">
        <v>889</v>
      </c>
      <c r="V20" s="27">
        <v>42972</v>
      </c>
      <c r="W20" s="25">
        <f>V20-D20</f>
        <v>51</v>
      </c>
    </row>
    <row r="21" spans="1:24" s="25" customFormat="1" ht="19">
      <c r="A21" s="25" t="s">
        <v>1246</v>
      </c>
      <c r="B21" s="25" t="s">
        <v>2115</v>
      </c>
      <c r="C21" s="62" t="s">
        <v>2226</v>
      </c>
      <c r="D21" s="27">
        <v>42921</v>
      </c>
      <c r="E21" s="25">
        <v>9.7558279999999993</v>
      </c>
      <c r="F21" s="25">
        <v>49.725133</v>
      </c>
      <c r="J21" s="51">
        <v>83</v>
      </c>
      <c r="L21" s="29">
        <v>4.0500000000000001E-2</v>
      </c>
      <c r="M21">
        <v>3.8671999999999984E-2</v>
      </c>
      <c r="N21" s="63">
        <f>L21-M21</f>
        <v>1.8280000000000171E-3</v>
      </c>
      <c r="O21" s="25" t="s">
        <v>36</v>
      </c>
      <c r="P21" s="25" t="s">
        <v>36</v>
      </c>
      <c r="Q21" s="25" t="s">
        <v>36</v>
      </c>
      <c r="T21" s="25" t="s">
        <v>887</v>
      </c>
      <c r="U21" s="25" t="s">
        <v>889</v>
      </c>
      <c r="V21" s="27">
        <v>42972</v>
      </c>
      <c r="W21" s="25">
        <f>V21-D21</f>
        <v>51</v>
      </c>
    </row>
    <row r="22" spans="1:24" s="25" customFormat="1" ht="19">
      <c r="A22" s="25" t="s">
        <v>1255</v>
      </c>
      <c r="B22" s="25" t="s">
        <v>2115</v>
      </c>
      <c r="C22" s="62" t="s">
        <v>2226</v>
      </c>
      <c r="D22" s="27">
        <v>42921</v>
      </c>
      <c r="E22" s="25">
        <v>9.7558279999999993</v>
      </c>
      <c r="F22" s="25">
        <v>49.725133</v>
      </c>
      <c r="J22" s="51">
        <v>74</v>
      </c>
      <c r="L22" s="29">
        <v>4.0800000000000003E-2</v>
      </c>
      <c r="M22" s="43">
        <v>3.8671999999999984E-2</v>
      </c>
      <c r="N22" s="63">
        <f>L22-M22</f>
        <v>2.1280000000000188E-3</v>
      </c>
      <c r="O22" s="25" t="s">
        <v>36</v>
      </c>
      <c r="P22" s="25" t="s">
        <v>36</v>
      </c>
      <c r="Q22" s="25" t="s">
        <v>36</v>
      </c>
      <c r="T22" s="25" t="s">
        <v>887</v>
      </c>
      <c r="U22" s="25" t="s">
        <v>889</v>
      </c>
      <c r="V22" s="27">
        <v>42972</v>
      </c>
      <c r="W22" s="25">
        <f>V22-D22</f>
        <v>51</v>
      </c>
    </row>
    <row r="23" spans="1:24" ht="16">
      <c r="A23" t="s">
        <v>72</v>
      </c>
      <c r="B23" t="s">
        <v>1744</v>
      </c>
      <c r="C23" t="s">
        <v>15</v>
      </c>
      <c r="E23" s="8">
        <v>-29.943010999999998</v>
      </c>
      <c r="F23" s="7">
        <v>153.12657400000001</v>
      </c>
      <c r="G23" s="7">
        <v>0</v>
      </c>
      <c r="H23" s="1">
        <v>42871</v>
      </c>
      <c r="I23" t="s">
        <v>68</v>
      </c>
      <c r="J23" t="s">
        <v>2367</v>
      </c>
      <c r="Q23" t="s">
        <v>13</v>
      </c>
      <c r="R23" t="s">
        <v>32</v>
      </c>
      <c r="S23">
        <v>8.0000000000000004E-4</v>
      </c>
      <c r="T23">
        <v>0</v>
      </c>
      <c r="U23" s="41">
        <f>S23-T23</f>
        <v>8.0000000000000004E-4</v>
      </c>
      <c r="X23" t="s">
        <v>2110</v>
      </c>
    </row>
    <row r="24" spans="1:24" s="2" customFormat="1" ht="16">
      <c r="A24" s="2" t="s">
        <v>76</v>
      </c>
      <c r="B24" t="s">
        <v>1744</v>
      </c>
      <c r="C24" s="2" t="s">
        <v>48</v>
      </c>
      <c r="E24" s="8">
        <v>-30.011327999999999</v>
      </c>
      <c r="F24" s="7">
        <v>153.150711</v>
      </c>
      <c r="G24" s="7">
        <v>0</v>
      </c>
      <c r="H24" s="3">
        <v>42871</v>
      </c>
      <c r="J24" s="2" t="s">
        <v>77</v>
      </c>
      <c r="Q24" s="2" t="s">
        <v>36</v>
      </c>
      <c r="R24" s="2" t="s">
        <v>36</v>
      </c>
      <c r="T24" s="41" t="s">
        <v>36</v>
      </c>
      <c r="U24" s="2" t="s">
        <v>36</v>
      </c>
      <c r="V24" s="2" t="s">
        <v>36</v>
      </c>
    </row>
    <row r="25" spans="1:24" s="2" customFormat="1" ht="16">
      <c r="A25" s="2" t="s">
        <v>86</v>
      </c>
      <c r="B25" t="s">
        <v>1744</v>
      </c>
      <c r="C25" s="2" t="s">
        <v>15</v>
      </c>
      <c r="E25" s="8">
        <v>-29.943010999999998</v>
      </c>
      <c r="F25" s="7">
        <v>153.12657400000001</v>
      </c>
      <c r="G25" s="7">
        <v>0</v>
      </c>
      <c r="H25" s="3">
        <v>42871</v>
      </c>
      <c r="I25" s="2" t="s">
        <v>68</v>
      </c>
      <c r="J25" s="2" t="s">
        <v>87</v>
      </c>
      <c r="Q25" s="2" t="s">
        <v>36</v>
      </c>
      <c r="R25" s="2" t="s">
        <v>36</v>
      </c>
      <c r="T25" s="41" t="e">
        <f t="shared" ref="T25:T32" si="1">R25-S25</f>
        <v>#VALUE!</v>
      </c>
      <c r="U25" s="2" t="s">
        <v>36</v>
      </c>
      <c r="V25" s="2" t="s">
        <v>36</v>
      </c>
    </row>
    <row r="26" spans="1:24" s="2" customFormat="1" ht="16">
      <c r="A26" s="2" t="s">
        <v>35</v>
      </c>
      <c r="B26" t="s">
        <v>1744</v>
      </c>
      <c r="C26" s="2" t="s">
        <v>34</v>
      </c>
      <c r="E26" s="8">
        <v>-29.988371999999998</v>
      </c>
      <c r="F26" s="7">
        <v>153.140602</v>
      </c>
      <c r="G26" s="7">
        <v>0</v>
      </c>
      <c r="H26" s="3">
        <v>42866</v>
      </c>
      <c r="Q26" s="2" t="s">
        <v>20</v>
      </c>
      <c r="R26" s="2">
        <v>6.8099999999999994E-2</v>
      </c>
      <c r="S26">
        <v>6.7166000000000003E-2</v>
      </c>
      <c r="T26" s="41">
        <f t="shared" si="1"/>
        <v>9.3399999999999039E-4</v>
      </c>
      <c r="U26" s="2" t="s">
        <v>36</v>
      </c>
      <c r="V26" s="2" t="s">
        <v>36</v>
      </c>
    </row>
    <row r="27" spans="1:24" ht="16">
      <c r="A27" t="s">
        <v>125</v>
      </c>
      <c r="B27" t="s">
        <v>1744</v>
      </c>
      <c r="C27" t="s">
        <v>121</v>
      </c>
      <c r="E27" s="8">
        <v>-30.011405</v>
      </c>
      <c r="F27" s="7">
        <v>153.11167499999999</v>
      </c>
      <c r="G27" s="7">
        <v>0</v>
      </c>
      <c r="H27" s="1">
        <v>42878</v>
      </c>
      <c r="I27" t="s">
        <v>126</v>
      </c>
      <c r="J27" t="s">
        <v>12</v>
      </c>
      <c r="Q27" s="2" t="s">
        <v>13</v>
      </c>
      <c r="R27" s="2" t="s">
        <v>36</v>
      </c>
      <c r="S27" s="2"/>
      <c r="T27" s="41" t="e">
        <f t="shared" si="1"/>
        <v>#VALUE!</v>
      </c>
      <c r="U27" t="s">
        <v>36</v>
      </c>
      <c r="V27" t="s">
        <v>36</v>
      </c>
    </row>
    <row r="28" spans="1:24" s="2" customFormat="1" ht="16">
      <c r="A28" s="2" t="s">
        <v>197</v>
      </c>
      <c r="B28" t="s">
        <v>1744</v>
      </c>
      <c r="C28" t="s">
        <v>42</v>
      </c>
      <c r="D28"/>
      <c r="E28" s="8">
        <v>-30.016062000000002</v>
      </c>
      <c r="F28" s="7">
        <v>153.12394800000001</v>
      </c>
      <c r="G28" s="7">
        <v>0</v>
      </c>
      <c r="H28" s="3">
        <v>42863</v>
      </c>
      <c r="J28" s="2" t="s">
        <v>87</v>
      </c>
      <c r="K28" s="2" t="s">
        <v>154</v>
      </c>
      <c r="Q28" s="2" t="s">
        <v>36</v>
      </c>
      <c r="R28" s="2" t="s">
        <v>36</v>
      </c>
      <c r="T28" s="41" t="e">
        <f t="shared" si="1"/>
        <v>#VALUE!</v>
      </c>
      <c r="U28" s="2" t="s">
        <v>36</v>
      </c>
      <c r="V28" s="2" t="s">
        <v>36</v>
      </c>
    </row>
    <row r="29" spans="1:24" s="2" customFormat="1" ht="16">
      <c r="A29" s="2" t="s">
        <v>268</v>
      </c>
      <c r="B29" t="s">
        <v>1744</v>
      </c>
      <c r="C29" s="2" t="s">
        <v>263</v>
      </c>
      <c r="E29" s="6">
        <v>-30.107710000000001</v>
      </c>
      <c r="F29" s="7">
        <v>153.199806</v>
      </c>
      <c r="G29" s="7">
        <v>0</v>
      </c>
      <c r="H29" s="3">
        <v>42797</v>
      </c>
      <c r="J29" s="5" t="s">
        <v>12</v>
      </c>
      <c r="K29" s="5" t="s">
        <v>219</v>
      </c>
      <c r="L29" s="5"/>
      <c r="M29" s="5"/>
      <c r="N29" t="s">
        <v>2103</v>
      </c>
      <c r="O29" t="s">
        <v>2104</v>
      </c>
      <c r="R29" s="2">
        <v>4.1799999999999997E-2</v>
      </c>
      <c r="S29">
        <v>3.8671999999999984E-2</v>
      </c>
      <c r="T29" s="41">
        <f t="shared" si="1"/>
        <v>3.1280000000000127E-3</v>
      </c>
      <c r="U29" s="2" t="s">
        <v>36</v>
      </c>
      <c r="V29" s="2" t="s">
        <v>36</v>
      </c>
    </row>
    <row r="30" spans="1:24" ht="19">
      <c r="A30" s="66" t="s">
        <v>2331</v>
      </c>
      <c r="B30" t="s">
        <v>1744</v>
      </c>
      <c r="C30" t="s">
        <v>2346</v>
      </c>
      <c r="D30" t="s">
        <v>2347</v>
      </c>
      <c r="E30">
        <v>151.86000000000001</v>
      </c>
      <c r="F30">
        <v>-28.51</v>
      </c>
      <c r="H30" s="1">
        <v>43007</v>
      </c>
      <c r="J30" t="s">
        <v>25</v>
      </c>
      <c r="Q30">
        <v>3</v>
      </c>
      <c r="R30">
        <v>4.5600000000000002E-2</v>
      </c>
      <c r="S30">
        <v>3.8671999999999984E-2</v>
      </c>
      <c r="T30" s="41">
        <f t="shared" si="1"/>
        <v>6.9280000000000175E-3</v>
      </c>
      <c r="U30" t="s">
        <v>36</v>
      </c>
      <c r="V30" s="41" t="s">
        <v>36</v>
      </c>
      <c r="W30" t="s">
        <v>2409</v>
      </c>
    </row>
    <row r="31" spans="1:24" ht="19">
      <c r="A31" s="66" t="s">
        <v>2349</v>
      </c>
      <c r="B31" t="s">
        <v>1744</v>
      </c>
      <c r="C31" t="s">
        <v>2346</v>
      </c>
      <c r="D31" t="s">
        <v>2366</v>
      </c>
      <c r="E31">
        <v>151.88</v>
      </c>
      <c r="F31">
        <v>-28.512</v>
      </c>
      <c r="H31" s="1">
        <v>43000</v>
      </c>
      <c r="J31" t="s">
        <v>25</v>
      </c>
      <c r="Q31">
        <v>3</v>
      </c>
      <c r="R31">
        <v>4.8800000000000003E-2</v>
      </c>
      <c r="S31">
        <v>3.8671999999999984E-2</v>
      </c>
      <c r="T31" s="41">
        <f t="shared" si="1"/>
        <v>1.0128000000000019E-2</v>
      </c>
      <c r="U31">
        <v>3.9670000000000001</v>
      </c>
      <c r="V31" s="41">
        <v>14.7</v>
      </c>
      <c r="W31" t="s">
        <v>2408</v>
      </c>
    </row>
    <row r="32" spans="1:24" ht="19">
      <c r="A32" s="66" t="s">
        <v>2279</v>
      </c>
      <c r="B32" t="s">
        <v>1744</v>
      </c>
      <c r="C32" t="s">
        <v>2344</v>
      </c>
      <c r="D32" t="s">
        <v>2345</v>
      </c>
      <c r="E32">
        <v>132.45500000000001</v>
      </c>
      <c r="F32">
        <v>-14.525</v>
      </c>
      <c r="H32" s="1">
        <v>42936</v>
      </c>
      <c r="J32" t="s">
        <v>25</v>
      </c>
      <c r="Q32">
        <v>3</v>
      </c>
      <c r="R32">
        <v>4.24E-2</v>
      </c>
      <c r="S32">
        <v>3.8671999999999984E-2</v>
      </c>
      <c r="T32" s="41">
        <f t="shared" si="1"/>
        <v>3.728000000000016E-3</v>
      </c>
      <c r="U32" t="s">
        <v>36</v>
      </c>
      <c r="V32" s="41" t="s">
        <v>36</v>
      </c>
      <c r="W32" t="s">
        <v>2410</v>
      </c>
    </row>
    <row r="33" spans="1:22" ht="19">
      <c r="A33" s="68" t="s">
        <v>2638</v>
      </c>
      <c r="B33" s="9" t="s">
        <v>1744</v>
      </c>
      <c r="C33" s="9" t="s">
        <v>2539</v>
      </c>
      <c r="D33" s="69">
        <v>-29.988817000000001</v>
      </c>
      <c r="E33" s="70">
        <v>153.13584900000001</v>
      </c>
      <c r="F33" s="70">
        <v>0</v>
      </c>
      <c r="G33" s="71">
        <v>42875</v>
      </c>
      <c r="H33" t="s">
        <v>36</v>
      </c>
      <c r="I33" s="9" t="s">
        <v>25</v>
      </c>
      <c r="J33" t="s">
        <v>2554</v>
      </c>
      <c r="K33" t="s">
        <v>2561</v>
      </c>
      <c r="L33" t="s">
        <v>2717</v>
      </c>
      <c r="M33" t="s">
        <v>2720</v>
      </c>
      <c r="N33" t="s">
        <v>2719</v>
      </c>
      <c r="O33" t="s">
        <v>2722</v>
      </c>
      <c r="P33" t="s">
        <v>2713</v>
      </c>
      <c r="Q33" s="9">
        <v>4.4999999999999998E-2</v>
      </c>
      <c r="R33" s="9">
        <v>3.8671999999999984E-2</v>
      </c>
      <c r="S33" s="41">
        <f>Q33-R33</f>
        <v>6.3280000000000142E-3</v>
      </c>
      <c r="T33" s="9">
        <v>3.7029999999999998</v>
      </c>
      <c r="U33" s="9">
        <f>8.901+5.506</f>
        <v>14.407</v>
      </c>
      <c r="V33">
        <f>T33*U33</f>
        <v>53.349120999999997</v>
      </c>
    </row>
    <row r="34" spans="1:22">
      <c r="A34" s="9" t="s">
        <v>420</v>
      </c>
      <c r="B34" t="s">
        <v>421</v>
      </c>
      <c r="C34" t="s">
        <v>422</v>
      </c>
      <c r="D34">
        <v>1</v>
      </c>
      <c r="E34" s="1">
        <v>42816</v>
      </c>
      <c r="F34" s="1">
        <v>43017</v>
      </c>
      <c r="G34">
        <f>F34-E34</f>
        <v>201</v>
      </c>
      <c r="H34" t="s">
        <v>417</v>
      </c>
      <c r="I34" t="s">
        <v>418</v>
      </c>
      <c r="J34">
        <v>-26.284722200000001</v>
      </c>
      <c r="K34">
        <v>136.09805556000001</v>
      </c>
      <c r="L34" t="s">
        <v>419</v>
      </c>
      <c r="M34" s="36" t="s">
        <v>1750</v>
      </c>
      <c r="N34" s="34">
        <v>2.3280000000000037E-3</v>
      </c>
      <c r="O34" s="32">
        <v>1.992</v>
      </c>
      <c r="P34" s="33" t="s">
        <v>1751</v>
      </c>
      <c r="Q34" s="40" t="s">
        <v>2094</v>
      </c>
    </row>
    <row r="35" spans="1:22">
      <c r="A35" s="2" t="s">
        <v>433</v>
      </c>
      <c r="B35" s="2"/>
      <c r="C35" s="2"/>
      <c r="D35" s="2"/>
      <c r="E35" s="2" t="s">
        <v>36</v>
      </c>
      <c r="F35" s="2" t="s">
        <v>36</v>
      </c>
      <c r="G35" s="2" t="s">
        <v>36</v>
      </c>
      <c r="H35" s="2" t="s">
        <v>36</v>
      </c>
      <c r="I35" t="s">
        <v>418</v>
      </c>
      <c r="J35">
        <v>-26.284722200000001</v>
      </c>
      <c r="K35">
        <v>136.09805556000001</v>
      </c>
      <c r="L35" t="s">
        <v>419</v>
      </c>
      <c r="M35" s="36" t="s">
        <v>1758</v>
      </c>
      <c r="N35" s="32">
        <v>1.6628000000000004E-2</v>
      </c>
      <c r="O35" s="37"/>
      <c r="P35" s="33"/>
      <c r="Q35" s="20" t="s">
        <v>2094</v>
      </c>
      <c r="T35">
        <v>2</v>
      </c>
    </row>
    <row r="36" spans="1:22">
      <c r="A36" s="9" t="s">
        <v>434</v>
      </c>
      <c r="B36" t="s">
        <v>421</v>
      </c>
      <c r="C36" t="s">
        <v>422</v>
      </c>
      <c r="D36">
        <v>1</v>
      </c>
      <c r="E36" s="1">
        <v>42816</v>
      </c>
      <c r="F36" s="1">
        <v>43017</v>
      </c>
      <c r="G36">
        <f t="shared" ref="G36:G53" si="2">F36-E36</f>
        <v>201</v>
      </c>
      <c r="H36" t="s">
        <v>417</v>
      </c>
      <c r="I36" t="s">
        <v>418</v>
      </c>
      <c r="J36">
        <v>-26.284722200000001</v>
      </c>
      <c r="K36">
        <v>136.09805556000001</v>
      </c>
      <c r="L36" t="s">
        <v>419</v>
      </c>
      <c r="M36" s="36" t="s">
        <v>1759</v>
      </c>
      <c r="N36" s="32">
        <v>3.828000000000005E-3</v>
      </c>
      <c r="O36" s="32">
        <v>2.133</v>
      </c>
      <c r="P36" s="33" t="s">
        <v>36</v>
      </c>
      <c r="Q36" s="20" t="s">
        <v>2094</v>
      </c>
      <c r="T36">
        <v>2</v>
      </c>
    </row>
    <row r="37" spans="1:22">
      <c r="A37" s="9" t="s">
        <v>545</v>
      </c>
      <c r="B37" t="s">
        <v>465</v>
      </c>
      <c r="D37">
        <v>3</v>
      </c>
      <c r="E37" s="1">
        <v>42816</v>
      </c>
      <c r="F37" s="1">
        <v>43017</v>
      </c>
      <c r="G37">
        <f t="shared" si="2"/>
        <v>201</v>
      </c>
      <c r="H37" t="s">
        <v>417</v>
      </c>
      <c r="I37" t="s">
        <v>466</v>
      </c>
      <c r="J37">
        <v>-26.423333299999999</v>
      </c>
      <c r="K37">
        <v>135.51333299999999</v>
      </c>
      <c r="L37" t="s">
        <v>419</v>
      </c>
      <c r="M37" s="33" t="s">
        <v>1892</v>
      </c>
      <c r="N37" s="32">
        <v>1E-3</v>
      </c>
      <c r="O37" s="32">
        <v>1.484</v>
      </c>
      <c r="P37" s="33"/>
      <c r="Q37" t="s">
        <v>890</v>
      </c>
      <c r="T37">
        <v>2</v>
      </c>
    </row>
    <row r="38" spans="1:22">
      <c r="A38" s="9" t="s">
        <v>436</v>
      </c>
      <c r="B38" t="s">
        <v>421</v>
      </c>
      <c r="D38">
        <v>1</v>
      </c>
      <c r="E38" s="1">
        <v>42816</v>
      </c>
      <c r="F38" s="1">
        <v>43017</v>
      </c>
      <c r="G38">
        <f t="shared" si="2"/>
        <v>201</v>
      </c>
      <c r="H38" t="s">
        <v>417</v>
      </c>
      <c r="I38" t="s">
        <v>418</v>
      </c>
      <c r="J38">
        <v>-26.284722200000001</v>
      </c>
      <c r="K38">
        <v>136.09805556000001</v>
      </c>
      <c r="L38" t="s">
        <v>419</v>
      </c>
      <c r="M38" s="36" t="s">
        <v>1761</v>
      </c>
      <c r="N38" s="32">
        <v>6.2800000000000356E-4</v>
      </c>
      <c r="O38" s="35">
        <v>2.1989999999999998</v>
      </c>
      <c r="P38" s="33" t="s">
        <v>36</v>
      </c>
      <c r="Q38" s="20" t="s">
        <v>2094</v>
      </c>
      <c r="T38">
        <v>2</v>
      </c>
    </row>
    <row r="39" spans="1:22">
      <c r="A39" s="43" t="s">
        <v>580</v>
      </c>
      <c r="B39" s="43" t="s">
        <v>573</v>
      </c>
      <c r="C39" s="43"/>
      <c r="D39" s="43">
        <v>5</v>
      </c>
      <c r="E39" s="44">
        <v>42816</v>
      </c>
      <c r="F39" s="44">
        <v>43017</v>
      </c>
      <c r="G39" s="43">
        <f t="shared" si="2"/>
        <v>201</v>
      </c>
      <c r="H39" s="43" t="s">
        <v>417</v>
      </c>
      <c r="I39" s="43" t="s">
        <v>567</v>
      </c>
      <c r="J39" s="43">
        <v>-26.42166667</v>
      </c>
      <c r="K39" s="43">
        <v>135.50166666999999</v>
      </c>
      <c r="L39" s="43" t="s">
        <v>419</v>
      </c>
      <c r="M39" s="36" t="s">
        <v>1912</v>
      </c>
      <c r="N39" s="45">
        <v>1.8E-3</v>
      </c>
      <c r="O39" s="36"/>
      <c r="P39" s="36"/>
      <c r="Q39" s="43" t="s">
        <v>890</v>
      </c>
      <c r="R39" s="43"/>
      <c r="S39" s="43"/>
      <c r="T39">
        <v>2</v>
      </c>
    </row>
    <row r="40" spans="1:22">
      <c r="A40" t="s">
        <v>617</v>
      </c>
      <c r="B40" t="s">
        <v>592</v>
      </c>
      <c r="D40">
        <v>6</v>
      </c>
      <c r="E40" s="1">
        <v>42816</v>
      </c>
      <c r="F40" s="1">
        <v>43017</v>
      </c>
      <c r="G40">
        <f t="shared" si="2"/>
        <v>201</v>
      </c>
      <c r="H40" t="s">
        <v>417</v>
      </c>
      <c r="I40" t="s">
        <v>593</v>
      </c>
      <c r="J40">
        <v>-26.365555560000001</v>
      </c>
      <c r="K40">
        <v>135.79</v>
      </c>
      <c r="L40" t="s">
        <v>419</v>
      </c>
      <c r="M40" s="33" t="s">
        <v>1937</v>
      </c>
      <c r="N40" s="34">
        <v>5.9999999999999995E-4</v>
      </c>
      <c r="O40" s="35">
        <v>1.3220000000000001</v>
      </c>
      <c r="P40" s="33" t="s">
        <v>1802</v>
      </c>
      <c r="Q40" s="73" t="s">
        <v>890</v>
      </c>
      <c r="T40" s="20">
        <v>2</v>
      </c>
    </row>
    <row r="41" spans="1:22">
      <c r="A41" s="43" t="s">
        <v>710</v>
      </c>
      <c r="B41" s="43" t="s">
        <v>592</v>
      </c>
      <c r="C41" s="43"/>
      <c r="D41" s="43">
        <v>6</v>
      </c>
      <c r="E41" s="44">
        <v>42816</v>
      </c>
      <c r="F41" s="44">
        <v>43017</v>
      </c>
      <c r="G41" s="43">
        <f t="shared" si="2"/>
        <v>201</v>
      </c>
      <c r="H41" s="43" t="s">
        <v>417</v>
      </c>
      <c r="I41" s="43" t="s">
        <v>593</v>
      </c>
      <c r="J41" s="43">
        <v>-26.365555560000001</v>
      </c>
      <c r="K41" s="43">
        <v>135.79</v>
      </c>
      <c r="L41" s="43" t="s">
        <v>419</v>
      </c>
      <c r="M41" s="36" t="s">
        <v>2174</v>
      </c>
      <c r="N41" s="72">
        <v>2.9999999999999997E-4</v>
      </c>
      <c r="O41" s="45"/>
      <c r="P41" s="45"/>
      <c r="Q41" s="74" t="s">
        <v>890</v>
      </c>
      <c r="R41" s="43" t="s">
        <v>2213</v>
      </c>
      <c r="S41" s="43"/>
      <c r="T41" s="20">
        <v>2</v>
      </c>
    </row>
    <row r="42" spans="1:22">
      <c r="A42" s="43" t="s">
        <v>730</v>
      </c>
      <c r="B42" s="43" t="s">
        <v>592</v>
      </c>
      <c r="C42" s="43"/>
      <c r="D42" s="43">
        <v>6</v>
      </c>
      <c r="E42" s="44">
        <v>42816</v>
      </c>
      <c r="F42" s="44">
        <v>43017</v>
      </c>
      <c r="G42" s="43">
        <f t="shared" si="2"/>
        <v>201</v>
      </c>
      <c r="H42" s="43" t="s">
        <v>417</v>
      </c>
      <c r="I42" s="43" t="s">
        <v>593</v>
      </c>
      <c r="J42" s="43">
        <v>-26.365555560000001</v>
      </c>
      <c r="K42" s="43">
        <v>135.79</v>
      </c>
      <c r="L42" s="43" t="s">
        <v>419</v>
      </c>
      <c r="M42" s="36" t="s">
        <v>2194</v>
      </c>
      <c r="N42" s="72">
        <v>5.0000000000000001E-4</v>
      </c>
      <c r="O42" s="45"/>
      <c r="P42" s="45"/>
      <c r="Q42" s="74" t="s">
        <v>890</v>
      </c>
      <c r="R42" s="43"/>
      <c r="S42" s="43"/>
      <c r="T42" s="20">
        <v>2</v>
      </c>
    </row>
    <row r="43" spans="1:22">
      <c r="A43" s="43" t="s">
        <v>762</v>
      </c>
      <c r="B43" s="43" t="s">
        <v>592</v>
      </c>
      <c r="C43" s="43"/>
      <c r="D43" s="43">
        <v>6</v>
      </c>
      <c r="E43" s="44">
        <v>42816</v>
      </c>
      <c r="F43" s="44">
        <v>43017</v>
      </c>
      <c r="G43" s="43">
        <f t="shared" si="2"/>
        <v>201</v>
      </c>
      <c r="H43" s="43" t="s">
        <v>417</v>
      </c>
      <c r="I43" s="43" t="s">
        <v>593</v>
      </c>
      <c r="J43" s="43">
        <v>-26.365555560000001</v>
      </c>
      <c r="K43" s="43">
        <v>135.79</v>
      </c>
      <c r="L43" s="43" t="s">
        <v>419</v>
      </c>
      <c r="M43" s="36" t="s">
        <v>1997</v>
      </c>
      <c r="N43" s="72">
        <v>6.9999999999999999E-4</v>
      </c>
      <c r="O43" s="45">
        <v>1.577</v>
      </c>
      <c r="P43" s="36" t="s">
        <v>1802</v>
      </c>
      <c r="Q43" s="74" t="s">
        <v>890</v>
      </c>
      <c r="R43" s="43"/>
      <c r="S43" s="43"/>
      <c r="T43" s="20">
        <v>2</v>
      </c>
    </row>
    <row r="44" spans="1:22">
      <c r="A44" s="43" t="s">
        <v>763</v>
      </c>
      <c r="B44" s="43" t="s">
        <v>592</v>
      </c>
      <c r="C44" s="43"/>
      <c r="D44" s="43">
        <v>6</v>
      </c>
      <c r="E44" s="44">
        <v>42816</v>
      </c>
      <c r="F44" s="44">
        <v>43017</v>
      </c>
      <c r="G44" s="43">
        <f t="shared" si="2"/>
        <v>201</v>
      </c>
      <c r="H44" s="43" t="s">
        <v>417</v>
      </c>
      <c r="I44" s="43" t="s">
        <v>593</v>
      </c>
      <c r="J44" s="43">
        <v>-26.365555560000001</v>
      </c>
      <c r="K44" s="43">
        <v>135.79</v>
      </c>
      <c r="L44" s="43" t="s">
        <v>419</v>
      </c>
      <c r="M44" s="36" t="s">
        <v>1998</v>
      </c>
      <c r="N44" s="45">
        <v>5.0000000000000001E-4</v>
      </c>
      <c r="O44" s="45">
        <v>1.6459999999999999</v>
      </c>
      <c r="P44" s="36" t="s">
        <v>1802</v>
      </c>
      <c r="Q44" s="43" t="s">
        <v>890</v>
      </c>
      <c r="R44" s="43"/>
      <c r="S44" s="43"/>
      <c r="T44" s="20">
        <v>2</v>
      </c>
    </row>
    <row r="45" spans="1:22">
      <c r="A45" s="43" t="s">
        <v>773</v>
      </c>
      <c r="B45" s="43" t="s">
        <v>592</v>
      </c>
      <c r="C45" s="43"/>
      <c r="D45" s="43">
        <v>6</v>
      </c>
      <c r="E45" s="44">
        <v>42816</v>
      </c>
      <c r="F45" s="44">
        <v>43017</v>
      </c>
      <c r="G45" s="43">
        <f t="shared" si="2"/>
        <v>201</v>
      </c>
      <c r="H45" s="43" t="s">
        <v>417</v>
      </c>
      <c r="I45" s="43" t="s">
        <v>593</v>
      </c>
      <c r="J45" s="43">
        <v>-26.365555560000001</v>
      </c>
      <c r="K45" s="43">
        <v>135.79</v>
      </c>
      <c r="L45" s="43" t="s">
        <v>419</v>
      </c>
      <c r="M45" s="36" t="s">
        <v>2001</v>
      </c>
      <c r="N45" s="72">
        <v>6.9999999999999999E-4</v>
      </c>
      <c r="O45" s="45">
        <v>1.5669999999999999</v>
      </c>
      <c r="P45" s="36" t="s">
        <v>1802</v>
      </c>
      <c r="Q45" s="74" t="s">
        <v>890</v>
      </c>
      <c r="R45" s="43"/>
      <c r="S45" s="43"/>
      <c r="T45" s="20">
        <v>2</v>
      </c>
    </row>
    <row r="46" spans="1:22">
      <c r="A46" s="43" t="s">
        <v>775</v>
      </c>
      <c r="B46" s="43" t="s">
        <v>592</v>
      </c>
      <c r="C46" s="43"/>
      <c r="D46" s="43">
        <v>6</v>
      </c>
      <c r="E46" s="44">
        <v>42816</v>
      </c>
      <c r="F46" s="44">
        <v>43017</v>
      </c>
      <c r="G46" s="43">
        <f t="shared" si="2"/>
        <v>201</v>
      </c>
      <c r="H46" s="43" t="s">
        <v>417</v>
      </c>
      <c r="I46" s="43" t="s">
        <v>593</v>
      </c>
      <c r="J46" s="43">
        <v>-26.365555560000001</v>
      </c>
      <c r="K46" s="43">
        <v>135.79</v>
      </c>
      <c r="L46" s="43" t="s">
        <v>419</v>
      </c>
      <c r="M46" s="36" t="s">
        <v>2003</v>
      </c>
      <c r="N46" s="72">
        <v>5.0000000000000001E-4</v>
      </c>
      <c r="O46" s="45">
        <v>1.548</v>
      </c>
      <c r="P46" s="36" t="s">
        <v>1802</v>
      </c>
      <c r="Q46" s="74" t="s">
        <v>890</v>
      </c>
      <c r="R46" s="43"/>
      <c r="S46" s="43"/>
      <c r="T46" s="20">
        <v>2</v>
      </c>
    </row>
    <row r="47" spans="1:22">
      <c r="A47" s="43" t="s">
        <v>788</v>
      </c>
      <c r="B47" s="43" t="s">
        <v>592</v>
      </c>
      <c r="C47" s="43"/>
      <c r="D47" s="43">
        <v>6</v>
      </c>
      <c r="E47" s="44">
        <v>42816</v>
      </c>
      <c r="F47" s="44">
        <v>43017</v>
      </c>
      <c r="G47" s="43">
        <f t="shared" si="2"/>
        <v>201</v>
      </c>
      <c r="H47" s="43" t="s">
        <v>417</v>
      </c>
      <c r="I47" s="43" t="s">
        <v>593</v>
      </c>
      <c r="J47" s="43">
        <v>-26.365555560000001</v>
      </c>
      <c r="K47" s="43">
        <v>135.79</v>
      </c>
      <c r="L47" s="43" t="s">
        <v>419</v>
      </c>
      <c r="M47" s="36" t="s">
        <v>2009</v>
      </c>
      <c r="N47" s="72">
        <v>4.0000000000000002E-4</v>
      </c>
      <c r="O47" s="36"/>
      <c r="P47" s="36"/>
      <c r="Q47" s="74" t="s">
        <v>890</v>
      </c>
      <c r="R47" s="43"/>
      <c r="S47" s="43"/>
      <c r="T47" s="20">
        <v>2</v>
      </c>
    </row>
    <row r="48" spans="1:22">
      <c r="A48" s="43" t="s">
        <v>807</v>
      </c>
      <c r="B48" s="43" t="s">
        <v>592</v>
      </c>
      <c r="C48" s="43"/>
      <c r="D48" s="43">
        <v>6</v>
      </c>
      <c r="E48" s="44">
        <v>42816</v>
      </c>
      <c r="F48" s="44">
        <v>43017</v>
      </c>
      <c r="G48" s="43">
        <f t="shared" si="2"/>
        <v>201</v>
      </c>
      <c r="H48" s="43" t="s">
        <v>417</v>
      </c>
      <c r="I48" s="43" t="s">
        <v>593</v>
      </c>
      <c r="J48" s="43">
        <v>-26.365555560000001</v>
      </c>
      <c r="K48" s="43">
        <v>135.79</v>
      </c>
      <c r="L48" s="43" t="s">
        <v>419</v>
      </c>
      <c r="M48" s="36" t="s">
        <v>2028</v>
      </c>
      <c r="N48" s="72">
        <v>8.0000000000000004E-4</v>
      </c>
      <c r="O48" s="45">
        <v>1.577</v>
      </c>
      <c r="P48" s="36" t="s">
        <v>1802</v>
      </c>
      <c r="Q48" s="74" t="s">
        <v>890</v>
      </c>
      <c r="R48" s="43"/>
      <c r="S48" s="43"/>
      <c r="T48" s="20">
        <v>2</v>
      </c>
    </row>
    <row r="49" spans="1:24">
      <c r="A49" s="43" t="s">
        <v>809</v>
      </c>
      <c r="B49" s="43" t="s">
        <v>592</v>
      </c>
      <c r="C49" s="43"/>
      <c r="D49" s="43">
        <v>6</v>
      </c>
      <c r="E49" s="44">
        <v>42816</v>
      </c>
      <c r="F49" s="44">
        <v>43017</v>
      </c>
      <c r="G49" s="43">
        <f t="shared" si="2"/>
        <v>201</v>
      </c>
      <c r="H49" s="43" t="s">
        <v>417</v>
      </c>
      <c r="I49" s="43" t="s">
        <v>593</v>
      </c>
      <c r="J49" s="43">
        <v>-26.365555560000001</v>
      </c>
      <c r="K49" s="43">
        <v>135.79</v>
      </c>
      <c r="L49" s="43" t="s">
        <v>419</v>
      </c>
      <c r="M49" s="36" t="s">
        <v>2030</v>
      </c>
      <c r="N49" s="45">
        <v>2.9999999999999997E-4</v>
      </c>
      <c r="O49" s="45">
        <v>1.254</v>
      </c>
      <c r="P49" s="36" t="s">
        <v>1802</v>
      </c>
      <c r="Q49" s="43" t="s">
        <v>890</v>
      </c>
      <c r="R49" s="43"/>
      <c r="S49" s="43"/>
      <c r="T49" s="20">
        <v>2</v>
      </c>
    </row>
    <row r="50" spans="1:24">
      <c r="A50" s="43" t="s">
        <v>821</v>
      </c>
      <c r="B50" s="43" t="s">
        <v>592</v>
      </c>
      <c r="C50" s="43"/>
      <c r="D50" s="43">
        <v>6</v>
      </c>
      <c r="E50" s="44">
        <v>42816</v>
      </c>
      <c r="F50" s="44">
        <v>43017</v>
      </c>
      <c r="G50" s="43">
        <f t="shared" si="2"/>
        <v>201</v>
      </c>
      <c r="H50" s="43" t="s">
        <v>417</v>
      </c>
      <c r="I50" s="43" t="s">
        <v>593</v>
      </c>
      <c r="J50" s="43">
        <v>-26.365555560000001</v>
      </c>
      <c r="K50" s="43">
        <v>135.79</v>
      </c>
      <c r="L50" s="43" t="s">
        <v>419</v>
      </c>
      <c r="M50" s="36" t="s">
        <v>2042</v>
      </c>
      <c r="N50" s="45">
        <v>5.0000000000000001E-4</v>
      </c>
      <c r="O50" s="45">
        <v>1.476</v>
      </c>
      <c r="P50" s="36" t="s">
        <v>1802</v>
      </c>
      <c r="Q50" s="43" t="s">
        <v>890</v>
      </c>
      <c r="R50" s="43"/>
      <c r="S50" s="43"/>
      <c r="T50" s="20">
        <v>2</v>
      </c>
    </row>
    <row r="51" spans="1:24">
      <c r="A51" s="43" t="s">
        <v>833</v>
      </c>
      <c r="B51" s="43" t="s">
        <v>829</v>
      </c>
      <c r="C51" s="43"/>
      <c r="D51" s="43">
        <v>7</v>
      </c>
      <c r="E51" s="44">
        <v>42812</v>
      </c>
      <c r="F51" s="44">
        <v>43017</v>
      </c>
      <c r="G51" s="43">
        <f t="shared" si="2"/>
        <v>205</v>
      </c>
      <c r="H51" s="43" t="s">
        <v>462</v>
      </c>
      <c r="I51" s="43" t="s">
        <v>830</v>
      </c>
      <c r="J51" s="43">
        <v>-25.6175</v>
      </c>
      <c r="K51" s="43">
        <v>134.92277777999999</v>
      </c>
      <c r="L51" s="43" t="s">
        <v>831</v>
      </c>
      <c r="M51" s="36" t="s">
        <v>2050</v>
      </c>
      <c r="N51" s="45">
        <v>2.0000000000000001E-4</v>
      </c>
      <c r="O51" s="45">
        <v>1.262</v>
      </c>
      <c r="P51" s="36" t="s">
        <v>1802</v>
      </c>
      <c r="Q51" s="43" t="s">
        <v>890</v>
      </c>
      <c r="R51" s="43"/>
      <c r="S51" s="43"/>
      <c r="T51" s="20">
        <v>2</v>
      </c>
    </row>
    <row r="52" spans="1:24">
      <c r="A52" s="43" t="s">
        <v>845</v>
      </c>
      <c r="B52" s="43" t="s">
        <v>829</v>
      </c>
      <c r="C52" s="43"/>
      <c r="D52" s="43">
        <v>7</v>
      </c>
      <c r="E52" s="44">
        <v>42812</v>
      </c>
      <c r="F52" s="44">
        <v>43017</v>
      </c>
      <c r="G52" s="43">
        <f t="shared" si="2"/>
        <v>205</v>
      </c>
      <c r="H52" s="43" t="s">
        <v>462</v>
      </c>
      <c r="I52" s="43" t="s">
        <v>830</v>
      </c>
      <c r="J52" s="43">
        <v>-25.6175</v>
      </c>
      <c r="K52" s="43">
        <v>134.92277777999999</v>
      </c>
      <c r="L52" s="43" t="s">
        <v>831</v>
      </c>
      <c r="M52" s="36" t="s">
        <v>2061</v>
      </c>
      <c r="N52" s="72">
        <v>5.0000000000000001E-4</v>
      </c>
      <c r="O52" s="72">
        <v>1.093</v>
      </c>
      <c r="P52" s="36" t="s">
        <v>1803</v>
      </c>
      <c r="Q52" s="74" t="s">
        <v>890</v>
      </c>
      <c r="R52" s="43"/>
      <c r="S52" s="43"/>
      <c r="T52" s="20">
        <v>2</v>
      </c>
    </row>
    <row r="53" spans="1:24">
      <c r="A53" s="9" t="s">
        <v>430</v>
      </c>
      <c r="B53" t="s">
        <v>416</v>
      </c>
      <c r="C53" t="s">
        <v>431</v>
      </c>
      <c r="D53" s="10">
        <v>1</v>
      </c>
      <c r="E53" s="1">
        <v>42816</v>
      </c>
      <c r="F53" s="1">
        <v>43017</v>
      </c>
      <c r="G53">
        <f t="shared" si="2"/>
        <v>201</v>
      </c>
      <c r="H53" t="s">
        <v>417</v>
      </c>
      <c r="I53" t="s">
        <v>418</v>
      </c>
      <c r="J53">
        <v>-26.284722200000001</v>
      </c>
      <c r="K53">
        <v>136.09805556000001</v>
      </c>
      <c r="L53" t="s">
        <v>419</v>
      </c>
      <c r="M53" s="36" t="s">
        <v>1756</v>
      </c>
      <c r="N53" s="32">
        <v>4.5280000000000042E-3</v>
      </c>
      <c r="O53" s="32">
        <v>2.121</v>
      </c>
      <c r="P53" s="33" t="s">
        <v>36</v>
      </c>
      <c r="Q53" s="20" t="s">
        <v>2094</v>
      </c>
      <c r="T53">
        <v>2</v>
      </c>
    </row>
    <row r="54" spans="1:24">
      <c r="A54" s="2" t="s">
        <v>560</v>
      </c>
      <c r="B54" s="2"/>
      <c r="C54" s="2"/>
      <c r="D54" s="2"/>
      <c r="E54" s="2" t="s">
        <v>36</v>
      </c>
      <c r="F54" s="3" t="s">
        <v>36</v>
      </c>
      <c r="G54" s="2" t="s">
        <v>36</v>
      </c>
      <c r="H54" s="2" t="s">
        <v>36</v>
      </c>
      <c r="I54" s="2" t="s">
        <v>36</v>
      </c>
      <c r="J54" s="2" t="s">
        <v>36</v>
      </c>
      <c r="K54" s="2" t="s">
        <v>36</v>
      </c>
      <c r="L54" s="2" t="s">
        <v>36</v>
      </c>
      <c r="M54" s="36"/>
      <c r="N54" s="32"/>
      <c r="O54" s="35"/>
      <c r="P54" s="35"/>
      <c r="Q54" t="s">
        <v>890</v>
      </c>
      <c r="T54">
        <v>2</v>
      </c>
    </row>
    <row r="55" spans="1:24">
      <c r="A55" s="2" t="s">
        <v>561</v>
      </c>
      <c r="B55" s="2" t="s">
        <v>36</v>
      </c>
      <c r="C55" s="2"/>
      <c r="D55" s="2"/>
      <c r="E55" s="2" t="s">
        <v>36</v>
      </c>
      <c r="F55" s="3" t="s">
        <v>36</v>
      </c>
      <c r="G55" s="2" t="s">
        <v>36</v>
      </c>
      <c r="H55" s="2" t="s">
        <v>36</v>
      </c>
      <c r="I55" s="2" t="s">
        <v>36</v>
      </c>
      <c r="J55" s="2" t="s">
        <v>36</v>
      </c>
      <c r="K55" s="2" t="s">
        <v>36</v>
      </c>
      <c r="L55" s="2" t="s">
        <v>36</v>
      </c>
      <c r="M55" s="36"/>
      <c r="N55" s="32"/>
      <c r="O55" s="35"/>
      <c r="P55" s="35"/>
      <c r="Q55" t="s">
        <v>890</v>
      </c>
      <c r="T55">
        <v>2</v>
      </c>
    </row>
    <row r="56" spans="1:24">
      <c r="A56" s="43" t="s">
        <v>825</v>
      </c>
      <c r="B56" s="43" t="s">
        <v>592</v>
      </c>
      <c r="C56" s="43"/>
      <c r="D56" s="43">
        <v>6</v>
      </c>
      <c r="E56" s="44">
        <v>42816</v>
      </c>
      <c r="F56" s="44">
        <v>43017</v>
      </c>
      <c r="G56" s="43">
        <f>F56-E56</f>
        <v>201</v>
      </c>
      <c r="H56" s="43" t="s">
        <v>417</v>
      </c>
      <c r="I56" s="43" t="s">
        <v>593</v>
      </c>
      <c r="J56" s="43">
        <v>-26.365555560000001</v>
      </c>
      <c r="K56" s="43">
        <v>135.79</v>
      </c>
      <c r="L56" s="43" t="s">
        <v>419</v>
      </c>
      <c r="M56" s="36"/>
      <c r="N56" s="36"/>
      <c r="O56" s="36"/>
      <c r="P56" s="36"/>
      <c r="Q56" s="43" t="s">
        <v>890</v>
      </c>
      <c r="R56" s="43"/>
      <c r="S56" s="43"/>
      <c r="T56" s="20">
        <v>2</v>
      </c>
    </row>
    <row r="57" spans="1:24">
      <c r="A57" t="s">
        <v>684</v>
      </c>
      <c r="B57" t="s">
        <v>592</v>
      </c>
      <c r="D57">
        <v>6</v>
      </c>
      <c r="E57" s="1">
        <v>42816</v>
      </c>
      <c r="F57" s="1">
        <v>43017</v>
      </c>
      <c r="G57">
        <f>F57-E57</f>
        <v>201</v>
      </c>
      <c r="H57" t="s">
        <v>417</v>
      </c>
      <c r="I57" t="s">
        <v>593</v>
      </c>
      <c r="J57">
        <v>-26.365555560000001</v>
      </c>
      <c r="K57">
        <v>135.79</v>
      </c>
      <c r="L57" t="s">
        <v>419</v>
      </c>
      <c r="M57" s="33" t="s">
        <v>1996</v>
      </c>
      <c r="N57" s="34">
        <v>5.0000000000000001E-4</v>
      </c>
      <c r="O57" s="32">
        <v>1.25</v>
      </c>
      <c r="P57" s="39">
        <v>1.2390000000000001</v>
      </c>
      <c r="Q57" s="73" t="s">
        <v>890</v>
      </c>
      <c r="S57" t="s">
        <v>20</v>
      </c>
    </row>
    <row r="58" spans="1:24" s="80" customFormat="1" ht="19">
      <c r="A58" s="79" t="s">
        <v>2257</v>
      </c>
      <c r="B58" s="80" t="s">
        <v>1744</v>
      </c>
      <c r="C58" s="80" t="s">
        <v>2425</v>
      </c>
      <c r="D58" s="80">
        <v>-16.992799999999999</v>
      </c>
      <c r="E58" s="80">
        <v>145.46170000000001</v>
      </c>
      <c r="F58" s="80">
        <v>0</v>
      </c>
      <c r="G58" s="81">
        <v>42956</v>
      </c>
      <c r="H58" s="80" t="s">
        <v>2556</v>
      </c>
      <c r="I58" s="80" t="s">
        <v>25</v>
      </c>
      <c r="K58" s="80" t="s">
        <v>2554</v>
      </c>
      <c r="N58" s="80" t="s">
        <v>2649</v>
      </c>
      <c r="Q58" s="80">
        <v>2</v>
      </c>
      <c r="R58" s="80">
        <v>7.3499999999999996E-2</v>
      </c>
      <c r="S58" s="80">
        <v>6.7166000000000003E-2</v>
      </c>
      <c r="T58" s="82">
        <f>R58-S58</f>
        <v>6.3339999999999924E-3</v>
      </c>
      <c r="U58" s="80">
        <v>2.9140000000000001</v>
      </c>
      <c r="V58" s="82">
        <f>7.497+7.17</f>
        <v>14.667</v>
      </c>
      <c r="W58" s="80">
        <f>U58*V58</f>
        <v>42.739637999999999</v>
      </c>
    </row>
    <row r="59" spans="1:24" ht="19">
      <c r="A59" s="66" t="s">
        <v>252</v>
      </c>
      <c r="B59" t="s">
        <v>1744</v>
      </c>
      <c r="C59" t="s">
        <v>2520</v>
      </c>
      <c r="F59" s="7">
        <v>90</v>
      </c>
      <c r="G59" s="1" t="s">
        <v>36</v>
      </c>
      <c r="H59">
        <v>20699</v>
      </c>
      <c r="I59" s="4" t="s">
        <v>25</v>
      </c>
      <c r="J59" t="s">
        <v>2554</v>
      </c>
      <c r="K59" s="4"/>
      <c r="L59" s="4"/>
      <c r="M59" s="4"/>
      <c r="P59">
        <v>6.9599999999999995E-2</v>
      </c>
      <c r="Q59">
        <v>6.7166000000000003E-2</v>
      </c>
      <c r="R59" s="41">
        <f>P59-Q59</f>
        <v>2.4339999999999917E-3</v>
      </c>
      <c r="S59">
        <v>3.3090000000000002</v>
      </c>
      <c r="T59">
        <f>6.533+6.839</f>
        <v>13.372</v>
      </c>
      <c r="U59">
        <f>S59*T59</f>
        <v>44.247948000000001</v>
      </c>
    </row>
    <row r="60" spans="1:24" ht="19">
      <c r="A60" s="66" t="s">
        <v>259</v>
      </c>
      <c r="B60" t="s">
        <v>1744</v>
      </c>
      <c r="C60" t="s">
        <v>2520</v>
      </c>
      <c r="D60" s="4"/>
      <c r="E60" s="4"/>
      <c r="F60" s="7">
        <v>90</v>
      </c>
      <c r="G60" s="1" t="s">
        <v>36</v>
      </c>
      <c r="H60">
        <v>20653</v>
      </c>
      <c r="I60" s="4" t="s">
        <v>12</v>
      </c>
      <c r="J60" s="4" t="s">
        <v>94</v>
      </c>
      <c r="K60" s="4" t="s">
        <v>2566</v>
      </c>
      <c r="L60" s="4" t="s">
        <v>2567</v>
      </c>
      <c r="M60" s="4"/>
      <c r="N60" t="s">
        <v>2108</v>
      </c>
      <c r="O60" t="s">
        <v>2368</v>
      </c>
      <c r="R60">
        <v>2.0000000000000001E-4</v>
      </c>
      <c r="S60">
        <v>0</v>
      </c>
      <c r="T60" s="41">
        <f>R60-S60</f>
        <v>2.0000000000000001E-4</v>
      </c>
      <c r="U60">
        <v>1.276</v>
      </c>
      <c r="V60">
        <f>2.992+2.713</f>
        <v>5.7050000000000001</v>
      </c>
      <c r="W60">
        <f t="shared" ref="W60:W65" si="3">U60*V60</f>
        <v>7.2795800000000002</v>
      </c>
    </row>
    <row r="61" spans="1:24">
      <c r="A61" s="9" t="s">
        <v>522</v>
      </c>
      <c r="B61" t="s">
        <v>1744</v>
      </c>
      <c r="C61" t="s">
        <v>466</v>
      </c>
      <c r="D61">
        <v>-26.423333299999999</v>
      </c>
      <c r="E61">
        <v>135.51333299999999</v>
      </c>
      <c r="F61">
        <v>201</v>
      </c>
      <c r="G61" s="1">
        <v>42816</v>
      </c>
      <c r="H61" t="s">
        <v>36</v>
      </c>
      <c r="I61" t="s">
        <v>12</v>
      </c>
      <c r="J61" t="s">
        <v>419</v>
      </c>
      <c r="K61" s="11"/>
      <c r="L61" s="11"/>
      <c r="M61" s="11"/>
      <c r="N61" s="11"/>
      <c r="O61" s="11"/>
      <c r="R61">
        <f>S61+T61</f>
        <v>3.5999999999999999E-3</v>
      </c>
      <c r="S61">
        <v>0</v>
      </c>
      <c r="T61" s="24">
        <v>3.5999999999999999E-3</v>
      </c>
      <c r="U61" s="24">
        <v>2.0459999999999998</v>
      </c>
      <c r="V61" s="24">
        <v>11.638</v>
      </c>
      <c r="W61">
        <f t="shared" si="3"/>
        <v>23.811347999999999</v>
      </c>
      <c r="X61" t="s">
        <v>2110</v>
      </c>
    </row>
    <row r="62" spans="1:24" ht="20">
      <c r="A62" s="83" t="s">
        <v>500</v>
      </c>
      <c r="B62" t="s">
        <v>1744</v>
      </c>
      <c r="C62" t="s">
        <v>466</v>
      </c>
      <c r="D62">
        <v>-26.423333299999999</v>
      </c>
      <c r="E62">
        <v>135.51333299999999</v>
      </c>
      <c r="F62">
        <v>201</v>
      </c>
      <c r="G62" s="1">
        <v>42816</v>
      </c>
      <c r="H62" t="s">
        <v>36</v>
      </c>
      <c r="I62" t="s">
        <v>12</v>
      </c>
      <c r="J62" t="s">
        <v>419</v>
      </c>
      <c r="K62" s="11"/>
      <c r="L62" s="11"/>
      <c r="M62" s="11"/>
      <c r="N62" s="11"/>
      <c r="O62" s="11"/>
      <c r="R62">
        <f>S62+T62</f>
        <v>5.0000000000000001E-4</v>
      </c>
      <c r="S62">
        <v>0</v>
      </c>
      <c r="T62" s="24">
        <v>5.0000000000000001E-4</v>
      </c>
      <c r="U62" s="24">
        <v>1.607</v>
      </c>
      <c r="V62" s="24">
        <v>6.2590000000000003</v>
      </c>
      <c r="W62">
        <f t="shared" si="3"/>
        <v>10.058213</v>
      </c>
    </row>
    <row r="63" spans="1:24" ht="20">
      <c r="A63" s="83" t="s">
        <v>450</v>
      </c>
      <c r="B63" t="s">
        <v>1744</v>
      </c>
      <c r="C63" t="s">
        <v>418</v>
      </c>
      <c r="D63">
        <v>-26.284722200000001</v>
      </c>
      <c r="E63">
        <v>136.09805556000001</v>
      </c>
      <c r="F63">
        <v>201</v>
      </c>
      <c r="G63" s="1">
        <v>42816</v>
      </c>
      <c r="H63" t="s">
        <v>36</v>
      </c>
      <c r="I63" t="s">
        <v>12</v>
      </c>
      <c r="J63" t="s">
        <v>419</v>
      </c>
      <c r="K63" s="11"/>
      <c r="L63" s="11"/>
      <c r="M63" s="11"/>
      <c r="N63" s="11"/>
      <c r="O63" s="11"/>
      <c r="R63">
        <f>S63+T63</f>
        <v>1.2999999999999999E-3</v>
      </c>
      <c r="S63" s="11">
        <v>0</v>
      </c>
      <c r="T63" s="24">
        <v>1.2999999999999999E-3</v>
      </c>
      <c r="U63" s="24">
        <v>1.6319999999999999</v>
      </c>
      <c r="V63" s="28">
        <v>8.3640000000000008</v>
      </c>
      <c r="W63">
        <f t="shared" si="3"/>
        <v>13.650048</v>
      </c>
    </row>
    <row r="64" spans="1:24" ht="19">
      <c r="A64" s="66" t="s">
        <v>254</v>
      </c>
      <c r="B64" s="84" t="s">
        <v>1744</v>
      </c>
      <c r="C64" s="84" t="s">
        <v>2520</v>
      </c>
      <c r="D64" s="84"/>
      <c r="E64" s="84"/>
      <c r="F64" s="87">
        <v>90</v>
      </c>
      <c r="G64" s="85" t="s">
        <v>36</v>
      </c>
      <c r="H64" s="84">
        <v>20605</v>
      </c>
      <c r="I64" s="84" t="s">
        <v>12</v>
      </c>
      <c r="J64" s="84" t="s">
        <v>94</v>
      </c>
      <c r="K64" s="84" t="s">
        <v>2566</v>
      </c>
      <c r="L64" s="84" t="s">
        <v>2567</v>
      </c>
      <c r="M64" s="84" t="s">
        <v>2668</v>
      </c>
      <c r="N64" s="84" t="s">
        <v>2385</v>
      </c>
      <c r="O64" s="84" t="s">
        <v>2387</v>
      </c>
      <c r="P64" s="84" t="s">
        <v>917</v>
      </c>
      <c r="Q64" s="84"/>
      <c r="R64" s="84">
        <v>6.7599999999999993E-2</v>
      </c>
      <c r="S64" s="84">
        <v>6.7166000000000003E-2</v>
      </c>
      <c r="T64" s="86">
        <f>R64-S64</f>
        <v>4.3399999999998995E-4</v>
      </c>
      <c r="U64" s="84">
        <v>2.157</v>
      </c>
      <c r="V64" s="84">
        <f>5.986+4.106</f>
        <v>10.091999999999999</v>
      </c>
      <c r="W64" s="84">
        <f t="shared" si="3"/>
        <v>21.768443999999999</v>
      </c>
    </row>
    <row r="65" spans="1:23" s="10" customFormat="1" ht="18" customHeight="1">
      <c r="A65" s="94" t="s">
        <v>258</v>
      </c>
      <c r="B65" s="95" t="s">
        <v>1744</v>
      </c>
      <c r="C65" s="95" t="s">
        <v>2520</v>
      </c>
      <c r="D65" s="95"/>
      <c r="E65" s="95"/>
      <c r="F65" s="96">
        <v>90</v>
      </c>
      <c r="G65" s="97" t="s">
        <v>36</v>
      </c>
      <c r="H65" s="95">
        <v>20621</v>
      </c>
      <c r="I65" s="95" t="s">
        <v>12</v>
      </c>
      <c r="J65" s="95" t="s">
        <v>94</v>
      </c>
      <c r="K65" s="95" t="s">
        <v>2566</v>
      </c>
      <c r="L65" s="95" t="s">
        <v>2567</v>
      </c>
      <c r="M65" s="95" t="s">
        <v>2668</v>
      </c>
      <c r="N65" s="95" t="s">
        <v>2105</v>
      </c>
      <c r="O65" s="95" t="s">
        <v>2368</v>
      </c>
      <c r="P65" s="95" t="s">
        <v>946</v>
      </c>
      <c r="Q65" s="95"/>
      <c r="R65" s="95">
        <v>4.0000000000000002E-4</v>
      </c>
      <c r="S65" s="95">
        <v>0</v>
      </c>
      <c r="T65" s="96">
        <f>R65-S65</f>
        <v>4.0000000000000002E-4</v>
      </c>
      <c r="U65" s="95">
        <v>1.5</v>
      </c>
      <c r="V65" s="95">
        <f>3.797+3.518</f>
        <v>7.3149999999999995</v>
      </c>
      <c r="W65" s="95">
        <f t="shared" si="3"/>
        <v>10.9725</v>
      </c>
    </row>
    <row r="67" spans="1:23" ht="19">
      <c r="A67" s="67" t="s">
        <v>884</v>
      </c>
      <c r="B67" s="90" t="s">
        <v>1744</v>
      </c>
      <c r="C67" s="90" t="s">
        <v>564</v>
      </c>
      <c r="D67" s="90">
        <v>-25.999166670000001</v>
      </c>
      <c r="E67" s="90">
        <v>135.33250000000001</v>
      </c>
      <c r="F67" s="90">
        <v>206</v>
      </c>
      <c r="G67" s="91">
        <v>42811</v>
      </c>
      <c r="H67" s="90" t="s">
        <v>36</v>
      </c>
      <c r="I67" s="90" t="s">
        <v>12</v>
      </c>
      <c r="J67" s="90" t="s">
        <v>419</v>
      </c>
      <c r="K67" s="93"/>
      <c r="L67" s="93"/>
      <c r="M67" s="93"/>
      <c r="N67" s="93"/>
      <c r="O67" s="93"/>
      <c r="P67" s="90"/>
      <c r="Q67" s="90"/>
      <c r="R67" s="90">
        <f>S67+T67</f>
        <v>4.1000000000000003E-3</v>
      </c>
      <c r="S67" s="90">
        <v>0</v>
      </c>
      <c r="T67" s="92">
        <v>4.1000000000000003E-3</v>
      </c>
      <c r="U67" s="92">
        <v>2.5249999999999999</v>
      </c>
      <c r="V67" s="92">
        <v>10.554</v>
      </c>
      <c r="W67" s="90">
        <f>U67*V67</f>
        <v>26.648849999999999</v>
      </c>
    </row>
    <row r="69" spans="1:23" ht="19">
      <c r="A69" s="67" t="s">
        <v>800</v>
      </c>
      <c r="B69" s="90" t="s">
        <v>1744</v>
      </c>
      <c r="C69" s="90" t="s">
        <v>593</v>
      </c>
      <c r="D69" s="90">
        <v>-26.365555560000001</v>
      </c>
      <c r="E69" s="90">
        <v>135.79</v>
      </c>
      <c r="F69" s="90">
        <v>201</v>
      </c>
      <c r="G69" s="91">
        <v>42816</v>
      </c>
      <c r="H69" s="90" t="s">
        <v>36</v>
      </c>
      <c r="I69" s="90" t="s">
        <v>12</v>
      </c>
      <c r="J69" s="90" t="s">
        <v>419</v>
      </c>
      <c r="K69" s="93"/>
      <c r="L69" s="93"/>
      <c r="M69" s="93"/>
      <c r="N69" s="93"/>
      <c r="O69" s="93"/>
      <c r="P69" s="90"/>
      <c r="Q69" s="90"/>
      <c r="R69" s="90">
        <f>S69+T69</f>
        <v>6.9999999999999999E-4</v>
      </c>
      <c r="S69" s="90">
        <v>0</v>
      </c>
      <c r="T69" s="92">
        <v>6.9999999999999999E-4</v>
      </c>
      <c r="U69" s="92">
        <v>1.611</v>
      </c>
      <c r="V69" s="92">
        <v>6.4539999999999997</v>
      </c>
      <c r="W69" s="90">
        <f>U69*V69</f>
        <v>10.397394</v>
      </c>
    </row>
    <row r="70" spans="1:23" ht="19">
      <c r="A70" s="67" t="s">
        <v>802</v>
      </c>
      <c r="B70" s="90" t="s">
        <v>1744</v>
      </c>
      <c r="C70" s="90" t="s">
        <v>593</v>
      </c>
      <c r="D70" s="90">
        <v>-26.365555560000001</v>
      </c>
      <c r="E70" s="90">
        <v>135.79</v>
      </c>
      <c r="F70" s="90">
        <v>201</v>
      </c>
      <c r="G70" s="91">
        <v>42816</v>
      </c>
      <c r="H70" s="90" t="s">
        <v>36</v>
      </c>
      <c r="I70" s="90" t="s">
        <v>12</v>
      </c>
      <c r="J70" s="90" t="s">
        <v>419</v>
      </c>
      <c r="K70" s="93"/>
      <c r="L70" s="93"/>
      <c r="M70" s="93"/>
      <c r="N70" s="93"/>
      <c r="O70" s="93"/>
      <c r="P70" s="90"/>
      <c r="Q70" s="90"/>
      <c r="R70" s="90">
        <f>S70+T70</f>
        <v>8.9999999999999998E-4</v>
      </c>
      <c r="S70" s="90">
        <v>0</v>
      </c>
      <c r="T70" s="92">
        <v>8.9999999999999998E-4</v>
      </c>
      <c r="U70" s="92">
        <v>1.58</v>
      </c>
      <c r="V70" s="92">
        <v>5.5170000000000003</v>
      </c>
      <c r="W70" s="90">
        <f>U70*V70</f>
        <v>8.7168600000000005</v>
      </c>
    </row>
    <row r="71" spans="1:23" ht="19">
      <c r="A71" s="67" t="s">
        <v>755</v>
      </c>
      <c r="B71" s="90" t="s">
        <v>1744</v>
      </c>
      <c r="C71" s="90" t="s">
        <v>593</v>
      </c>
      <c r="D71" s="90">
        <v>-26.365555560000001</v>
      </c>
      <c r="E71" s="90">
        <v>135.79</v>
      </c>
      <c r="F71" s="90">
        <v>201</v>
      </c>
      <c r="G71" s="91">
        <v>42816</v>
      </c>
      <c r="H71" s="90" t="s">
        <v>36</v>
      </c>
      <c r="I71" s="90" t="s">
        <v>12</v>
      </c>
      <c r="J71" s="90" t="s">
        <v>419</v>
      </c>
      <c r="K71" s="93"/>
      <c r="L71" s="93"/>
      <c r="M71" s="93"/>
      <c r="N71" s="93"/>
      <c r="O71" s="93"/>
      <c r="P71" s="90"/>
      <c r="Q71" s="90"/>
      <c r="R71" s="90">
        <f>S71+T71</f>
        <v>2.9999999999999997E-4</v>
      </c>
      <c r="S71" s="90">
        <v>0</v>
      </c>
      <c r="T71" s="92">
        <v>2.9999999999999997E-4</v>
      </c>
      <c r="U71" s="92">
        <v>1.22</v>
      </c>
      <c r="V71" s="92">
        <f>2.68+0.625+1.87</f>
        <v>5.1750000000000007</v>
      </c>
      <c r="W71" s="90">
        <f>U71*V71</f>
        <v>6.3135000000000003</v>
      </c>
    </row>
    <row r="72" spans="1:23" ht="19">
      <c r="A72" s="67" t="s">
        <v>635</v>
      </c>
      <c r="B72" s="90" t="s">
        <v>1744</v>
      </c>
      <c r="C72" s="90" t="s">
        <v>593</v>
      </c>
      <c r="D72" s="90">
        <v>-26.365555560000001</v>
      </c>
      <c r="E72" s="90">
        <v>135.79</v>
      </c>
      <c r="F72" s="90">
        <v>201</v>
      </c>
      <c r="G72" s="91">
        <v>42816</v>
      </c>
      <c r="H72" s="90" t="s">
        <v>36</v>
      </c>
      <c r="I72" s="90" t="s">
        <v>12</v>
      </c>
      <c r="J72" s="90" t="s">
        <v>419</v>
      </c>
      <c r="K72" s="93"/>
      <c r="L72" s="93"/>
      <c r="M72" s="93"/>
      <c r="N72" s="93"/>
      <c r="O72" s="93"/>
      <c r="P72" s="90"/>
      <c r="Q72" s="90"/>
      <c r="R72" s="90">
        <f>S72+T72</f>
        <v>1.6000000000000001E-3</v>
      </c>
      <c r="S72" s="90">
        <v>0</v>
      </c>
      <c r="T72" s="92">
        <v>1.6000000000000001E-3</v>
      </c>
      <c r="U72" s="92">
        <v>1.681</v>
      </c>
      <c r="V72" s="92">
        <v>8.2149999999999999</v>
      </c>
      <c r="W72" s="90">
        <f>U72*V72</f>
        <v>13.809415</v>
      </c>
    </row>
    <row r="73" spans="1:23" ht="19">
      <c r="A73" s="68" t="s">
        <v>2636</v>
      </c>
      <c r="B73" s="9" t="s">
        <v>1744</v>
      </c>
      <c r="C73" s="9" t="s">
        <v>2539</v>
      </c>
      <c r="D73" s="69">
        <v>-29.988817000000001</v>
      </c>
      <c r="E73" s="70">
        <v>153.13584900000001</v>
      </c>
      <c r="F73" s="70">
        <v>0</v>
      </c>
      <c r="G73" s="71">
        <v>42875</v>
      </c>
      <c r="H73" t="s">
        <v>36</v>
      </c>
      <c r="I73" s="9" t="s">
        <v>25</v>
      </c>
      <c r="J73" t="s">
        <v>2554</v>
      </c>
      <c r="K73" s="9"/>
      <c r="L73" s="9"/>
      <c r="M73" s="9"/>
      <c r="N73" s="9"/>
      <c r="O73" s="9"/>
      <c r="P73" s="9">
        <v>4.7399999999999998E-2</v>
      </c>
      <c r="Q73" s="9">
        <v>3.8671999999999984E-2</v>
      </c>
      <c r="R73" s="41">
        <f>P73-Q73</f>
        <v>8.7280000000000135E-3</v>
      </c>
      <c r="S73" s="9">
        <v>3.6739999999999999</v>
      </c>
      <c r="T73" s="9">
        <f>3.398+4.579+7.152</f>
        <v>15.129000000000001</v>
      </c>
      <c r="U73">
        <f>S73*T73</f>
        <v>55.583946000000005</v>
      </c>
    </row>
    <row r="74" spans="1:23" ht="19">
      <c r="A74" s="68" t="s">
        <v>2643</v>
      </c>
      <c r="B74" s="9" t="s">
        <v>1744</v>
      </c>
      <c r="C74" s="9" t="s">
        <v>2539</v>
      </c>
      <c r="D74" s="69">
        <v>-29.988817000000001</v>
      </c>
      <c r="E74" s="70">
        <v>153.13584900000001</v>
      </c>
      <c r="F74" s="70">
        <v>0</v>
      </c>
      <c r="G74" s="71">
        <v>42875</v>
      </c>
      <c r="H74" t="s">
        <v>36</v>
      </c>
      <c r="I74" s="9" t="s">
        <v>25</v>
      </c>
      <c r="J74" t="s">
        <v>2554</v>
      </c>
      <c r="K74" s="9"/>
      <c r="L74" s="9"/>
      <c r="M74" s="9"/>
      <c r="N74" s="9"/>
      <c r="O74" s="9"/>
      <c r="P74" s="9"/>
      <c r="Q74" s="9">
        <v>4.7500000000000001E-2</v>
      </c>
      <c r="R74" s="9">
        <v>3.8671999999999984E-2</v>
      </c>
      <c r="S74" s="41">
        <f>Q74-R74</f>
        <v>8.8280000000000164E-3</v>
      </c>
      <c r="T74" s="9">
        <v>3.7480000000000002</v>
      </c>
      <c r="U74" s="9">
        <f>4.417+9.742</f>
        <v>14.159000000000001</v>
      </c>
      <c r="V74">
        <f>T74*U74</f>
        <v>53.067932000000006</v>
      </c>
    </row>
    <row r="75" spans="1:23" ht="19">
      <c r="A75" s="66" t="s">
        <v>152</v>
      </c>
      <c r="B75" t="s">
        <v>1744</v>
      </c>
      <c r="C75" t="s">
        <v>2537</v>
      </c>
      <c r="D75" s="8">
        <v>-30.091795000000001</v>
      </c>
      <c r="E75" s="7">
        <v>153.161948</v>
      </c>
      <c r="F75" s="7">
        <v>0</v>
      </c>
      <c r="G75" s="1">
        <v>42879</v>
      </c>
      <c r="I75" t="s">
        <v>25</v>
      </c>
      <c r="J75" t="s">
        <v>2554</v>
      </c>
      <c r="Q75">
        <v>4.3299999999999998E-2</v>
      </c>
      <c r="R75">
        <v>3.8671999999999984E-2</v>
      </c>
      <c r="S75" s="41">
        <f>Q75-R75</f>
        <v>4.628000000000014E-3</v>
      </c>
      <c r="T75">
        <v>3.99</v>
      </c>
      <c r="U75">
        <v>14.813000000000001</v>
      </c>
      <c r="V75">
        <f>T75*U75</f>
        <v>59.103870000000008</v>
      </c>
    </row>
    <row r="76" spans="1:23" ht="19">
      <c r="A76" s="66" t="s">
        <v>192</v>
      </c>
      <c r="B76" t="s">
        <v>1744</v>
      </c>
      <c r="C76" t="s">
        <v>2524</v>
      </c>
      <c r="D76" s="8">
        <v>-30.002158999999999</v>
      </c>
      <c r="E76" s="7">
        <v>153.14892399999999</v>
      </c>
      <c r="F76" s="7">
        <v>0</v>
      </c>
      <c r="G76" s="1">
        <v>42864</v>
      </c>
      <c r="I76" t="s">
        <v>25</v>
      </c>
      <c r="J76" t="s">
        <v>2554</v>
      </c>
      <c r="Q76">
        <v>6.9599999999999995E-2</v>
      </c>
      <c r="R76">
        <v>6.7166000000000003E-2</v>
      </c>
      <c r="S76" s="41">
        <f>Q76-R76</f>
        <v>2.4339999999999917E-3</v>
      </c>
      <c r="T76">
        <v>2.8130000000000002</v>
      </c>
      <c r="U76">
        <f>5.08+2.813+4.261</f>
        <v>12.154</v>
      </c>
      <c r="V76">
        <f>T76*U76</f>
        <v>34.189202000000002</v>
      </c>
    </row>
    <row r="77" spans="1:23" ht="19">
      <c r="A77" s="68" t="s">
        <v>95</v>
      </c>
      <c r="B77" s="9" t="s">
        <v>1744</v>
      </c>
      <c r="C77" s="9" t="s">
        <v>2522</v>
      </c>
      <c r="D77" s="69">
        <v>-29.943010999999998</v>
      </c>
      <c r="E77" s="70">
        <v>153.12657400000001</v>
      </c>
      <c r="F77" s="70">
        <v>0</v>
      </c>
      <c r="G77" s="71">
        <v>42872</v>
      </c>
      <c r="H77" s="9"/>
      <c r="I77" s="9" t="s">
        <v>25</v>
      </c>
      <c r="J77" s="9" t="s">
        <v>2554</v>
      </c>
      <c r="K77" s="9"/>
      <c r="L77" s="9"/>
      <c r="M77" s="9"/>
      <c r="N77" s="9"/>
      <c r="O77" s="9"/>
      <c r="P77" s="9"/>
      <c r="Q77" s="9">
        <v>3.95E-2</v>
      </c>
      <c r="R77" s="9">
        <v>3.8671999999999984E-2</v>
      </c>
      <c r="S77" s="41">
        <f>Q77-R77</f>
        <v>8.2800000000001622E-4</v>
      </c>
      <c r="T77" s="9">
        <v>2.5990000000000002</v>
      </c>
      <c r="U77" s="9">
        <f>5.836+4.132</f>
        <v>9.968</v>
      </c>
      <c r="V77" s="9">
        <f>T77*U77</f>
        <v>25.906832000000001</v>
      </c>
    </row>
    <row r="78" spans="1:23" ht="19">
      <c r="A78" s="66" t="s">
        <v>80</v>
      </c>
      <c r="B78" t="s">
        <v>1744</v>
      </c>
      <c r="C78" t="s">
        <v>2522</v>
      </c>
      <c r="D78" s="8">
        <v>-29.943010999999998</v>
      </c>
      <c r="E78" s="7">
        <v>153.12657400000001</v>
      </c>
      <c r="F78" s="7">
        <v>0</v>
      </c>
      <c r="G78" s="1">
        <v>42871</v>
      </c>
      <c r="H78" t="s">
        <v>68</v>
      </c>
      <c r="I78" t="s">
        <v>25</v>
      </c>
      <c r="J78" t="s">
        <v>2554</v>
      </c>
      <c r="Q78">
        <v>3.95E-2</v>
      </c>
      <c r="R78">
        <v>3.8671999999999984E-2</v>
      </c>
      <c r="S78" s="41">
        <f>Q78-R78</f>
        <v>8.2800000000001622E-4</v>
      </c>
      <c r="T78">
        <v>2.2949999999999999</v>
      </c>
      <c r="U78">
        <f>6.498+3.149</f>
        <v>9.6470000000000002</v>
      </c>
      <c r="V78">
        <f>T78*U78</f>
        <v>22.139865</v>
      </c>
    </row>
    <row r="79" spans="1:23">
      <c r="A79" t="str">
        <f>CONCATENATE(H79,I79,J79)</f>
        <v>C4Mareeba2016</v>
      </c>
      <c r="H79" t="s">
        <v>2756</v>
      </c>
      <c r="I79" t="s">
        <v>2761</v>
      </c>
      <c r="J79">
        <v>2016</v>
      </c>
      <c r="S79">
        <v>8.9999999999999993E-3</v>
      </c>
      <c r="T79">
        <v>4.7629999999999999</v>
      </c>
      <c r="U79">
        <v>13.055</v>
      </c>
    </row>
    <row r="80" spans="1:23">
      <c r="A80" t="str">
        <f>CONCATENATE(H80,I80,J80)</f>
        <v>C9Mareeba2016</v>
      </c>
      <c r="H80" t="s">
        <v>2757</v>
      </c>
      <c r="I80" t="s">
        <v>2761</v>
      </c>
      <c r="J80">
        <v>2016</v>
      </c>
      <c r="S80">
        <v>3.5999999999999999E-3</v>
      </c>
      <c r="T80">
        <v>4.04</v>
      </c>
      <c r="U80">
        <v>9.9969999999999999</v>
      </c>
    </row>
    <row r="81" spans="1:25">
      <c r="A81" t="str">
        <f>CONCATENATE(H81,I81,J81)</f>
        <v>C10Mareeba2016</v>
      </c>
      <c r="H81" t="s">
        <v>2758</v>
      </c>
      <c r="I81" t="s">
        <v>2761</v>
      </c>
      <c r="J81">
        <v>2016</v>
      </c>
      <c r="S81">
        <v>3.5999999999999999E-3</v>
      </c>
      <c r="T81">
        <v>3.21</v>
      </c>
      <c r="U81">
        <v>12.436999999999999</v>
      </c>
    </row>
    <row r="82" spans="1:25">
      <c r="A82" t="str">
        <f>CONCATENATE(H82,I82,J82)</f>
        <v>C14Mareeba2016</v>
      </c>
      <c r="H82" t="s">
        <v>2759</v>
      </c>
      <c r="I82" t="s">
        <v>2761</v>
      </c>
      <c r="J82">
        <v>2016</v>
      </c>
      <c r="S82">
        <v>3.0999999999999999E-3</v>
      </c>
      <c r="T82">
        <v>3.4980000000000002</v>
      </c>
      <c r="U82">
        <v>11.365</v>
      </c>
    </row>
    <row r="83" spans="1:25">
      <c r="A83" t="str">
        <f>CONCATENATE(H83,I83,J83)</f>
        <v>C15Mareeba2016</v>
      </c>
      <c r="H83" t="s">
        <v>2760</v>
      </c>
      <c r="I83" t="s">
        <v>2761</v>
      </c>
      <c r="J83">
        <v>2016</v>
      </c>
      <c r="S83">
        <v>3.5000000000000001E-3</v>
      </c>
      <c r="T83">
        <v>3.044</v>
      </c>
      <c r="U83">
        <v>10.041</v>
      </c>
    </row>
    <row r="84" spans="1:25">
      <c r="A84" t="s">
        <v>12</v>
      </c>
      <c r="B84" t="s">
        <v>322</v>
      </c>
      <c r="C84" t="s">
        <v>294</v>
      </c>
      <c r="D84">
        <v>0.1285</v>
      </c>
      <c r="E84">
        <v>3</v>
      </c>
      <c r="F84">
        <v>3.8671999999999984E-2</v>
      </c>
      <c r="G84">
        <f t="shared" ref="G84:G94" si="4">D84-F84</f>
        <v>8.9828000000000019E-2</v>
      </c>
    </row>
    <row r="85" spans="1:25">
      <c r="A85" t="s">
        <v>12</v>
      </c>
      <c r="B85" t="s">
        <v>319</v>
      </c>
      <c r="C85" t="s">
        <v>294</v>
      </c>
      <c r="D85">
        <v>0.222</v>
      </c>
      <c r="E85">
        <v>3</v>
      </c>
      <c r="F85">
        <v>3.8671999999999984E-2</v>
      </c>
      <c r="G85">
        <f t="shared" si="4"/>
        <v>0.18332800000000002</v>
      </c>
    </row>
    <row r="86" spans="1:25">
      <c r="A86" t="s">
        <v>12</v>
      </c>
      <c r="B86" t="s">
        <v>340</v>
      </c>
      <c r="C86" t="s">
        <v>294</v>
      </c>
      <c r="D86">
        <v>8.8999999999999999E-3</v>
      </c>
      <c r="E86" t="s">
        <v>32</v>
      </c>
      <c r="F86">
        <v>0</v>
      </c>
      <c r="G86">
        <f t="shared" si="4"/>
        <v>8.8999999999999999E-3</v>
      </c>
    </row>
    <row r="87" spans="1:25">
      <c r="A87" t="s">
        <v>12</v>
      </c>
      <c r="B87" t="s">
        <v>341</v>
      </c>
      <c r="C87" t="s">
        <v>294</v>
      </c>
      <c r="D87">
        <v>9.1999999999999998E-3</v>
      </c>
      <c r="E87" t="s">
        <v>32</v>
      </c>
      <c r="F87">
        <v>0</v>
      </c>
      <c r="G87">
        <f t="shared" si="4"/>
        <v>9.1999999999999998E-3</v>
      </c>
    </row>
    <row r="88" spans="1:25">
      <c r="A88" t="s">
        <v>12</v>
      </c>
      <c r="B88" t="s">
        <v>342</v>
      </c>
      <c r="C88" t="s">
        <v>294</v>
      </c>
      <c r="D88">
        <v>2.0000000000000001E-4</v>
      </c>
      <c r="E88" t="s">
        <v>32</v>
      </c>
      <c r="F88">
        <v>0</v>
      </c>
      <c r="G88">
        <f t="shared" si="4"/>
        <v>2.0000000000000001E-4</v>
      </c>
    </row>
    <row r="89" spans="1:25">
      <c r="A89" t="s">
        <v>12</v>
      </c>
      <c r="B89" t="s">
        <v>343</v>
      </c>
      <c r="C89" t="s">
        <v>294</v>
      </c>
      <c r="D89">
        <v>1E-4</v>
      </c>
      <c r="E89" t="s">
        <v>32</v>
      </c>
      <c r="F89">
        <v>0</v>
      </c>
      <c r="G89">
        <f t="shared" si="4"/>
        <v>1E-4</v>
      </c>
    </row>
    <row r="90" spans="1:25">
      <c r="A90" t="s">
        <v>12</v>
      </c>
      <c r="B90" t="s">
        <v>300</v>
      </c>
      <c r="C90" t="s">
        <v>294</v>
      </c>
      <c r="D90">
        <v>6.9999999999999999E-4</v>
      </c>
      <c r="E90" t="s">
        <v>32</v>
      </c>
      <c r="F90">
        <v>0</v>
      </c>
      <c r="G90">
        <f t="shared" si="4"/>
        <v>6.9999999999999999E-4</v>
      </c>
    </row>
    <row r="91" spans="1:25">
      <c r="A91" t="s">
        <v>12</v>
      </c>
      <c r="B91" t="s">
        <v>337</v>
      </c>
      <c r="C91" t="s">
        <v>294</v>
      </c>
      <c r="D91">
        <v>7.7000000000000002E-3</v>
      </c>
      <c r="E91" t="s">
        <v>32</v>
      </c>
      <c r="F91">
        <v>0</v>
      </c>
      <c r="G91">
        <f t="shared" si="4"/>
        <v>7.7000000000000002E-3</v>
      </c>
    </row>
    <row r="92" spans="1:25">
      <c r="A92" t="s">
        <v>12</v>
      </c>
      <c r="B92" t="s">
        <v>315</v>
      </c>
      <c r="C92" t="s">
        <v>294</v>
      </c>
      <c r="D92">
        <v>6.1999999999999998E-3</v>
      </c>
      <c r="E92" t="s">
        <v>32</v>
      </c>
      <c r="F92">
        <v>0</v>
      </c>
      <c r="G92">
        <f t="shared" si="4"/>
        <v>6.1999999999999998E-3</v>
      </c>
    </row>
    <row r="93" spans="1:25">
      <c r="A93" t="s">
        <v>12</v>
      </c>
      <c r="B93" t="s">
        <v>310</v>
      </c>
      <c r="C93" t="s">
        <v>294</v>
      </c>
      <c r="D93">
        <v>6.1999999999999998E-3</v>
      </c>
      <c r="E93" t="s">
        <v>32</v>
      </c>
      <c r="F93">
        <v>0</v>
      </c>
      <c r="G93">
        <f t="shared" si="4"/>
        <v>6.1999999999999998E-3</v>
      </c>
    </row>
    <row r="94" spans="1:25">
      <c r="A94" t="s">
        <v>12</v>
      </c>
      <c r="B94" t="s">
        <v>304</v>
      </c>
      <c r="C94" t="s">
        <v>294</v>
      </c>
      <c r="D94">
        <v>7.3000000000000001E-3</v>
      </c>
      <c r="E94" t="s">
        <v>32</v>
      </c>
      <c r="F94">
        <v>0</v>
      </c>
      <c r="G94">
        <f t="shared" si="4"/>
        <v>7.3000000000000001E-3</v>
      </c>
    </row>
    <row r="96" spans="1:25" s="20" customFormat="1" ht="19">
      <c r="A96" s="20" t="s">
        <v>891</v>
      </c>
      <c r="B96" s="20" t="s">
        <v>2115</v>
      </c>
      <c r="C96" s="31" t="s">
        <v>2226</v>
      </c>
      <c r="D96" s="49">
        <v>42921</v>
      </c>
      <c r="E96" s="20">
        <v>9.7558279999999993</v>
      </c>
      <c r="F96" s="20">
        <v>49.725133</v>
      </c>
      <c r="L96" s="52">
        <v>436</v>
      </c>
      <c r="M96" s="20" t="s">
        <v>917</v>
      </c>
      <c r="N96" s="28">
        <v>3.2000000000000002E-3</v>
      </c>
      <c r="O96" s="28"/>
      <c r="P96" s="65">
        <v>3.2000000000000002E-3</v>
      </c>
      <c r="Q96" s="20">
        <v>1.63</v>
      </c>
      <c r="R96" s="20">
        <f>4.092+5.034</f>
        <v>9.1259999999999994</v>
      </c>
      <c r="S96" s="20">
        <f>Q96*R96</f>
        <v>14.875379999999998</v>
      </c>
      <c r="V96" s="20" t="s">
        <v>890</v>
      </c>
      <c r="W96" s="20" t="s">
        <v>889</v>
      </c>
      <c r="X96" s="49">
        <v>42972</v>
      </c>
      <c r="Y96" s="20">
        <f>X96-D96</f>
        <v>51</v>
      </c>
    </row>
    <row r="98" spans="1:26" ht="16">
      <c r="A98" t="s">
        <v>3621</v>
      </c>
      <c r="B98" t="s">
        <v>2953</v>
      </c>
      <c r="C98" t="s">
        <v>3622</v>
      </c>
      <c r="D98" t="s">
        <v>2789</v>
      </c>
      <c r="E98" t="s">
        <v>3623</v>
      </c>
      <c r="F98" t="s">
        <v>3567</v>
      </c>
      <c r="G98" t="s">
        <v>36</v>
      </c>
      <c r="H98">
        <v>37.396355</v>
      </c>
      <c r="I98">
        <v>-5.9732000000000003</v>
      </c>
      <c r="J98">
        <v>0</v>
      </c>
      <c r="K98" s="1">
        <v>42736</v>
      </c>
      <c r="L98" t="s">
        <v>36</v>
      </c>
      <c r="M98" t="s">
        <v>831</v>
      </c>
      <c r="N98" t="s">
        <v>1687</v>
      </c>
      <c r="O98" t="s">
        <v>2563</v>
      </c>
      <c r="P98" t="s">
        <v>2835</v>
      </c>
      <c r="Q98" t="s">
        <v>3045</v>
      </c>
      <c r="R98" t="s">
        <v>3624</v>
      </c>
      <c r="S98" t="s">
        <v>3625</v>
      </c>
      <c r="T98" t="s">
        <v>36</v>
      </c>
      <c r="U98" t="s">
        <v>36</v>
      </c>
      <c r="V98" t="s">
        <v>36</v>
      </c>
      <c r="W98">
        <v>3.5299999999999998E-2</v>
      </c>
      <c r="X98">
        <v>2.86</v>
      </c>
      <c r="Y98">
        <v>10.87</v>
      </c>
      <c r="Z98">
        <v>10.87</v>
      </c>
    </row>
    <row r="99" spans="1:26" ht="16">
      <c r="A99" t="s">
        <v>3621</v>
      </c>
      <c r="B99" t="s">
        <v>2961</v>
      </c>
      <c r="C99" t="s">
        <v>3622</v>
      </c>
      <c r="D99" t="s">
        <v>2789</v>
      </c>
      <c r="E99" t="s">
        <v>3623</v>
      </c>
      <c r="F99" t="s">
        <v>3567</v>
      </c>
      <c r="G99" t="s">
        <v>36</v>
      </c>
      <c r="H99">
        <v>37.396355</v>
      </c>
      <c r="I99">
        <v>-5.9732000000000003</v>
      </c>
      <c r="J99">
        <v>0</v>
      </c>
      <c r="K99" s="1">
        <v>42736</v>
      </c>
      <c r="L99" t="s">
        <v>36</v>
      </c>
      <c r="M99" t="s">
        <v>831</v>
      </c>
      <c r="N99" t="s">
        <v>1687</v>
      </c>
      <c r="O99" t="s">
        <v>2564</v>
      </c>
      <c r="P99" t="s">
        <v>2577</v>
      </c>
      <c r="Q99" t="s">
        <v>2742</v>
      </c>
      <c r="R99" t="s">
        <v>3626</v>
      </c>
      <c r="S99" t="s">
        <v>3627</v>
      </c>
      <c r="T99" t="s">
        <v>36</v>
      </c>
      <c r="U99" t="s">
        <v>36</v>
      </c>
      <c r="V99" t="s">
        <v>36</v>
      </c>
      <c r="W99">
        <v>1.18E-2</v>
      </c>
      <c r="X99">
        <v>2.39</v>
      </c>
      <c r="Y99">
        <v>8.65</v>
      </c>
      <c r="Z99">
        <v>8.65</v>
      </c>
    </row>
  </sheetData>
  <conditionalFormatting sqref="N2">
    <cfRule type="cellIs" dxfId="98" priority="110" operator="lessThan">
      <formula>0</formula>
    </cfRule>
    <cfRule type="cellIs" dxfId="97" priority="111" operator="lessThan">
      <formula>0</formula>
    </cfRule>
  </conditionalFormatting>
  <conditionalFormatting sqref="K2">
    <cfRule type="containsText" dxfId="96" priority="109" operator="containsText" text="M">
      <formula>NOT(ISERROR(SEARCH("M",K2)))</formula>
    </cfRule>
  </conditionalFormatting>
  <conditionalFormatting sqref="E2:F2">
    <cfRule type="duplicateValues" dxfId="95" priority="108"/>
  </conditionalFormatting>
  <conditionalFormatting sqref="N3">
    <cfRule type="cellIs" dxfId="94" priority="106" operator="lessThan">
      <formula>0</formula>
    </cfRule>
    <cfRule type="cellIs" dxfId="93" priority="107" operator="lessThan">
      <formula>0</formula>
    </cfRule>
  </conditionalFormatting>
  <conditionalFormatting sqref="K3">
    <cfRule type="containsText" dxfId="92" priority="105" operator="containsText" text="M">
      <formula>NOT(ISERROR(SEARCH("M",K3)))</formula>
    </cfRule>
  </conditionalFormatting>
  <conditionalFormatting sqref="N4">
    <cfRule type="cellIs" dxfId="91" priority="103" operator="lessThan">
      <formula>0</formula>
    </cfRule>
    <cfRule type="cellIs" dxfId="90" priority="104" operator="lessThan">
      <formula>0</formula>
    </cfRule>
  </conditionalFormatting>
  <conditionalFormatting sqref="K4">
    <cfRule type="containsText" dxfId="89" priority="102" operator="containsText" text="M">
      <formula>NOT(ISERROR(SEARCH("M",K4)))</formula>
    </cfRule>
  </conditionalFormatting>
  <conditionalFormatting sqref="N5">
    <cfRule type="cellIs" dxfId="88" priority="100" operator="lessThan">
      <formula>0</formula>
    </cfRule>
    <cfRule type="cellIs" dxfId="87" priority="101" operator="lessThan">
      <formula>0</formula>
    </cfRule>
  </conditionalFormatting>
  <conditionalFormatting sqref="K5">
    <cfRule type="containsText" dxfId="86" priority="99" operator="containsText" text="M">
      <formula>NOT(ISERROR(SEARCH("M",K5)))</formula>
    </cfRule>
  </conditionalFormatting>
  <conditionalFormatting sqref="N6">
    <cfRule type="cellIs" dxfId="85" priority="97" operator="lessThan">
      <formula>0</formula>
    </cfRule>
    <cfRule type="cellIs" dxfId="84" priority="98" operator="lessThan">
      <formula>0</formula>
    </cfRule>
  </conditionalFormatting>
  <conditionalFormatting sqref="K6">
    <cfRule type="containsText" dxfId="83" priority="96" operator="containsText" text="M">
      <formula>NOT(ISERROR(SEARCH("M",K6)))</formula>
    </cfRule>
  </conditionalFormatting>
  <conditionalFormatting sqref="N7">
    <cfRule type="cellIs" dxfId="82" priority="94" operator="lessThan">
      <formula>0</formula>
    </cfRule>
    <cfRule type="cellIs" dxfId="81" priority="95" operator="lessThan">
      <formula>0</formula>
    </cfRule>
  </conditionalFormatting>
  <conditionalFormatting sqref="K7">
    <cfRule type="containsText" dxfId="80" priority="93" operator="containsText" text="M">
      <formula>NOT(ISERROR(SEARCH("M",K7)))</formula>
    </cfRule>
  </conditionalFormatting>
  <conditionalFormatting sqref="E7:F7">
    <cfRule type="duplicateValues" dxfId="79" priority="92"/>
  </conditionalFormatting>
  <conditionalFormatting sqref="N8">
    <cfRule type="cellIs" dxfId="78" priority="90" operator="lessThan">
      <formula>0</formula>
    </cfRule>
    <cfRule type="cellIs" dxfId="77" priority="91" operator="lessThan">
      <formula>0</formula>
    </cfRule>
  </conditionalFormatting>
  <conditionalFormatting sqref="K8">
    <cfRule type="containsText" dxfId="76" priority="89" operator="containsText" text="M">
      <formula>NOT(ISERROR(SEARCH("M",K8)))</formula>
    </cfRule>
  </conditionalFormatting>
  <conditionalFormatting sqref="E8:F8">
    <cfRule type="duplicateValues" dxfId="75" priority="88"/>
  </conditionalFormatting>
  <conditionalFormatting sqref="N9">
    <cfRule type="cellIs" dxfId="74" priority="86" operator="lessThan">
      <formula>0</formula>
    </cfRule>
    <cfRule type="cellIs" dxfId="73" priority="87" operator="lessThan">
      <formula>0</formula>
    </cfRule>
  </conditionalFormatting>
  <conditionalFormatting sqref="K9">
    <cfRule type="containsText" dxfId="72" priority="85" operator="containsText" text="M">
      <formula>NOT(ISERROR(SEARCH("M",K9)))</formula>
    </cfRule>
  </conditionalFormatting>
  <conditionalFormatting sqref="E9:F9">
    <cfRule type="duplicateValues" dxfId="71" priority="84"/>
  </conditionalFormatting>
  <conditionalFormatting sqref="N10">
    <cfRule type="cellIs" dxfId="70" priority="82" operator="lessThan">
      <formula>0</formula>
    </cfRule>
    <cfRule type="cellIs" dxfId="69" priority="83" operator="lessThan">
      <formula>0</formula>
    </cfRule>
  </conditionalFormatting>
  <conditionalFormatting sqref="K10">
    <cfRule type="containsText" dxfId="68" priority="81" operator="containsText" text="M">
      <formula>NOT(ISERROR(SEARCH("M",K10)))</formula>
    </cfRule>
  </conditionalFormatting>
  <conditionalFormatting sqref="E10:F10">
    <cfRule type="duplicateValues" dxfId="67" priority="80"/>
  </conditionalFormatting>
  <conditionalFormatting sqref="N11">
    <cfRule type="cellIs" dxfId="66" priority="78" operator="lessThan">
      <formula>0</formula>
    </cfRule>
    <cfRule type="cellIs" dxfId="65" priority="79" operator="lessThan">
      <formula>0</formula>
    </cfRule>
  </conditionalFormatting>
  <conditionalFormatting sqref="K11">
    <cfRule type="containsText" dxfId="64" priority="77" operator="containsText" text="M">
      <formula>NOT(ISERROR(SEARCH("M",K11)))</formula>
    </cfRule>
  </conditionalFormatting>
  <conditionalFormatting sqref="E11:F11">
    <cfRule type="duplicateValues" dxfId="63" priority="76"/>
  </conditionalFormatting>
  <conditionalFormatting sqref="N12">
    <cfRule type="cellIs" dxfId="62" priority="74" operator="lessThan">
      <formula>0</formula>
    </cfRule>
    <cfRule type="cellIs" dxfId="61" priority="75" operator="lessThan">
      <formula>0</formula>
    </cfRule>
  </conditionalFormatting>
  <conditionalFormatting sqref="K12">
    <cfRule type="containsText" dxfId="60" priority="73" operator="containsText" text="M">
      <formula>NOT(ISERROR(SEARCH("M",K12)))</formula>
    </cfRule>
  </conditionalFormatting>
  <conditionalFormatting sqref="E12:F12">
    <cfRule type="duplicateValues" dxfId="59" priority="72"/>
  </conditionalFormatting>
  <conditionalFormatting sqref="N13">
    <cfRule type="cellIs" dxfId="58" priority="70" operator="lessThan">
      <formula>0</formula>
    </cfRule>
    <cfRule type="cellIs" dxfId="57" priority="71" operator="lessThan">
      <formula>0</formula>
    </cfRule>
  </conditionalFormatting>
  <conditionalFormatting sqref="K13">
    <cfRule type="containsText" dxfId="56" priority="69" operator="containsText" text="M">
      <formula>NOT(ISERROR(SEARCH("M",K13)))</formula>
    </cfRule>
  </conditionalFormatting>
  <conditionalFormatting sqref="E13:F13">
    <cfRule type="duplicateValues" dxfId="55" priority="68"/>
  </conditionalFormatting>
  <conditionalFormatting sqref="N14">
    <cfRule type="cellIs" dxfId="54" priority="66" operator="lessThan">
      <formula>0</formula>
    </cfRule>
    <cfRule type="cellIs" dxfId="53" priority="67" operator="lessThan">
      <formula>0</formula>
    </cfRule>
  </conditionalFormatting>
  <conditionalFormatting sqref="K14">
    <cfRule type="containsText" dxfId="52" priority="65" operator="containsText" text="M">
      <formula>NOT(ISERROR(SEARCH("M",K14)))</formula>
    </cfRule>
  </conditionalFormatting>
  <conditionalFormatting sqref="E14:F14">
    <cfRule type="duplicateValues" dxfId="51" priority="64"/>
  </conditionalFormatting>
  <conditionalFormatting sqref="N15">
    <cfRule type="cellIs" dxfId="50" priority="62" operator="lessThan">
      <formula>0</formula>
    </cfRule>
    <cfRule type="cellIs" dxfId="49" priority="63" operator="lessThan">
      <formula>0</formula>
    </cfRule>
  </conditionalFormatting>
  <conditionalFormatting sqref="K15">
    <cfRule type="containsText" dxfId="48" priority="61" operator="containsText" text="M">
      <formula>NOT(ISERROR(SEARCH("M",K15)))</formula>
    </cfRule>
  </conditionalFormatting>
  <conditionalFormatting sqref="E15:F15">
    <cfRule type="duplicateValues" dxfId="47" priority="60"/>
  </conditionalFormatting>
  <conditionalFormatting sqref="N16:N18">
    <cfRule type="cellIs" dxfId="46" priority="58" operator="lessThan">
      <formula>0</formula>
    </cfRule>
    <cfRule type="cellIs" dxfId="45" priority="59" operator="lessThan">
      <formula>0</formula>
    </cfRule>
  </conditionalFormatting>
  <conditionalFormatting sqref="K16:K18">
    <cfRule type="containsText" dxfId="44" priority="57" operator="containsText" text="M">
      <formula>NOT(ISERROR(SEARCH("M",K16)))</formula>
    </cfRule>
  </conditionalFormatting>
  <conditionalFormatting sqref="N19">
    <cfRule type="cellIs" dxfId="43" priority="55" operator="lessThan">
      <formula>0</formula>
    </cfRule>
    <cfRule type="cellIs" dxfId="42" priority="56" operator="lessThan">
      <formula>0</formula>
    </cfRule>
  </conditionalFormatting>
  <conditionalFormatting sqref="K19">
    <cfRule type="containsText" dxfId="41" priority="54" operator="containsText" text="M">
      <formula>NOT(ISERROR(SEARCH("M",K19)))</formula>
    </cfRule>
  </conditionalFormatting>
  <conditionalFormatting sqref="N20">
    <cfRule type="cellIs" dxfId="40" priority="52" operator="lessThan">
      <formula>0</formula>
    </cfRule>
    <cfRule type="cellIs" dxfId="39" priority="53" operator="lessThan">
      <formula>0</formula>
    </cfRule>
  </conditionalFormatting>
  <conditionalFormatting sqref="K20">
    <cfRule type="containsText" dxfId="38" priority="51" operator="containsText" text="M">
      <formula>NOT(ISERROR(SEARCH("M",K20)))</formula>
    </cfRule>
  </conditionalFormatting>
  <conditionalFormatting sqref="N21">
    <cfRule type="cellIs" dxfId="37" priority="49" operator="lessThan">
      <formula>0</formula>
    </cfRule>
    <cfRule type="cellIs" dxfId="36" priority="50" operator="lessThan">
      <formula>0</formula>
    </cfRule>
  </conditionalFormatting>
  <conditionalFormatting sqref="K21">
    <cfRule type="containsText" dxfId="35" priority="48" operator="containsText" text="M">
      <formula>NOT(ISERROR(SEARCH("M",K21)))</formula>
    </cfRule>
  </conditionalFormatting>
  <conditionalFormatting sqref="N22">
    <cfRule type="cellIs" dxfId="34" priority="46" operator="lessThan">
      <formula>0</formula>
    </cfRule>
    <cfRule type="cellIs" dxfId="33" priority="47" operator="lessThan">
      <formula>0</formula>
    </cfRule>
  </conditionalFormatting>
  <conditionalFormatting sqref="K22">
    <cfRule type="containsText" dxfId="32" priority="45" operator="containsText" text="M">
      <formula>NOT(ISERROR(SEARCH("M",K22)))</formula>
    </cfRule>
  </conditionalFormatting>
  <conditionalFormatting sqref="R2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">
    <cfRule type="cellIs" dxfId="31" priority="42" operator="lessThan">
      <formula>0</formula>
    </cfRule>
    <cfRule type="cellIs" dxfId="30" priority="43" operator="lessThan">
      <formula>0</formula>
    </cfRule>
  </conditionalFormatting>
  <conditionalFormatting sqref="T24">
    <cfRule type="cellIs" dxfId="29" priority="40" operator="lessThan">
      <formula>0</formula>
    </cfRule>
    <cfRule type="cellIs" dxfId="28" priority="41" operator="lessThan">
      <formula>0</formula>
    </cfRule>
  </conditionalFormatting>
  <conditionalFormatting sqref="T25">
    <cfRule type="cellIs" dxfId="27" priority="38" operator="lessThan">
      <formula>0</formula>
    </cfRule>
    <cfRule type="cellIs" dxfId="26" priority="39" operator="lessThan">
      <formula>0</formula>
    </cfRule>
  </conditionalFormatting>
  <conditionalFormatting sqref="T26">
    <cfRule type="cellIs" dxfId="25" priority="36" operator="lessThan">
      <formula>0</formula>
    </cfRule>
    <cfRule type="cellIs" dxfId="24" priority="37" operator="lessThan">
      <formula>0</formula>
    </cfRule>
  </conditionalFormatting>
  <conditionalFormatting sqref="T27">
    <cfRule type="cellIs" dxfId="23" priority="34" operator="lessThan">
      <formula>0</formula>
    </cfRule>
    <cfRule type="cellIs" dxfId="22" priority="35" operator="lessThan">
      <formula>0</formula>
    </cfRule>
  </conditionalFormatting>
  <conditionalFormatting sqref="T28">
    <cfRule type="cellIs" dxfId="21" priority="32" operator="lessThan">
      <formula>0</formula>
    </cfRule>
    <cfRule type="cellIs" dxfId="20" priority="33" operator="lessThan">
      <formula>0</formula>
    </cfRule>
  </conditionalFormatting>
  <conditionalFormatting sqref="T29">
    <cfRule type="cellIs" dxfId="19" priority="30" operator="lessThan">
      <formula>0</formula>
    </cfRule>
    <cfRule type="cellIs" dxfId="18" priority="31" operator="lessThan">
      <formula>0</formula>
    </cfRule>
  </conditionalFormatting>
  <conditionalFormatting sqref="V30 T30">
    <cfRule type="cellIs" dxfId="17" priority="28" operator="lessThan">
      <formula>0</formula>
    </cfRule>
    <cfRule type="cellIs" dxfId="16" priority="29" operator="lessThan">
      <formula>0</formula>
    </cfRule>
  </conditionalFormatting>
  <conditionalFormatting sqref="Q30">
    <cfRule type="colorScale" priority="27">
      <colorScale>
        <cfvo type="min"/>
        <cfvo type="max"/>
        <color rgb="FF63BE7B"/>
        <color rgb="FFFCFCFF"/>
      </colorScale>
    </cfRule>
  </conditionalFormatting>
  <conditionalFormatting sqref="T31 V31">
    <cfRule type="cellIs" dxfId="15" priority="25" operator="lessThan">
      <formula>0</formula>
    </cfRule>
    <cfRule type="cellIs" dxfId="14" priority="26" operator="lessThan">
      <formula>0</formula>
    </cfRule>
  </conditionalFormatting>
  <conditionalFormatting sqref="Q31">
    <cfRule type="colorScale" priority="24">
      <colorScale>
        <cfvo type="min"/>
        <cfvo type="max"/>
        <color rgb="FF63BE7B"/>
        <color rgb="FFFCFCFF"/>
      </colorScale>
    </cfRule>
  </conditionalFormatting>
  <conditionalFormatting sqref="V32 T32">
    <cfRule type="cellIs" dxfId="13" priority="22" operator="lessThan">
      <formula>0</formula>
    </cfRule>
    <cfRule type="cellIs" dxfId="12" priority="23" operator="lessThan">
      <formula>0</formula>
    </cfRule>
  </conditionalFormatting>
  <conditionalFormatting sqref="Q32">
    <cfRule type="colorScale" priority="21">
      <colorScale>
        <cfvo type="min"/>
        <cfvo type="max"/>
        <color rgb="FF63BE7B"/>
        <color rgb="FFFCFCFF"/>
      </colorScale>
    </cfRule>
  </conditionalFormatting>
  <conditionalFormatting sqref="D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5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8 T58">
    <cfRule type="cellIs" dxfId="11" priority="13" operator="lessThan">
      <formula>0</formula>
    </cfRule>
    <cfRule type="cellIs" dxfId="10" priority="14" operator="lessThan">
      <formula>0</formula>
    </cfRule>
  </conditionalFormatting>
  <conditionalFormatting sqref="Q58">
    <cfRule type="colorScale" priority="12">
      <colorScale>
        <cfvo type="min"/>
        <cfvo type="max"/>
        <color rgb="FF63BE7B"/>
        <color rgb="FFFCFCFF"/>
      </colorScale>
    </cfRule>
  </conditionalFormatting>
  <conditionalFormatting sqref="T60">
    <cfRule type="cellIs" dxfId="9" priority="10" operator="lessThan">
      <formula>0</formula>
    </cfRule>
    <cfRule type="cellIs" dxfId="8" priority="11" operator="lessThan">
      <formula>0</formula>
    </cfRule>
  </conditionalFormatting>
  <conditionalFormatting sqref="T64">
    <cfRule type="cellIs" dxfId="7" priority="8" operator="lessThan">
      <formula>0</formula>
    </cfRule>
    <cfRule type="cellIs" dxfId="6" priority="9" operator="lessThan">
      <formula>0</formula>
    </cfRule>
  </conditionalFormatting>
  <conditionalFormatting sqref="T65">
    <cfRule type="cellIs" dxfId="5" priority="6" operator="lessThan">
      <formula>0</formula>
    </cfRule>
    <cfRule type="cellIs" dxfId="4" priority="7" operator="lessThan">
      <formula>0</formula>
    </cfRule>
  </conditionalFormatting>
  <conditionalFormatting sqref="V72 T72">
    <cfRule type="cellIs" dxfId="3" priority="4" operator="lessThan">
      <formula>0</formula>
    </cfRule>
    <cfRule type="cellIs" dxfId="2" priority="5" operator="lessThan">
      <formula>0</formula>
    </cfRule>
  </conditionalFormatting>
  <conditionalFormatting sqref="Q72">
    <cfRule type="colorScale" priority="3">
      <colorScale>
        <cfvo type="min"/>
        <cfvo type="max"/>
        <color rgb="FF63BE7B"/>
        <color rgb="FFFCFCFF"/>
      </colorScale>
    </cfRule>
  </conditionalFormatting>
  <conditionalFormatting sqref="H90 H93:H94">
    <cfRule type="duplicateValues" dxfId="1" priority="2"/>
  </conditionalFormatting>
  <conditionalFormatting sqref="M96">
    <cfRule type="containsText" dxfId="0" priority="1" operator="containsText" text="M">
      <formula>NOT(ISERROR(SEARCH("M",M96)))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71"/>
  <sheetViews>
    <sheetView topLeftCell="A136" zoomScale="85" zoomScaleNormal="85" workbookViewId="0">
      <pane xSplit="2" topLeftCell="C1" activePane="topRight" state="frozen"/>
      <selection activeCell="A85" sqref="A85"/>
      <selection pane="topRight" activeCell="E76" sqref="E76"/>
    </sheetView>
  </sheetViews>
  <sheetFormatPr baseColWidth="10" defaultColWidth="8.83203125" defaultRowHeight="15"/>
  <cols>
    <col min="1" max="1" width="8.1640625" style="9" bestFit="1" customWidth="1"/>
    <col min="2" max="2" width="19.6640625" style="9" bestFit="1" customWidth="1"/>
    <col min="3" max="3" width="8.83203125" style="9" bestFit="1" customWidth="1"/>
    <col min="4" max="4" width="8.83203125" style="9" customWidth="1"/>
    <col min="5" max="5" width="26.5" style="9" bestFit="1" customWidth="1"/>
    <col min="6" max="6" width="13.83203125" style="9" bestFit="1" customWidth="1"/>
    <col min="7" max="7" width="13.1640625" style="9" bestFit="1" customWidth="1"/>
    <col min="8" max="8" width="9.33203125" style="9" bestFit="1" customWidth="1"/>
    <col min="9" max="9" width="9.1640625" style="9" bestFit="1" customWidth="1"/>
    <col min="10" max="10" width="19" style="9" bestFit="1" customWidth="1"/>
    <col min="11" max="11" width="19" style="9" customWidth="1"/>
    <col min="12" max="12" width="9.33203125" style="9" customWidth="1"/>
    <col min="13" max="13" width="8.83203125" style="9"/>
    <col min="14" max="14" width="11.83203125" style="9" bestFit="1" customWidth="1"/>
    <col min="15" max="15" width="14" style="9" bestFit="1" customWidth="1"/>
    <col min="16" max="16" width="16.6640625" style="9" bestFit="1" customWidth="1"/>
    <col min="17" max="17" width="13" style="9" bestFit="1" customWidth="1"/>
    <col min="18" max="18" width="7.33203125" style="9" bestFit="1" customWidth="1"/>
    <col min="19" max="19" width="7.83203125" style="9" bestFit="1" customWidth="1"/>
    <col min="20" max="21" width="13.1640625" style="9" bestFit="1" customWidth="1"/>
    <col min="22" max="22" width="6.6640625" style="9" bestFit="1" customWidth="1"/>
    <col min="23" max="23" width="8.83203125" style="9" bestFit="1" customWidth="1"/>
    <col min="24" max="24" width="12.1640625" style="9" bestFit="1" customWidth="1"/>
    <col min="25" max="16384" width="8.83203125" style="9"/>
  </cols>
  <sheetData>
    <row r="1" spans="1:25" s="68" customFormat="1" ht="15" customHeight="1">
      <c r="A1" s="100" t="s">
        <v>2411</v>
      </c>
      <c r="B1" s="100" t="s">
        <v>0</v>
      </c>
      <c r="C1" s="100" t="s">
        <v>2225</v>
      </c>
      <c r="D1" s="100" t="s">
        <v>413</v>
      </c>
      <c r="E1" s="100" t="s">
        <v>1</v>
      </c>
      <c r="F1" s="100" t="s">
        <v>345</v>
      </c>
      <c r="G1" s="100" t="s">
        <v>344</v>
      </c>
      <c r="H1" s="100" t="s">
        <v>349</v>
      </c>
      <c r="I1" s="108" t="s">
        <v>409</v>
      </c>
      <c r="J1" s="100" t="s">
        <v>3</v>
      </c>
      <c r="K1" s="100" t="s">
        <v>3186</v>
      </c>
      <c r="L1" s="100" t="s">
        <v>346</v>
      </c>
      <c r="M1" s="100" t="s">
        <v>2560</v>
      </c>
      <c r="N1" s="100" t="s">
        <v>347</v>
      </c>
      <c r="O1" s="100" t="s">
        <v>348</v>
      </c>
      <c r="P1" s="100" t="s">
        <v>2718</v>
      </c>
      <c r="Q1" s="100" t="s">
        <v>5</v>
      </c>
      <c r="R1" s="100" t="s">
        <v>2101</v>
      </c>
      <c r="S1" s="100" t="s">
        <v>7</v>
      </c>
      <c r="T1" s="100" t="s">
        <v>1748</v>
      </c>
      <c r="U1" s="109" t="s">
        <v>1749</v>
      </c>
      <c r="V1" s="100" t="s">
        <v>9</v>
      </c>
      <c r="W1" s="100" t="s">
        <v>10</v>
      </c>
      <c r="X1" s="100" t="s">
        <v>2553</v>
      </c>
      <c r="Y1" s="110"/>
    </row>
    <row r="2" spans="1:25" ht="16">
      <c r="A2" s="162" t="s">
        <v>25</v>
      </c>
      <c r="B2" s="100" t="s">
        <v>19</v>
      </c>
      <c r="C2" s="162" t="s">
        <v>1744</v>
      </c>
      <c r="D2" s="162" t="str">
        <f>LEFT(E2,5)</f>
        <v>COFFS</v>
      </c>
      <c r="E2" s="162" t="s">
        <v>2523</v>
      </c>
      <c r="F2" s="102">
        <v>-30.011327999999999</v>
      </c>
      <c r="G2" s="99">
        <v>153.150711</v>
      </c>
      <c r="H2" s="99">
        <v>0</v>
      </c>
      <c r="I2" s="164">
        <v>42866</v>
      </c>
      <c r="J2" s="162" t="s">
        <v>2097</v>
      </c>
      <c r="K2" s="162" t="s">
        <v>831</v>
      </c>
      <c r="L2" s="162" t="s">
        <v>2554</v>
      </c>
      <c r="M2" s="162" t="s">
        <v>2750</v>
      </c>
      <c r="N2" s="162" t="s">
        <v>2874</v>
      </c>
      <c r="O2" s="162" t="s">
        <v>2647</v>
      </c>
      <c r="P2" s="162" t="s">
        <v>2721</v>
      </c>
      <c r="Q2" s="162" t="s">
        <v>2716</v>
      </c>
      <c r="R2" s="162" t="s">
        <v>2712</v>
      </c>
      <c r="S2" s="162">
        <v>9.06E-2</v>
      </c>
      <c r="T2" s="162">
        <v>6.7166000000000003E-2</v>
      </c>
      <c r="U2" s="99">
        <f t="shared" ref="U2:U33" si="0">S2-T2</f>
        <v>2.3433999999999996E-2</v>
      </c>
      <c r="V2" s="162">
        <v>6.5970000000000004</v>
      </c>
      <c r="W2" s="162">
        <f>10.427+3.853+4.228</f>
        <v>18.507999999999999</v>
      </c>
      <c r="X2" s="162">
        <f t="shared" ref="X2:X33" si="1">V2*W2</f>
        <v>122.09727600000001</v>
      </c>
      <c r="Y2" s="101"/>
    </row>
    <row r="3" spans="1:25" ht="16">
      <c r="A3" s="162" t="s">
        <v>25</v>
      </c>
      <c r="B3" s="100" t="s">
        <v>21</v>
      </c>
      <c r="C3" s="162" t="s">
        <v>1744</v>
      </c>
      <c r="D3" s="162" t="str">
        <f t="shared" ref="D3:D66" si="2">LEFT(E3,5)</f>
        <v>COFFS</v>
      </c>
      <c r="E3" s="162" t="s">
        <v>2521</v>
      </c>
      <c r="F3" s="105">
        <v>-29.997240000000001</v>
      </c>
      <c r="G3" s="99">
        <v>153.14993100000001</v>
      </c>
      <c r="H3" s="99">
        <v>0</v>
      </c>
      <c r="I3" s="164">
        <v>42866</v>
      </c>
      <c r="J3" s="162" t="s">
        <v>2785</v>
      </c>
      <c r="K3" s="162" t="s">
        <v>831</v>
      </c>
      <c r="L3" s="162" t="s">
        <v>2554</v>
      </c>
      <c r="M3" s="162" t="s">
        <v>2561</v>
      </c>
      <c r="N3" s="162" t="s">
        <v>2717</v>
      </c>
      <c r="O3" s="162" t="s">
        <v>2717</v>
      </c>
      <c r="P3" s="162" t="s">
        <v>36</v>
      </c>
      <c r="Q3" s="162" t="s">
        <v>2746</v>
      </c>
      <c r="R3" s="162" t="s">
        <v>2712</v>
      </c>
      <c r="S3" s="162">
        <v>6.8199999999999997E-2</v>
      </c>
      <c r="T3" s="162">
        <v>6.7166000000000003E-2</v>
      </c>
      <c r="U3" s="99">
        <f t="shared" si="0"/>
        <v>1.0339999999999933E-3</v>
      </c>
      <c r="V3" s="162">
        <v>1.6879999999999999</v>
      </c>
      <c r="W3" s="162">
        <f>3.092+3.841+3.952</f>
        <v>10.885</v>
      </c>
      <c r="X3" s="162">
        <f t="shared" si="1"/>
        <v>18.37388</v>
      </c>
      <c r="Y3" s="101"/>
    </row>
    <row r="4" spans="1:25" ht="16">
      <c r="A4" s="162" t="s">
        <v>25</v>
      </c>
      <c r="B4" s="100" t="s">
        <v>22</v>
      </c>
      <c r="C4" s="162" t="s">
        <v>1744</v>
      </c>
      <c r="D4" s="162" t="str">
        <f t="shared" si="2"/>
        <v>COFFS</v>
      </c>
      <c r="E4" s="162" t="s">
        <v>2522</v>
      </c>
      <c r="F4" s="102">
        <v>-29.943010999999998</v>
      </c>
      <c r="G4" s="99">
        <v>153.12657400000001</v>
      </c>
      <c r="H4" s="99">
        <v>0</v>
      </c>
      <c r="I4" s="164">
        <v>42866</v>
      </c>
      <c r="J4" s="162" t="s">
        <v>2785</v>
      </c>
      <c r="K4" s="162" t="s">
        <v>831</v>
      </c>
      <c r="L4" s="162" t="s">
        <v>2554</v>
      </c>
      <c r="M4" s="162" t="s">
        <v>2750</v>
      </c>
      <c r="N4" s="162" t="s">
        <v>2754</v>
      </c>
      <c r="O4" s="162" t="s">
        <v>2751</v>
      </c>
      <c r="P4" s="162" t="s">
        <v>2751</v>
      </c>
      <c r="Q4" s="162" t="s">
        <v>2752</v>
      </c>
      <c r="R4" s="162" t="s">
        <v>2713</v>
      </c>
      <c r="S4" s="162">
        <v>6.9900000000000004E-2</v>
      </c>
      <c r="T4" s="162">
        <v>6.7166000000000003E-2</v>
      </c>
      <c r="U4" s="99">
        <f t="shared" si="0"/>
        <v>2.7340000000000003E-3</v>
      </c>
      <c r="V4" s="162">
        <v>2.206</v>
      </c>
      <c r="W4" s="162">
        <f>11.391+2.637</f>
        <v>14.028</v>
      </c>
      <c r="X4" s="162">
        <f t="shared" si="1"/>
        <v>30.945768000000001</v>
      </c>
      <c r="Y4" s="101"/>
    </row>
    <row r="5" spans="1:25" ht="16">
      <c r="A5" s="162" t="s">
        <v>25</v>
      </c>
      <c r="B5" s="100" t="s">
        <v>24</v>
      </c>
      <c r="C5" s="162" t="s">
        <v>1744</v>
      </c>
      <c r="D5" s="162" t="str">
        <f t="shared" si="2"/>
        <v>COFFS</v>
      </c>
      <c r="E5" s="162" t="s">
        <v>2524</v>
      </c>
      <c r="F5" s="102">
        <v>-30.002158999999999</v>
      </c>
      <c r="G5" s="99">
        <v>153.14892399999999</v>
      </c>
      <c r="H5" s="99">
        <v>0</v>
      </c>
      <c r="I5" s="164">
        <v>42866</v>
      </c>
      <c r="J5" s="162" t="s">
        <v>2786</v>
      </c>
      <c r="K5" s="162" t="s">
        <v>831</v>
      </c>
      <c r="L5" s="162" t="s">
        <v>2554</v>
      </c>
      <c r="M5" s="162" t="s">
        <v>2750</v>
      </c>
      <c r="N5" s="162" t="s">
        <v>2874</v>
      </c>
      <c r="O5" s="162" t="s">
        <v>2647</v>
      </c>
      <c r="P5" s="162" t="s">
        <v>2721</v>
      </c>
      <c r="Q5" s="162" t="s">
        <v>2716</v>
      </c>
      <c r="R5" s="162" t="s">
        <v>2712</v>
      </c>
      <c r="S5" s="162">
        <v>8.8099999999999998E-2</v>
      </c>
      <c r="T5" s="162">
        <v>6.7166000000000003E-2</v>
      </c>
      <c r="U5" s="99">
        <f t="shared" si="0"/>
        <v>2.0933999999999994E-2</v>
      </c>
      <c r="V5" s="162">
        <v>5.8769999999999998</v>
      </c>
      <c r="W5" s="162">
        <f>9.743+3.414+3.746</f>
        <v>16.902999999999999</v>
      </c>
      <c r="X5" s="162">
        <f t="shared" si="1"/>
        <v>99.338930999999988</v>
      </c>
      <c r="Y5" s="101"/>
    </row>
    <row r="6" spans="1:25" ht="16">
      <c r="A6" s="162" t="s">
        <v>25</v>
      </c>
      <c r="B6" s="100" t="s">
        <v>28</v>
      </c>
      <c r="C6" s="162" t="s">
        <v>1744</v>
      </c>
      <c r="D6" s="162" t="str">
        <f t="shared" si="2"/>
        <v>COFFS</v>
      </c>
      <c r="E6" s="162" t="s">
        <v>2521</v>
      </c>
      <c r="F6" s="105">
        <v>-29.997240000000001</v>
      </c>
      <c r="G6" s="99">
        <v>153.14993100000001</v>
      </c>
      <c r="H6" s="99">
        <v>0</v>
      </c>
      <c r="I6" s="164">
        <v>42870</v>
      </c>
      <c r="J6" s="162" t="s">
        <v>2785</v>
      </c>
      <c r="K6" s="162" t="s">
        <v>831</v>
      </c>
      <c r="L6" s="162" t="s">
        <v>2554</v>
      </c>
      <c r="M6" s="162" t="s">
        <v>2561</v>
      </c>
      <c r="N6" s="162" t="s">
        <v>2717</v>
      </c>
      <c r="O6" s="162" t="s">
        <v>2717</v>
      </c>
      <c r="P6" s="162" t="s">
        <v>36</v>
      </c>
      <c r="Q6" s="162" t="s">
        <v>2746</v>
      </c>
      <c r="R6" s="162" t="s">
        <v>2713</v>
      </c>
      <c r="S6" s="162">
        <v>6.8400000000000002E-2</v>
      </c>
      <c r="T6" s="162">
        <v>6.7166000000000003E-2</v>
      </c>
      <c r="U6" s="99">
        <f t="shared" si="0"/>
        <v>1.233999999999999E-3</v>
      </c>
      <c r="V6" s="162">
        <v>2.3879999999999999</v>
      </c>
      <c r="W6" s="162">
        <f>4.655+6.31</f>
        <v>10.965</v>
      </c>
      <c r="X6" s="162">
        <f t="shared" si="1"/>
        <v>26.184419999999999</v>
      </c>
      <c r="Y6" s="101"/>
    </row>
    <row r="7" spans="1:25" ht="16">
      <c r="A7" s="162" t="s">
        <v>25</v>
      </c>
      <c r="B7" s="100" t="s">
        <v>29</v>
      </c>
      <c r="C7" s="162" t="s">
        <v>1744</v>
      </c>
      <c r="D7" s="162" t="str">
        <f t="shared" si="2"/>
        <v>COFFS</v>
      </c>
      <c r="E7" s="162" t="s">
        <v>2521</v>
      </c>
      <c r="F7" s="105">
        <v>-29.997240000000001</v>
      </c>
      <c r="G7" s="99">
        <v>153.14993100000001</v>
      </c>
      <c r="H7" s="99">
        <v>0</v>
      </c>
      <c r="I7" s="164">
        <v>42870</v>
      </c>
      <c r="J7" s="162" t="s">
        <v>2785</v>
      </c>
      <c r="K7" s="162" t="s">
        <v>831</v>
      </c>
      <c r="L7" s="162" t="s">
        <v>2554</v>
      </c>
      <c r="M7" s="162" t="s">
        <v>2561</v>
      </c>
      <c r="N7" s="162" t="s">
        <v>2717</v>
      </c>
      <c r="O7" s="162" t="s">
        <v>2720</v>
      </c>
      <c r="P7" s="162" t="s">
        <v>2719</v>
      </c>
      <c r="Q7" s="162" t="s">
        <v>2722</v>
      </c>
      <c r="R7" s="162" t="s">
        <v>2713</v>
      </c>
      <c r="S7" s="162">
        <v>6.8599999999999994E-2</v>
      </c>
      <c r="T7" s="162">
        <v>6.7166000000000003E-2</v>
      </c>
      <c r="U7" s="99">
        <f t="shared" si="0"/>
        <v>1.4339999999999908E-3</v>
      </c>
      <c r="V7" s="162">
        <v>2.8149999999999999</v>
      </c>
      <c r="W7" s="162">
        <f>5.013+8.004</f>
        <v>13.016999999999999</v>
      </c>
      <c r="X7" s="162">
        <f t="shared" si="1"/>
        <v>36.642854999999997</v>
      </c>
      <c r="Y7" s="101"/>
    </row>
    <row r="8" spans="1:25" ht="16">
      <c r="A8" s="162" t="s">
        <v>25</v>
      </c>
      <c r="B8" s="100" t="s">
        <v>33</v>
      </c>
      <c r="C8" s="162" t="s">
        <v>1744</v>
      </c>
      <c r="D8" s="162" t="str">
        <f t="shared" si="2"/>
        <v>COFFS</v>
      </c>
      <c r="E8" s="162" t="s">
        <v>2526</v>
      </c>
      <c r="F8" s="102">
        <v>-29.988371999999998</v>
      </c>
      <c r="G8" s="99">
        <v>153.140602</v>
      </c>
      <c r="H8" s="99">
        <v>0</v>
      </c>
      <c r="I8" s="164">
        <v>42866</v>
      </c>
      <c r="J8" s="162" t="s">
        <v>34</v>
      </c>
      <c r="K8" s="162" t="s">
        <v>831</v>
      </c>
      <c r="L8" s="162" t="s">
        <v>2554</v>
      </c>
      <c r="M8" s="162" t="s">
        <v>2561</v>
      </c>
      <c r="N8" s="162" t="s">
        <v>2717</v>
      </c>
      <c r="O8" s="162" t="s">
        <v>2717</v>
      </c>
      <c r="P8" s="162" t="s">
        <v>36</v>
      </c>
      <c r="Q8" s="162" t="s">
        <v>2746</v>
      </c>
      <c r="R8" s="162" t="s">
        <v>2713</v>
      </c>
      <c r="S8" s="162">
        <v>6.8199999999999997E-2</v>
      </c>
      <c r="T8" s="162">
        <v>6.7166000000000003E-2</v>
      </c>
      <c r="U8" s="99">
        <f t="shared" si="0"/>
        <v>1.0339999999999933E-3</v>
      </c>
      <c r="V8" s="162">
        <v>2.0840000000000001</v>
      </c>
      <c r="W8" s="162">
        <f>3.905+5.1856</f>
        <v>9.0906000000000002</v>
      </c>
      <c r="X8" s="162">
        <f t="shared" si="1"/>
        <v>18.944810400000001</v>
      </c>
      <c r="Y8" s="101"/>
    </row>
    <row r="9" spans="1:25" ht="16">
      <c r="A9" s="162" t="s">
        <v>25</v>
      </c>
      <c r="B9" s="100" t="s">
        <v>39</v>
      </c>
      <c r="C9" s="162" t="s">
        <v>1744</v>
      </c>
      <c r="D9" s="162" t="str">
        <f t="shared" si="2"/>
        <v>COFFS</v>
      </c>
      <c r="E9" s="162" t="s">
        <v>2521</v>
      </c>
      <c r="F9" s="105">
        <v>-29.997240000000001</v>
      </c>
      <c r="G9" s="99">
        <v>153.14993100000001</v>
      </c>
      <c r="H9" s="99">
        <v>0</v>
      </c>
      <c r="I9" s="164">
        <v>42866</v>
      </c>
      <c r="J9" s="162" t="s">
        <v>2785</v>
      </c>
      <c r="K9" s="162" t="s">
        <v>831</v>
      </c>
      <c r="L9" s="162" t="s">
        <v>2554</v>
      </c>
      <c r="M9" s="162" t="s">
        <v>2561</v>
      </c>
      <c r="N9" s="162" t="s">
        <v>2717</v>
      </c>
      <c r="O9" s="162" t="s">
        <v>2720</v>
      </c>
      <c r="P9" s="162" t="s">
        <v>2719</v>
      </c>
      <c r="Q9" s="162" t="s">
        <v>2722</v>
      </c>
      <c r="R9" s="162" t="s">
        <v>2712</v>
      </c>
      <c r="S9" s="162">
        <v>7.3700000000000002E-2</v>
      </c>
      <c r="T9" s="162">
        <v>6.7166000000000003E-2</v>
      </c>
      <c r="U9" s="99">
        <f t="shared" si="0"/>
        <v>6.5339999999999981E-3</v>
      </c>
      <c r="V9" s="162">
        <v>4.093</v>
      </c>
      <c r="W9" s="162">
        <f>5.949+9.678</f>
        <v>15.627000000000001</v>
      </c>
      <c r="X9" s="162">
        <f t="shared" si="1"/>
        <v>63.961311000000002</v>
      </c>
      <c r="Y9" s="101"/>
    </row>
    <row r="10" spans="1:25" ht="16">
      <c r="A10" s="162" t="s">
        <v>25</v>
      </c>
      <c r="B10" s="100" t="s">
        <v>40</v>
      </c>
      <c r="C10" s="162" t="s">
        <v>1744</v>
      </c>
      <c r="D10" s="162" t="str">
        <f t="shared" si="2"/>
        <v>COFFS</v>
      </c>
      <c r="E10" s="162" t="s">
        <v>2523</v>
      </c>
      <c r="F10" s="102">
        <v>-30.011327999999999</v>
      </c>
      <c r="G10" s="99">
        <v>153.150711</v>
      </c>
      <c r="H10" s="99">
        <v>0</v>
      </c>
      <c r="I10" s="164">
        <v>42866</v>
      </c>
      <c r="J10" s="162" t="s">
        <v>2097</v>
      </c>
      <c r="K10" s="162" t="s">
        <v>831</v>
      </c>
      <c r="L10" s="162" t="s">
        <v>2554</v>
      </c>
      <c r="M10" s="162" t="s">
        <v>2750</v>
      </c>
      <c r="N10" s="162" t="s">
        <v>2874</v>
      </c>
      <c r="O10" s="162" t="s">
        <v>2647</v>
      </c>
      <c r="P10" s="162" t="s">
        <v>36</v>
      </c>
      <c r="Q10" s="162" t="s">
        <v>2716</v>
      </c>
      <c r="R10" s="162" t="s">
        <v>2713</v>
      </c>
      <c r="S10" s="162">
        <v>9.8199999999999996E-2</v>
      </c>
      <c r="T10" s="162">
        <v>6.7166000000000003E-2</v>
      </c>
      <c r="U10" s="99">
        <f t="shared" si="0"/>
        <v>3.1033999999999992E-2</v>
      </c>
      <c r="V10" s="162">
        <v>6.1269999999999998</v>
      </c>
      <c r="W10" s="162">
        <f>13.131+6.134</f>
        <v>19.265000000000001</v>
      </c>
      <c r="X10" s="162">
        <f t="shared" si="1"/>
        <v>118.036655</v>
      </c>
      <c r="Y10" s="101"/>
    </row>
    <row r="11" spans="1:25" ht="16">
      <c r="A11" s="162" t="s">
        <v>25</v>
      </c>
      <c r="B11" s="100" t="s">
        <v>47</v>
      </c>
      <c r="C11" s="162" t="s">
        <v>1744</v>
      </c>
      <c r="D11" s="162" t="str">
        <f t="shared" si="2"/>
        <v>COFFS</v>
      </c>
      <c r="E11" s="162" t="s">
        <v>2523</v>
      </c>
      <c r="F11" s="102">
        <v>-30.011327999999999</v>
      </c>
      <c r="G11" s="99">
        <v>153.150711</v>
      </c>
      <c r="H11" s="99">
        <v>0</v>
      </c>
      <c r="I11" s="164">
        <v>42866</v>
      </c>
      <c r="J11" s="162" t="s">
        <v>2097</v>
      </c>
      <c r="K11" s="162" t="s">
        <v>831</v>
      </c>
      <c r="L11" s="162" t="s">
        <v>2554</v>
      </c>
      <c r="M11" s="162" t="s">
        <v>2750</v>
      </c>
      <c r="N11" s="162" t="s">
        <v>2874</v>
      </c>
      <c r="O11" s="162" t="s">
        <v>2647</v>
      </c>
      <c r="P11" s="162" t="s">
        <v>36</v>
      </c>
      <c r="Q11" s="162" t="s">
        <v>2716</v>
      </c>
      <c r="R11" s="162" t="s">
        <v>2712</v>
      </c>
      <c r="S11" s="162">
        <v>9.2100000000000001E-2</v>
      </c>
      <c r="T11" s="162">
        <v>6.7166000000000003E-2</v>
      </c>
      <c r="U11" s="99">
        <f t="shared" si="0"/>
        <v>2.4933999999999998E-2</v>
      </c>
      <c r="V11" s="162">
        <v>6.2050000000000001</v>
      </c>
      <c r="W11" s="162">
        <f>10.732+4.451+4.587</f>
        <v>19.77</v>
      </c>
      <c r="X11" s="162">
        <f t="shared" si="1"/>
        <v>122.67285</v>
      </c>
      <c r="Y11" s="101"/>
    </row>
    <row r="12" spans="1:25" ht="16">
      <c r="A12" s="162" t="s">
        <v>25</v>
      </c>
      <c r="B12" s="100" t="s">
        <v>49</v>
      </c>
      <c r="C12" s="162" t="s">
        <v>1744</v>
      </c>
      <c r="D12" s="162" t="str">
        <f t="shared" si="2"/>
        <v>COFFS</v>
      </c>
      <c r="E12" s="162" t="s">
        <v>2521</v>
      </c>
      <c r="F12" s="105">
        <v>-29.997240000000001</v>
      </c>
      <c r="G12" s="99">
        <v>153.14993100000001</v>
      </c>
      <c r="H12" s="99">
        <v>0</v>
      </c>
      <c r="I12" s="164">
        <v>42866</v>
      </c>
      <c r="J12" s="162" t="s">
        <v>2785</v>
      </c>
      <c r="K12" s="162" t="s">
        <v>831</v>
      </c>
      <c r="L12" s="162" t="s">
        <v>2554</v>
      </c>
      <c r="M12" s="162" t="s">
        <v>2561</v>
      </c>
      <c r="N12" s="162" t="s">
        <v>2717</v>
      </c>
      <c r="O12" s="162" t="s">
        <v>2717</v>
      </c>
      <c r="P12" s="162" t="s">
        <v>36</v>
      </c>
      <c r="Q12" s="162" t="s">
        <v>2746</v>
      </c>
      <c r="R12" s="162" t="s">
        <v>2712</v>
      </c>
      <c r="S12" s="162">
        <v>7.0000000000000007E-2</v>
      </c>
      <c r="T12" s="162">
        <v>6.7166000000000003E-2</v>
      </c>
      <c r="U12" s="99">
        <f t="shared" si="0"/>
        <v>2.8340000000000032E-3</v>
      </c>
      <c r="V12" s="162">
        <v>2.258</v>
      </c>
      <c r="W12" s="162">
        <f>3.369+3.171+4.471</f>
        <v>11.010999999999999</v>
      </c>
      <c r="X12" s="162">
        <f t="shared" si="1"/>
        <v>24.862838</v>
      </c>
      <c r="Y12" s="101"/>
    </row>
    <row r="13" spans="1:25" ht="16">
      <c r="A13" s="162" t="s">
        <v>25</v>
      </c>
      <c r="B13" s="100" t="s">
        <v>50</v>
      </c>
      <c r="C13" s="162" t="s">
        <v>1744</v>
      </c>
      <c r="D13" s="162" t="str">
        <f t="shared" si="2"/>
        <v>COFFS</v>
      </c>
      <c r="E13" s="162" t="s">
        <v>2521</v>
      </c>
      <c r="F13" s="105">
        <v>-29.997240000000001</v>
      </c>
      <c r="G13" s="99">
        <v>153.14993100000001</v>
      </c>
      <c r="H13" s="99">
        <v>0</v>
      </c>
      <c r="I13" s="164">
        <v>42866</v>
      </c>
      <c r="J13" s="162" t="s">
        <v>2785</v>
      </c>
      <c r="K13" s="162" t="s">
        <v>831</v>
      </c>
      <c r="L13" s="162" t="s">
        <v>2554</v>
      </c>
      <c r="M13" s="162" t="s">
        <v>2561</v>
      </c>
      <c r="N13" s="162" t="s">
        <v>2717</v>
      </c>
      <c r="O13" s="162" t="s">
        <v>2720</v>
      </c>
      <c r="P13" s="162" t="s">
        <v>2719</v>
      </c>
      <c r="Q13" s="162" t="s">
        <v>2722</v>
      </c>
      <c r="R13" s="162" t="s">
        <v>2713</v>
      </c>
      <c r="S13" s="162">
        <v>7.3099999999999998E-2</v>
      </c>
      <c r="T13" s="162">
        <v>6.7166000000000003E-2</v>
      </c>
      <c r="U13" s="99">
        <f t="shared" si="0"/>
        <v>5.9339999999999948E-3</v>
      </c>
      <c r="V13" s="162">
        <v>3.4329999999999998</v>
      </c>
      <c r="W13" s="162">
        <f>4.708+8.646</f>
        <v>13.354000000000001</v>
      </c>
      <c r="X13" s="162">
        <f t="shared" si="1"/>
        <v>45.844282</v>
      </c>
      <c r="Y13" s="101"/>
    </row>
    <row r="14" spans="1:25" ht="16">
      <c r="A14" s="162" t="s">
        <v>25</v>
      </c>
      <c r="B14" s="100" t="s">
        <v>53</v>
      </c>
      <c r="C14" s="162" t="s">
        <v>1744</v>
      </c>
      <c r="D14" s="162" t="str">
        <f t="shared" si="2"/>
        <v>COFFS</v>
      </c>
      <c r="E14" s="162" t="s">
        <v>2524</v>
      </c>
      <c r="F14" s="102">
        <v>-30.002158999999999</v>
      </c>
      <c r="G14" s="99">
        <v>153.14892399999999</v>
      </c>
      <c r="H14" s="99">
        <v>0</v>
      </c>
      <c r="I14" s="164">
        <v>42866</v>
      </c>
      <c r="J14" s="162" t="s">
        <v>2786</v>
      </c>
      <c r="K14" s="162" t="s">
        <v>831</v>
      </c>
      <c r="L14" s="162" t="s">
        <v>2554</v>
      </c>
      <c r="M14" s="162" t="s">
        <v>2750</v>
      </c>
      <c r="N14" s="162" t="s">
        <v>2874</v>
      </c>
      <c r="O14" s="162" t="s">
        <v>2647</v>
      </c>
      <c r="P14" s="162" t="s">
        <v>36</v>
      </c>
      <c r="Q14" s="162" t="s">
        <v>2716</v>
      </c>
      <c r="R14" s="162" t="s">
        <v>2712</v>
      </c>
      <c r="S14" s="162">
        <v>8.7400000000000005E-2</v>
      </c>
      <c r="T14" s="162">
        <v>6.7166000000000003E-2</v>
      </c>
      <c r="U14" s="99">
        <f t="shared" si="0"/>
        <v>2.0234000000000002E-2</v>
      </c>
      <c r="V14" s="162">
        <v>6.2030000000000003</v>
      </c>
      <c r="W14" s="162">
        <f>4.367+14.624</f>
        <v>18.991</v>
      </c>
      <c r="X14" s="162">
        <f t="shared" si="1"/>
        <v>117.80117300000001</v>
      </c>
      <c r="Y14" s="101"/>
    </row>
    <row r="15" spans="1:25" ht="16">
      <c r="A15" s="162" t="s">
        <v>25</v>
      </c>
      <c r="B15" s="100" t="s">
        <v>58</v>
      </c>
      <c r="C15" s="162" t="s">
        <v>1744</v>
      </c>
      <c r="D15" s="162" t="str">
        <f t="shared" si="2"/>
        <v>COFFS</v>
      </c>
      <c r="E15" s="162" t="s">
        <v>2521</v>
      </c>
      <c r="F15" s="105">
        <v>-29.997240000000001</v>
      </c>
      <c r="G15" s="99">
        <v>153.14993100000001</v>
      </c>
      <c r="H15" s="99">
        <v>0</v>
      </c>
      <c r="I15" s="164">
        <v>42866</v>
      </c>
      <c r="J15" s="162" t="s">
        <v>2785</v>
      </c>
      <c r="K15" s="162" t="s">
        <v>831</v>
      </c>
      <c r="L15" s="162" t="s">
        <v>2554</v>
      </c>
      <c r="M15" s="162" t="s">
        <v>2561</v>
      </c>
      <c r="N15" s="162" t="s">
        <v>2717</v>
      </c>
      <c r="O15" s="162" t="s">
        <v>2720</v>
      </c>
      <c r="P15" s="162" t="s">
        <v>2719</v>
      </c>
      <c r="Q15" s="162" t="s">
        <v>2722</v>
      </c>
      <c r="R15" s="162" t="s">
        <v>2713</v>
      </c>
      <c r="S15" s="162">
        <v>7.1099999999999997E-2</v>
      </c>
      <c r="T15" s="162">
        <v>6.7166000000000003E-2</v>
      </c>
      <c r="U15" s="99">
        <f t="shared" si="0"/>
        <v>3.9339999999999931E-3</v>
      </c>
      <c r="V15" s="162">
        <v>3.7730000000000001</v>
      </c>
      <c r="W15" s="162">
        <f>5.668+9.189</f>
        <v>14.856999999999999</v>
      </c>
      <c r="X15" s="162">
        <f t="shared" si="1"/>
        <v>56.055461000000001</v>
      </c>
      <c r="Y15" s="101"/>
    </row>
    <row r="16" spans="1:25" ht="16">
      <c r="A16" s="162" t="s">
        <v>25</v>
      </c>
      <c r="B16" s="100" t="s">
        <v>60</v>
      </c>
      <c r="C16" s="162" t="s">
        <v>1744</v>
      </c>
      <c r="D16" s="162" t="str">
        <f t="shared" si="2"/>
        <v>COFFS</v>
      </c>
      <c r="E16" s="162" t="s">
        <v>2531</v>
      </c>
      <c r="F16" s="102">
        <v>-29.999849000000001</v>
      </c>
      <c r="G16" s="99">
        <v>153.13921999999999</v>
      </c>
      <c r="H16" s="99">
        <v>0</v>
      </c>
      <c r="I16" s="164">
        <v>42866</v>
      </c>
      <c r="J16" s="162" t="s">
        <v>2785</v>
      </c>
      <c r="K16" s="162" t="s">
        <v>831</v>
      </c>
      <c r="L16" s="162" t="s">
        <v>2554</v>
      </c>
      <c r="M16" s="162" t="s">
        <v>2561</v>
      </c>
      <c r="N16" s="162" t="s">
        <v>2717</v>
      </c>
      <c r="O16" s="162" t="s">
        <v>2717</v>
      </c>
      <c r="P16" s="162" t="s">
        <v>36</v>
      </c>
      <c r="Q16" s="162" t="s">
        <v>2746</v>
      </c>
      <c r="R16" s="162" t="s">
        <v>2712</v>
      </c>
      <c r="S16" s="162">
        <v>6.9400000000000003E-2</v>
      </c>
      <c r="T16" s="162">
        <v>6.7166000000000003E-2</v>
      </c>
      <c r="U16" s="99">
        <f t="shared" si="0"/>
        <v>2.2339999999999999E-3</v>
      </c>
      <c r="V16" s="162">
        <v>2.069</v>
      </c>
      <c r="W16" s="162">
        <f>3.086+1.525+5.726</f>
        <v>10.337</v>
      </c>
      <c r="X16" s="162">
        <f t="shared" si="1"/>
        <v>21.387252999999998</v>
      </c>
      <c r="Y16" s="101"/>
    </row>
    <row r="17" spans="1:25" ht="16">
      <c r="A17" s="162" t="s">
        <v>25</v>
      </c>
      <c r="B17" s="100" t="s">
        <v>61</v>
      </c>
      <c r="C17" s="162" t="s">
        <v>1744</v>
      </c>
      <c r="D17" s="162" t="str">
        <f t="shared" si="2"/>
        <v>COFFS</v>
      </c>
      <c r="E17" s="162" t="s">
        <v>2531</v>
      </c>
      <c r="F17" s="102">
        <v>-29.999849000000001</v>
      </c>
      <c r="G17" s="99">
        <v>153.13921999999999</v>
      </c>
      <c r="H17" s="99">
        <v>0</v>
      </c>
      <c r="I17" s="164">
        <v>42866</v>
      </c>
      <c r="J17" s="162" t="s">
        <v>2785</v>
      </c>
      <c r="K17" s="162" t="s">
        <v>831</v>
      </c>
      <c r="L17" s="162" t="s">
        <v>2554</v>
      </c>
      <c r="M17" s="162" t="s">
        <v>2561</v>
      </c>
      <c r="N17" s="162" t="s">
        <v>2717</v>
      </c>
      <c r="O17" s="162" t="s">
        <v>2717</v>
      </c>
      <c r="P17" s="162" t="s">
        <v>36</v>
      </c>
      <c r="Q17" s="162" t="s">
        <v>2746</v>
      </c>
      <c r="R17" s="162" t="s">
        <v>2712</v>
      </c>
      <c r="S17" s="162">
        <v>6.8199999999999997E-2</v>
      </c>
      <c r="T17" s="162">
        <v>6.7166000000000003E-2</v>
      </c>
      <c r="U17" s="99">
        <f t="shared" si="0"/>
        <v>1.0339999999999933E-3</v>
      </c>
      <c r="V17" s="162">
        <v>1.855</v>
      </c>
      <c r="W17" s="162">
        <f>4.8038+6.7154</f>
        <v>11.5192</v>
      </c>
      <c r="X17" s="162">
        <f t="shared" si="1"/>
        <v>21.368116000000001</v>
      </c>
      <c r="Y17" s="101"/>
    </row>
    <row r="18" spans="1:25" ht="16">
      <c r="A18" s="162" t="s">
        <v>25</v>
      </c>
      <c r="B18" s="100" t="s">
        <v>67</v>
      </c>
      <c r="C18" s="162" t="s">
        <v>1744</v>
      </c>
      <c r="D18" s="162" t="str">
        <f t="shared" si="2"/>
        <v>COFFS</v>
      </c>
      <c r="E18" s="162" t="s">
        <v>2522</v>
      </c>
      <c r="F18" s="102">
        <v>-29.943010999999998</v>
      </c>
      <c r="G18" s="99">
        <v>153.12657400000001</v>
      </c>
      <c r="H18" s="99">
        <v>0</v>
      </c>
      <c r="I18" s="164">
        <v>42871</v>
      </c>
      <c r="J18" s="162" t="s">
        <v>2785</v>
      </c>
      <c r="K18" s="162" t="s">
        <v>831</v>
      </c>
      <c r="L18" s="162" t="s">
        <v>2554</v>
      </c>
      <c r="M18" s="162" t="s">
        <v>2561</v>
      </c>
      <c r="N18" s="162" t="s">
        <v>2717</v>
      </c>
      <c r="O18" s="162" t="s">
        <v>2720</v>
      </c>
      <c r="P18" s="162" t="s">
        <v>2719</v>
      </c>
      <c r="Q18" s="162" t="s">
        <v>2722</v>
      </c>
      <c r="R18" s="162" t="s">
        <v>2713</v>
      </c>
      <c r="S18" s="162">
        <v>4.3999999999999997E-2</v>
      </c>
      <c r="T18" s="162">
        <v>3.8671999999999984E-2</v>
      </c>
      <c r="U18" s="99">
        <f t="shared" si="0"/>
        <v>5.3280000000000133E-3</v>
      </c>
      <c r="V18" s="162">
        <v>3.1269999999999998</v>
      </c>
      <c r="W18" s="162">
        <f>6.557+6.042</f>
        <v>12.599</v>
      </c>
      <c r="X18" s="162">
        <f t="shared" si="1"/>
        <v>39.397072999999999</v>
      </c>
      <c r="Y18" s="101"/>
    </row>
    <row r="19" spans="1:25" ht="16">
      <c r="A19" s="162" t="s">
        <v>25</v>
      </c>
      <c r="B19" s="100" t="s">
        <v>78</v>
      </c>
      <c r="C19" s="162" t="s">
        <v>1744</v>
      </c>
      <c r="D19" s="162" t="str">
        <f t="shared" si="2"/>
        <v>COFFS</v>
      </c>
      <c r="E19" s="162" t="s">
        <v>2523</v>
      </c>
      <c r="F19" s="102">
        <v>-30.011327999999999</v>
      </c>
      <c r="G19" s="99">
        <v>153.150711</v>
      </c>
      <c r="H19" s="99">
        <v>0</v>
      </c>
      <c r="I19" s="164">
        <v>42871</v>
      </c>
      <c r="J19" s="162" t="s">
        <v>2097</v>
      </c>
      <c r="K19" s="162" t="s">
        <v>831</v>
      </c>
      <c r="L19" s="162" t="s">
        <v>2554</v>
      </c>
      <c r="M19" s="162" t="s">
        <v>2750</v>
      </c>
      <c r="N19" s="162" t="s">
        <v>2874</v>
      </c>
      <c r="O19" s="162" t="s">
        <v>2647</v>
      </c>
      <c r="P19" s="162" t="s">
        <v>36</v>
      </c>
      <c r="Q19" s="162" t="s">
        <v>2716</v>
      </c>
      <c r="R19" s="162" t="s">
        <v>2712</v>
      </c>
      <c r="S19" s="162">
        <v>9.4700000000000006E-2</v>
      </c>
      <c r="T19" s="162">
        <v>6.7166000000000003E-2</v>
      </c>
      <c r="U19" s="99">
        <f t="shared" si="0"/>
        <v>2.7534000000000003E-2</v>
      </c>
      <c r="V19" s="162">
        <v>6.1909999999999998</v>
      </c>
      <c r="W19" s="162">
        <f>10.057+3.311+2.297+2.837</f>
        <v>18.502000000000002</v>
      </c>
      <c r="X19" s="162">
        <f t="shared" si="1"/>
        <v>114.54588200000001</v>
      </c>
      <c r="Y19" s="101"/>
    </row>
    <row r="20" spans="1:25" ht="16">
      <c r="A20" s="162" t="s">
        <v>25</v>
      </c>
      <c r="B20" s="100" t="s">
        <v>81</v>
      </c>
      <c r="C20" s="162" t="s">
        <v>1744</v>
      </c>
      <c r="D20" s="162" t="str">
        <f t="shared" si="2"/>
        <v>COFFS</v>
      </c>
      <c r="E20" s="162" t="s">
        <v>2522</v>
      </c>
      <c r="F20" s="102">
        <v>-29.943010999999998</v>
      </c>
      <c r="G20" s="99">
        <v>153.12657400000001</v>
      </c>
      <c r="H20" s="99">
        <v>0</v>
      </c>
      <c r="I20" s="164">
        <v>42871</v>
      </c>
      <c r="J20" s="162" t="s">
        <v>2785</v>
      </c>
      <c r="K20" s="162" t="s">
        <v>831</v>
      </c>
      <c r="L20" s="162" t="s">
        <v>2554</v>
      </c>
      <c r="M20" s="162" t="s">
        <v>2561</v>
      </c>
      <c r="N20" s="162" t="s">
        <v>2717</v>
      </c>
      <c r="O20" s="162" t="s">
        <v>2725</v>
      </c>
      <c r="P20" s="162" t="s">
        <v>36</v>
      </c>
      <c r="Q20" s="162" t="s">
        <v>2743</v>
      </c>
      <c r="R20" s="162"/>
      <c r="S20" s="162">
        <v>4.6100000000000002E-2</v>
      </c>
      <c r="T20" s="162">
        <v>3.8671999999999984E-2</v>
      </c>
      <c r="U20" s="99">
        <f t="shared" si="0"/>
        <v>7.4280000000000179E-3</v>
      </c>
      <c r="V20" s="162">
        <v>3.6829999999999998</v>
      </c>
      <c r="W20" s="162">
        <f>9.899+7.103</f>
        <v>17.001999999999999</v>
      </c>
      <c r="X20" s="162">
        <f t="shared" si="1"/>
        <v>62.618365999999995</v>
      </c>
      <c r="Y20" s="101"/>
    </row>
    <row r="21" spans="1:25" ht="16">
      <c r="A21" s="162" t="s">
        <v>25</v>
      </c>
      <c r="B21" s="100" t="s">
        <v>85</v>
      </c>
      <c r="C21" s="162" t="s">
        <v>1744</v>
      </c>
      <c r="D21" s="162" t="str">
        <f t="shared" si="2"/>
        <v>COFFS</v>
      </c>
      <c r="E21" s="162" t="s">
        <v>2523</v>
      </c>
      <c r="F21" s="102">
        <v>-30.011327999999999</v>
      </c>
      <c r="G21" s="99">
        <v>153.150711</v>
      </c>
      <c r="H21" s="99">
        <v>0</v>
      </c>
      <c r="I21" s="164">
        <v>42871</v>
      </c>
      <c r="J21" s="162" t="s">
        <v>2097</v>
      </c>
      <c r="K21" s="162" t="s">
        <v>831</v>
      </c>
      <c r="L21" s="162" t="s">
        <v>2554</v>
      </c>
      <c r="M21" s="162" t="s">
        <v>2750</v>
      </c>
      <c r="N21" s="162" t="s">
        <v>2874</v>
      </c>
      <c r="O21" s="162" t="s">
        <v>2647</v>
      </c>
      <c r="P21" s="162" t="s">
        <v>36</v>
      </c>
      <c r="Q21" s="162" t="s">
        <v>2716</v>
      </c>
      <c r="R21" s="162" t="s">
        <v>2712</v>
      </c>
      <c r="S21" s="162">
        <v>9.8799999999999999E-2</v>
      </c>
      <c r="T21" s="162">
        <v>6.7166000000000003E-2</v>
      </c>
      <c r="U21" s="99">
        <f t="shared" si="0"/>
        <v>3.1633999999999995E-2</v>
      </c>
      <c r="V21" s="162">
        <v>6.3620000000000001</v>
      </c>
      <c r="W21" s="162">
        <f>10.925+3.832+2.388+2.609</f>
        <v>19.754000000000005</v>
      </c>
      <c r="X21" s="162">
        <f t="shared" si="1"/>
        <v>125.67494800000003</v>
      </c>
      <c r="Y21" s="101"/>
    </row>
    <row r="22" spans="1:25" ht="16">
      <c r="A22" s="162" t="s">
        <v>25</v>
      </c>
      <c r="B22" s="100" t="s">
        <v>92</v>
      </c>
      <c r="C22" s="162" t="s">
        <v>1744</v>
      </c>
      <c r="D22" s="162" t="str">
        <f t="shared" si="2"/>
        <v>COFFS</v>
      </c>
      <c r="E22" s="162" t="s">
        <v>2522</v>
      </c>
      <c r="F22" s="102">
        <v>-29.943010999999998</v>
      </c>
      <c r="G22" s="99">
        <v>153.12657400000001</v>
      </c>
      <c r="H22" s="99">
        <v>0</v>
      </c>
      <c r="I22" s="164">
        <v>42871</v>
      </c>
      <c r="J22" s="162" t="s">
        <v>2785</v>
      </c>
      <c r="K22" s="162" t="s">
        <v>831</v>
      </c>
      <c r="L22" s="162" t="s">
        <v>2554</v>
      </c>
      <c r="M22" s="162" t="s">
        <v>2561</v>
      </c>
      <c r="N22" s="162" t="s">
        <v>2717</v>
      </c>
      <c r="O22" s="162" t="s">
        <v>2720</v>
      </c>
      <c r="P22" s="162" t="s">
        <v>2719</v>
      </c>
      <c r="Q22" s="162" t="s">
        <v>2722</v>
      </c>
      <c r="R22" s="162" t="s">
        <v>2712</v>
      </c>
      <c r="S22" s="162">
        <v>4.3799999999999999E-2</v>
      </c>
      <c r="T22" s="162">
        <v>3.8671999999999984E-2</v>
      </c>
      <c r="U22" s="99">
        <f t="shared" si="0"/>
        <v>5.1280000000000145E-3</v>
      </c>
      <c r="V22" s="162">
        <v>3.3639999999999999</v>
      </c>
      <c r="W22" s="162">
        <v>14.395</v>
      </c>
      <c r="X22" s="162">
        <f t="shared" si="1"/>
        <v>48.424779999999998</v>
      </c>
      <c r="Y22" s="101"/>
    </row>
    <row r="23" spans="1:25" ht="16">
      <c r="A23" s="162" t="s">
        <v>25</v>
      </c>
      <c r="B23" s="100" t="s">
        <v>96</v>
      </c>
      <c r="C23" s="162" t="s">
        <v>1744</v>
      </c>
      <c r="D23" s="162" t="str">
        <f t="shared" si="2"/>
        <v>COFFS</v>
      </c>
      <c r="E23" s="162" t="s">
        <v>2522</v>
      </c>
      <c r="F23" s="102">
        <v>-29.943010999999998</v>
      </c>
      <c r="G23" s="99">
        <v>153.12657400000001</v>
      </c>
      <c r="H23" s="99">
        <v>0</v>
      </c>
      <c r="I23" s="164">
        <v>42872</v>
      </c>
      <c r="J23" s="162" t="s">
        <v>2785</v>
      </c>
      <c r="K23" s="162" t="s">
        <v>831</v>
      </c>
      <c r="L23" s="162" t="s">
        <v>2554</v>
      </c>
      <c r="M23" s="162" t="s">
        <v>2561</v>
      </c>
      <c r="N23" s="162" t="s">
        <v>2717</v>
      </c>
      <c r="O23" s="162" t="s">
        <v>2717</v>
      </c>
      <c r="P23" s="162" t="s">
        <v>36</v>
      </c>
      <c r="Q23" s="162" t="s">
        <v>2746</v>
      </c>
      <c r="R23" s="162" t="s">
        <v>2713</v>
      </c>
      <c r="S23" s="162">
        <v>4.1099999999999998E-2</v>
      </c>
      <c r="T23" s="162">
        <v>3.8671999999999984E-2</v>
      </c>
      <c r="U23" s="99">
        <f t="shared" si="0"/>
        <v>2.4280000000000135E-3</v>
      </c>
      <c r="V23" s="162">
        <v>2.391</v>
      </c>
      <c r="W23" s="162">
        <f>4.522+6.57</f>
        <v>11.092000000000001</v>
      </c>
      <c r="X23" s="162">
        <f t="shared" si="1"/>
        <v>26.520972</v>
      </c>
      <c r="Y23" s="101"/>
    </row>
    <row r="24" spans="1:25" ht="16">
      <c r="A24" s="162" t="s">
        <v>25</v>
      </c>
      <c r="B24" s="100" t="s">
        <v>111</v>
      </c>
      <c r="C24" s="162" t="s">
        <v>1744</v>
      </c>
      <c r="D24" s="162" t="str">
        <f t="shared" si="2"/>
        <v>COFFS</v>
      </c>
      <c r="E24" s="162" t="s">
        <v>2536</v>
      </c>
      <c r="F24" s="102">
        <v>-30.139927</v>
      </c>
      <c r="G24" s="99">
        <v>153.18624700000001</v>
      </c>
      <c r="H24" s="99">
        <v>0</v>
      </c>
      <c r="I24" s="164">
        <v>42878</v>
      </c>
      <c r="J24" s="162" t="s">
        <v>2097</v>
      </c>
      <c r="K24" s="162" t="s">
        <v>831</v>
      </c>
      <c r="L24" s="162" t="s">
        <v>2554</v>
      </c>
      <c r="M24" s="162" t="s">
        <v>2561</v>
      </c>
      <c r="N24" s="162" t="s">
        <v>2717</v>
      </c>
      <c r="O24" s="162" t="s">
        <v>2720</v>
      </c>
      <c r="P24" s="162" t="s">
        <v>2719</v>
      </c>
      <c r="Q24" s="162" t="s">
        <v>2722</v>
      </c>
      <c r="R24" s="162" t="s">
        <v>2713</v>
      </c>
      <c r="S24" s="162">
        <v>4.1200000000000001E-2</v>
      </c>
      <c r="T24" s="162">
        <v>3.8671999999999984E-2</v>
      </c>
      <c r="U24" s="99">
        <f t="shared" si="0"/>
        <v>2.5280000000000163E-3</v>
      </c>
      <c r="V24" s="162">
        <v>3.2069999999999999</v>
      </c>
      <c r="W24" s="162">
        <f>8.293+5.43</f>
        <v>13.722999999999999</v>
      </c>
      <c r="X24" s="162">
        <f t="shared" si="1"/>
        <v>44.009660999999994</v>
      </c>
      <c r="Y24" s="101"/>
    </row>
    <row r="25" spans="1:25" ht="16">
      <c r="A25" s="162" t="s">
        <v>25</v>
      </c>
      <c r="B25" s="100" t="s">
        <v>112</v>
      </c>
      <c r="C25" s="162" t="s">
        <v>1744</v>
      </c>
      <c r="D25" s="162" t="str">
        <f t="shared" si="2"/>
        <v>COFFS</v>
      </c>
      <c r="E25" s="162" t="s">
        <v>2537</v>
      </c>
      <c r="F25" s="102">
        <v>-30.091795000000001</v>
      </c>
      <c r="G25" s="99">
        <v>153.161948</v>
      </c>
      <c r="H25" s="99">
        <v>0</v>
      </c>
      <c r="I25" s="164">
        <v>42878</v>
      </c>
      <c r="J25" s="162" t="s">
        <v>2785</v>
      </c>
      <c r="K25" s="162" t="s">
        <v>831</v>
      </c>
      <c r="L25" s="162" t="s">
        <v>2554</v>
      </c>
      <c r="M25" s="162" t="s">
        <v>2561</v>
      </c>
      <c r="N25" s="162" t="s">
        <v>2717</v>
      </c>
      <c r="O25" s="162" t="s">
        <v>2720</v>
      </c>
      <c r="P25" s="162" t="s">
        <v>2719</v>
      </c>
      <c r="Q25" s="162" t="s">
        <v>2722</v>
      </c>
      <c r="R25" s="162" t="s">
        <v>2712</v>
      </c>
      <c r="S25" s="162">
        <v>4.3200000000000002E-2</v>
      </c>
      <c r="T25" s="162">
        <v>3.8671999999999984E-2</v>
      </c>
      <c r="U25" s="99">
        <f t="shared" si="0"/>
        <v>4.5280000000000181E-3</v>
      </c>
      <c r="V25" s="162">
        <v>3.0030000000000001</v>
      </c>
      <c r="W25" s="162">
        <f>5.765+9.513</f>
        <v>15.277999999999999</v>
      </c>
      <c r="X25" s="162">
        <f t="shared" si="1"/>
        <v>45.879833999999995</v>
      </c>
      <c r="Y25" s="101"/>
    </row>
    <row r="26" spans="1:25" ht="16">
      <c r="A26" s="162" t="s">
        <v>25</v>
      </c>
      <c r="B26" s="100" t="s">
        <v>119</v>
      </c>
      <c r="C26" s="162" t="s">
        <v>1744</v>
      </c>
      <c r="D26" s="162" t="str">
        <f t="shared" si="2"/>
        <v>COFFS</v>
      </c>
      <c r="E26" s="162" t="s">
        <v>2536</v>
      </c>
      <c r="F26" s="102">
        <v>-30.139927</v>
      </c>
      <c r="G26" s="99">
        <v>153.18624700000001</v>
      </c>
      <c r="H26" s="99">
        <v>0</v>
      </c>
      <c r="I26" s="164">
        <v>42878</v>
      </c>
      <c r="J26" s="162" t="s">
        <v>2097</v>
      </c>
      <c r="K26" s="162" t="s">
        <v>831</v>
      </c>
      <c r="L26" s="162" t="s">
        <v>2554</v>
      </c>
      <c r="M26" s="162" t="s">
        <v>2561</v>
      </c>
      <c r="N26" s="162" t="s">
        <v>2717</v>
      </c>
      <c r="O26" s="162" t="s">
        <v>2601</v>
      </c>
      <c r="P26" s="131" t="s">
        <v>36</v>
      </c>
      <c r="Q26" s="162" t="s">
        <v>2747</v>
      </c>
      <c r="R26" s="162" t="s">
        <v>2712</v>
      </c>
      <c r="S26" s="162">
        <v>7.3400000000000007E-2</v>
      </c>
      <c r="T26" s="162">
        <v>6.7166000000000003E-2</v>
      </c>
      <c r="U26" s="99">
        <f t="shared" si="0"/>
        <v>6.2340000000000034E-3</v>
      </c>
      <c r="V26" s="162">
        <v>3.9470000000000001</v>
      </c>
      <c r="W26" s="162">
        <v>15.597</v>
      </c>
      <c r="X26" s="162">
        <f t="shared" si="1"/>
        <v>61.561358999999996</v>
      </c>
      <c r="Y26" s="101"/>
    </row>
    <row r="27" spans="1:25" ht="16">
      <c r="A27" s="162" t="s">
        <v>25</v>
      </c>
      <c r="B27" s="100" t="s">
        <v>3094</v>
      </c>
      <c r="C27" s="162" t="s">
        <v>1744</v>
      </c>
      <c r="D27" s="162" t="str">
        <f t="shared" si="2"/>
        <v>COFFS</v>
      </c>
      <c r="E27" s="162" t="s">
        <v>2539</v>
      </c>
      <c r="F27" s="102">
        <v>-29.988817000000001</v>
      </c>
      <c r="G27" s="99">
        <v>153.13584900000001</v>
      </c>
      <c r="H27" s="99">
        <v>0</v>
      </c>
      <c r="I27" s="164">
        <v>42878</v>
      </c>
      <c r="J27" s="162" t="s">
        <v>36</v>
      </c>
      <c r="K27" s="162" t="s">
        <v>154</v>
      </c>
      <c r="L27" s="162" t="s">
        <v>2554</v>
      </c>
      <c r="M27" s="162" t="s">
        <v>2561</v>
      </c>
      <c r="N27" s="162" t="s">
        <v>2717</v>
      </c>
      <c r="O27" s="162" t="s">
        <v>2720</v>
      </c>
      <c r="P27" s="162" t="s">
        <v>2719</v>
      </c>
      <c r="Q27" s="162" t="s">
        <v>2722</v>
      </c>
      <c r="R27" s="162" t="s">
        <v>2713</v>
      </c>
      <c r="S27" s="162">
        <v>4.5499999999999999E-2</v>
      </c>
      <c r="T27" s="162">
        <v>3.8671999999999984E-2</v>
      </c>
      <c r="U27" s="99">
        <f t="shared" si="0"/>
        <v>6.8280000000000146E-3</v>
      </c>
      <c r="V27" s="162">
        <v>3.6629999999999998</v>
      </c>
      <c r="W27" s="162">
        <f>5.285+8.226</f>
        <v>13.511000000000001</v>
      </c>
      <c r="X27" s="162">
        <f t="shared" si="1"/>
        <v>49.490793000000004</v>
      </c>
      <c r="Y27" s="101"/>
    </row>
    <row r="28" spans="1:25" ht="16">
      <c r="A28" s="162" t="s">
        <v>25</v>
      </c>
      <c r="B28" s="100" t="s">
        <v>122</v>
      </c>
      <c r="C28" s="162" t="s">
        <v>1744</v>
      </c>
      <c r="D28" s="162" t="str">
        <f t="shared" si="2"/>
        <v>COFFS</v>
      </c>
      <c r="E28" s="162" t="s">
        <v>2537</v>
      </c>
      <c r="F28" s="102">
        <v>-30.091795000000001</v>
      </c>
      <c r="G28" s="99">
        <v>153.161948</v>
      </c>
      <c r="H28" s="99">
        <v>0</v>
      </c>
      <c r="I28" s="164">
        <v>42878</v>
      </c>
      <c r="J28" s="162" t="s">
        <v>113</v>
      </c>
      <c r="K28" s="162" t="s">
        <v>831</v>
      </c>
      <c r="L28" s="162" t="s">
        <v>2554</v>
      </c>
      <c r="M28" s="162" t="s">
        <v>2561</v>
      </c>
      <c r="N28" s="162" t="s">
        <v>2717</v>
      </c>
      <c r="O28" s="162" t="s">
        <v>2720</v>
      </c>
      <c r="P28" s="162" t="s">
        <v>2719</v>
      </c>
      <c r="Q28" s="162" t="s">
        <v>2722</v>
      </c>
      <c r="R28" s="162" t="s">
        <v>2712</v>
      </c>
      <c r="S28" s="162">
        <v>4.4999999999999998E-2</v>
      </c>
      <c r="T28" s="162">
        <v>3.8671999999999984E-2</v>
      </c>
      <c r="U28" s="99">
        <f t="shared" si="0"/>
        <v>6.3280000000000142E-3</v>
      </c>
      <c r="V28" s="162">
        <v>3.8889999999999998</v>
      </c>
      <c r="W28" s="162">
        <f>3.061+2.157+10.052</f>
        <v>15.27</v>
      </c>
      <c r="X28" s="162">
        <f t="shared" si="1"/>
        <v>59.385029999999993</v>
      </c>
      <c r="Y28" s="101"/>
    </row>
    <row r="29" spans="1:25" ht="16">
      <c r="A29" s="162" t="s">
        <v>25</v>
      </c>
      <c r="B29" s="100" t="s">
        <v>127</v>
      </c>
      <c r="C29" s="162" t="s">
        <v>1744</v>
      </c>
      <c r="D29" s="162" t="str">
        <f t="shared" si="2"/>
        <v>COFFS</v>
      </c>
      <c r="E29" s="162" t="s">
        <v>2538</v>
      </c>
      <c r="F29" s="102">
        <v>-30.011405</v>
      </c>
      <c r="G29" s="99">
        <v>153.11167499999999</v>
      </c>
      <c r="H29" s="99">
        <v>0</v>
      </c>
      <c r="I29" s="164">
        <v>42878</v>
      </c>
      <c r="J29" s="162" t="s">
        <v>128</v>
      </c>
      <c r="K29" s="162" t="s">
        <v>831</v>
      </c>
      <c r="L29" s="162" t="s">
        <v>2554</v>
      </c>
      <c r="M29" s="162" t="s">
        <v>2561</v>
      </c>
      <c r="N29" s="162" t="s">
        <v>2717</v>
      </c>
      <c r="O29" s="162" t="s">
        <v>2717</v>
      </c>
      <c r="P29" s="162" t="s">
        <v>36</v>
      </c>
      <c r="Q29" s="162" t="s">
        <v>2746</v>
      </c>
      <c r="R29" s="162" t="s">
        <v>2713</v>
      </c>
      <c r="S29" s="162">
        <v>4.0399999999999998E-2</v>
      </c>
      <c r="T29" s="162">
        <v>3.8671999999999984E-2</v>
      </c>
      <c r="U29" s="99">
        <f t="shared" si="0"/>
        <v>1.7280000000000142E-3</v>
      </c>
      <c r="V29" s="162">
        <v>2.044</v>
      </c>
      <c r="W29" s="162">
        <f>0.531+3.911+6.48</f>
        <v>10.922000000000001</v>
      </c>
      <c r="X29" s="162">
        <f t="shared" si="1"/>
        <v>22.324568000000003</v>
      </c>
      <c r="Y29" s="101"/>
    </row>
    <row r="30" spans="1:25" ht="16">
      <c r="A30" s="162" t="s">
        <v>25</v>
      </c>
      <c r="B30" s="100" t="s">
        <v>133</v>
      </c>
      <c r="C30" s="162" t="s">
        <v>1744</v>
      </c>
      <c r="D30" s="162" t="str">
        <f t="shared" si="2"/>
        <v>COFFS</v>
      </c>
      <c r="E30" s="162" t="s">
        <v>2537</v>
      </c>
      <c r="F30" s="102">
        <v>-30.091795000000001</v>
      </c>
      <c r="G30" s="99">
        <v>153.161948</v>
      </c>
      <c r="H30" s="99">
        <v>0</v>
      </c>
      <c r="I30" s="164">
        <v>42878</v>
      </c>
      <c r="J30" s="162" t="s">
        <v>134</v>
      </c>
      <c r="K30" s="162" t="s">
        <v>831</v>
      </c>
      <c r="L30" s="162" t="s">
        <v>2554</v>
      </c>
      <c r="M30" s="162" t="s">
        <v>2750</v>
      </c>
      <c r="N30" s="162" t="s">
        <v>2727</v>
      </c>
      <c r="O30" s="162" t="s">
        <v>3560</v>
      </c>
      <c r="P30" s="162" t="s">
        <v>36</v>
      </c>
      <c r="Q30" s="162" t="s">
        <v>2744</v>
      </c>
      <c r="R30" s="162" t="s">
        <v>2712</v>
      </c>
      <c r="S30" s="162">
        <v>4.4299999999999999E-2</v>
      </c>
      <c r="T30" s="162">
        <v>3.8671999999999984E-2</v>
      </c>
      <c r="U30" s="99">
        <f t="shared" si="0"/>
        <v>5.6280000000000149E-3</v>
      </c>
      <c r="V30" s="162">
        <v>3.16</v>
      </c>
      <c r="W30" s="162">
        <f>7.432+4.62+3.188</f>
        <v>15.24</v>
      </c>
      <c r="X30" s="162">
        <f t="shared" si="1"/>
        <v>48.1584</v>
      </c>
      <c r="Y30" s="101"/>
    </row>
    <row r="31" spans="1:25" ht="16">
      <c r="A31" s="162" t="s">
        <v>25</v>
      </c>
      <c r="B31" s="100" t="s">
        <v>136</v>
      </c>
      <c r="C31" s="162" t="s">
        <v>1744</v>
      </c>
      <c r="D31" s="162" t="str">
        <f t="shared" si="2"/>
        <v>COFFS</v>
      </c>
      <c r="E31" s="162" t="s">
        <v>2536</v>
      </c>
      <c r="F31" s="102">
        <v>-30.139927</v>
      </c>
      <c r="G31" s="99">
        <v>153.18624700000001</v>
      </c>
      <c r="H31" s="99">
        <v>0</v>
      </c>
      <c r="I31" s="164">
        <v>42878</v>
      </c>
      <c r="J31" s="162" t="s">
        <v>2097</v>
      </c>
      <c r="K31" s="162" t="s">
        <v>831</v>
      </c>
      <c r="L31" s="162" t="s">
        <v>2554</v>
      </c>
      <c r="M31" s="162" t="s">
        <v>2561</v>
      </c>
      <c r="N31" s="162" t="s">
        <v>2717</v>
      </c>
      <c r="O31" s="162" t="s">
        <v>2720</v>
      </c>
      <c r="P31" s="162" t="s">
        <v>2719</v>
      </c>
      <c r="Q31" s="162" t="s">
        <v>2722</v>
      </c>
      <c r="R31" s="162" t="s">
        <v>2713</v>
      </c>
      <c r="S31" s="162">
        <v>4.7600000000000003E-2</v>
      </c>
      <c r="T31" s="162">
        <v>3.8671999999999984E-2</v>
      </c>
      <c r="U31" s="99">
        <f t="shared" si="0"/>
        <v>8.9280000000000193E-3</v>
      </c>
      <c r="V31" s="162">
        <v>3.5379999999999998</v>
      </c>
      <c r="W31" s="162">
        <f>8.656+5.747</f>
        <v>14.403</v>
      </c>
      <c r="X31" s="162">
        <f t="shared" si="1"/>
        <v>50.957813999999999</v>
      </c>
      <c r="Y31" s="101"/>
    </row>
    <row r="32" spans="1:25" ht="16">
      <c r="A32" s="162" t="s">
        <v>25</v>
      </c>
      <c r="B32" s="100" t="s">
        <v>137</v>
      </c>
      <c r="C32" s="162" t="s">
        <v>1744</v>
      </c>
      <c r="D32" s="162" t="str">
        <f t="shared" si="2"/>
        <v>COFFS</v>
      </c>
      <c r="E32" s="162" t="s">
        <v>2537</v>
      </c>
      <c r="F32" s="102">
        <v>-30.091795000000001</v>
      </c>
      <c r="G32" s="99">
        <v>153.161948</v>
      </c>
      <c r="H32" s="99">
        <v>0</v>
      </c>
      <c r="I32" s="164">
        <v>42878</v>
      </c>
      <c r="J32" s="162" t="s">
        <v>2097</v>
      </c>
      <c r="K32" s="162" t="s">
        <v>831</v>
      </c>
      <c r="L32" s="162" t="s">
        <v>2554</v>
      </c>
      <c r="M32" s="162" t="s">
        <v>2561</v>
      </c>
      <c r="N32" s="162" t="s">
        <v>2717</v>
      </c>
      <c r="O32" s="162" t="s">
        <v>2717</v>
      </c>
      <c r="P32" s="162" t="s">
        <v>36</v>
      </c>
      <c r="Q32" s="162" t="s">
        <v>2746</v>
      </c>
      <c r="R32" s="162" t="s">
        <v>2712</v>
      </c>
      <c r="S32" s="162">
        <v>4.0399999999999998E-2</v>
      </c>
      <c r="T32" s="162">
        <v>3.8671999999999984E-2</v>
      </c>
      <c r="U32" s="99">
        <f t="shared" si="0"/>
        <v>1.7280000000000142E-3</v>
      </c>
      <c r="V32" s="162">
        <v>2.2170000000000001</v>
      </c>
      <c r="W32" s="162">
        <f>3.771+2.052+4.274</f>
        <v>10.097000000000001</v>
      </c>
      <c r="X32" s="162">
        <f t="shared" si="1"/>
        <v>22.385049000000002</v>
      </c>
      <c r="Y32" s="101"/>
    </row>
    <row r="33" spans="1:25" ht="16">
      <c r="A33" s="162" t="s">
        <v>25</v>
      </c>
      <c r="B33" s="100" t="s">
        <v>138</v>
      </c>
      <c r="C33" s="162" t="s">
        <v>1744</v>
      </c>
      <c r="D33" s="162" t="str">
        <f t="shared" si="2"/>
        <v>COFFS</v>
      </c>
      <c r="E33" s="162" t="s">
        <v>2536</v>
      </c>
      <c r="F33" s="102">
        <v>-30.139927</v>
      </c>
      <c r="G33" s="99">
        <v>153.18624700000001</v>
      </c>
      <c r="H33" s="99">
        <v>0</v>
      </c>
      <c r="I33" s="164">
        <v>42878</v>
      </c>
      <c r="J33" s="162" t="s">
        <v>2097</v>
      </c>
      <c r="K33" s="162" t="s">
        <v>831</v>
      </c>
      <c r="L33" s="162" t="s">
        <v>2554</v>
      </c>
      <c r="M33" s="162" t="s">
        <v>2561</v>
      </c>
      <c r="N33" s="162" t="s">
        <v>2717</v>
      </c>
      <c r="O33" s="162" t="s">
        <v>2720</v>
      </c>
      <c r="P33" s="162" t="s">
        <v>2719</v>
      </c>
      <c r="Q33" s="162" t="s">
        <v>2722</v>
      </c>
      <c r="R33" s="162" t="s">
        <v>2713</v>
      </c>
      <c r="S33" s="162">
        <v>4.2999999999999997E-2</v>
      </c>
      <c r="T33" s="162">
        <v>3.8671999999999984E-2</v>
      </c>
      <c r="U33" s="99">
        <f t="shared" si="0"/>
        <v>4.3280000000000124E-3</v>
      </c>
      <c r="V33" s="162">
        <v>2.931</v>
      </c>
      <c r="W33" s="162">
        <f>7.514+4.839</f>
        <v>12.353000000000002</v>
      </c>
      <c r="X33" s="162">
        <f t="shared" si="1"/>
        <v>36.206643000000007</v>
      </c>
      <c r="Y33" s="101"/>
    </row>
    <row r="34" spans="1:25" ht="16">
      <c r="A34" s="162" t="s">
        <v>25</v>
      </c>
      <c r="B34" s="100" t="s">
        <v>143</v>
      </c>
      <c r="C34" s="162" t="s">
        <v>1744</v>
      </c>
      <c r="D34" s="162" t="str">
        <f t="shared" si="2"/>
        <v>COFFS</v>
      </c>
      <c r="E34" s="162" t="s">
        <v>2538</v>
      </c>
      <c r="F34" s="102">
        <v>-30.011405</v>
      </c>
      <c r="G34" s="99">
        <v>153.11167499999999</v>
      </c>
      <c r="H34" s="99">
        <v>0</v>
      </c>
      <c r="I34" s="164">
        <v>42879</v>
      </c>
      <c r="J34" s="162" t="s">
        <v>2788</v>
      </c>
      <c r="K34" s="162" t="s">
        <v>831</v>
      </c>
      <c r="L34" s="162" t="s">
        <v>2554</v>
      </c>
      <c r="M34" s="162" t="s">
        <v>2561</v>
      </c>
      <c r="N34" s="162" t="s">
        <v>2717</v>
      </c>
      <c r="O34" s="162" t="s">
        <v>2717</v>
      </c>
      <c r="P34" s="162" t="s">
        <v>36</v>
      </c>
      <c r="Q34" s="162" t="s">
        <v>2746</v>
      </c>
      <c r="R34" s="162" t="s">
        <v>2713</v>
      </c>
      <c r="S34" s="162">
        <v>4.0599999999999997E-2</v>
      </c>
      <c r="T34" s="162">
        <v>3.8671999999999984E-2</v>
      </c>
      <c r="U34" s="99">
        <f t="shared" ref="U34:U65" si="3">S34-T34</f>
        <v>1.928000000000013E-3</v>
      </c>
      <c r="V34" s="162">
        <v>1.679</v>
      </c>
      <c r="W34" s="162">
        <v>9.7680000000000007</v>
      </c>
      <c r="X34" s="162">
        <f t="shared" ref="X34:X65" si="4">V34*W34</f>
        <v>16.400472000000001</v>
      </c>
      <c r="Y34" s="101"/>
    </row>
    <row r="35" spans="1:25" ht="16">
      <c r="A35" s="162" t="s">
        <v>25</v>
      </c>
      <c r="B35" s="100" t="s">
        <v>144</v>
      </c>
      <c r="C35" s="162" t="s">
        <v>1744</v>
      </c>
      <c r="D35" s="162" t="str">
        <f t="shared" si="2"/>
        <v>COFFS</v>
      </c>
      <c r="E35" s="162" t="s">
        <v>2538</v>
      </c>
      <c r="F35" s="102">
        <v>-30.011405</v>
      </c>
      <c r="G35" s="99">
        <v>153.11167499999999</v>
      </c>
      <c r="H35" s="99">
        <v>0</v>
      </c>
      <c r="I35" s="164">
        <v>42879</v>
      </c>
      <c r="J35" s="162" t="s">
        <v>2788</v>
      </c>
      <c r="K35" s="162" t="s">
        <v>831</v>
      </c>
      <c r="L35" s="162" t="s">
        <v>2554</v>
      </c>
      <c r="M35" s="162" t="s">
        <v>2561</v>
      </c>
      <c r="N35" s="162" t="s">
        <v>2717</v>
      </c>
      <c r="O35" s="162" t="s">
        <v>2720</v>
      </c>
      <c r="P35" s="162" t="s">
        <v>2719</v>
      </c>
      <c r="Q35" s="162" t="s">
        <v>2722</v>
      </c>
      <c r="R35" s="162" t="s">
        <v>2713</v>
      </c>
      <c r="S35" s="162">
        <v>4.1300000000000003E-2</v>
      </c>
      <c r="T35" s="162">
        <v>3.8671999999999984E-2</v>
      </c>
      <c r="U35" s="99">
        <f t="shared" si="3"/>
        <v>2.6280000000000192E-3</v>
      </c>
      <c r="V35" s="162">
        <v>3.419</v>
      </c>
      <c r="W35" s="162">
        <f>8.662+5.078</f>
        <v>13.740000000000002</v>
      </c>
      <c r="X35" s="162">
        <f t="shared" si="4"/>
        <v>46.977060000000009</v>
      </c>
      <c r="Y35" s="101"/>
    </row>
    <row r="36" spans="1:25" ht="16">
      <c r="A36" s="162" t="s">
        <v>25</v>
      </c>
      <c r="B36" s="100" t="s">
        <v>145</v>
      </c>
      <c r="C36" s="162" t="s">
        <v>1744</v>
      </c>
      <c r="D36" s="162" t="str">
        <f t="shared" si="2"/>
        <v>COFFS</v>
      </c>
      <c r="E36" s="162" t="s">
        <v>2538</v>
      </c>
      <c r="F36" s="102">
        <v>-30.011405</v>
      </c>
      <c r="G36" s="99">
        <v>153.11167499999999</v>
      </c>
      <c r="H36" s="99">
        <v>0</v>
      </c>
      <c r="I36" s="164">
        <v>42879</v>
      </c>
      <c r="J36" s="162" t="s">
        <v>2788</v>
      </c>
      <c r="K36" s="162" t="s">
        <v>831</v>
      </c>
      <c r="L36" s="162" t="s">
        <v>2554</v>
      </c>
      <c r="M36" s="162" t="s">
        <v>2561</v>
      </c>
      <c r="N36" s="162" t="s">
        <v>2717</v>
      </c>
      <c r="O36" s="162" t="s">
        <v>2720</v>
      </c>
      <c r="P36" s="162" t="s">
        <v>2719</v>
      </c>
      <c r="Q36" s="162" t="s">
        <v>2722</v>
      </c>
      <c r="R36" s="162" t="s">
        <v>2713</v>
      </c>
      <c r="S36" s="162">
        <v>4.4600000000000001E-2</v>
      </c>
      <c r="T36" s="162">
        <v>3.8671999999999984E-2</v>
      </c>
      <c r="U36" s="99">
        <f t="shared" si="3"/>
        <v>5.9280000000000166E-3</v>
      </c>
      <c r="V36" s="162">
        <v>3.496</v>
      </c>
      <c r="W36" s="162">
        <f>9.253+5.986</f>
        <v>15.239000000000001</v>
      </c>
      <c r="X36" s="162">
        <f t="shared" si="4"/>
        <v>53.275544000000004</v>
      </c>
      <c r="Y36" s="101"/>
    </row>
    <row r="37" spans="1:25" ht="16">
      <c r="A37" s="162" t="s">
        <v>25</v>
      </c>
      <c r="B37" s="100" t="s">
        <v>147</v>
      </c>
      <c r="C37" s="162" t="s">
        <v>1744</v>
      </c>
      <c r="D37" s="162" t="str">
        <f t="shared" si="2"/>
        <v>COFFS</v>
      </c>
      <c r="E37" s="162" t="s">
        <v>2540</v>
      </c>
      <c r="F37" s="102">
        <v>-30.037337000000001</v>
      </c>
      <c r="G37" s="99">
        <v>153.147063</v>
      </c>
      <c r="H37" s="99">
        <v>0</v>
      </c>
      <c r="I37" s="164">
        <v>42885</v>
      </c>
      <c r="J37" s="162" t="s">
        <v>2097</v>
      </c>
      <c r="K37" s="162" t="s">
        <v>831</v>
      </c>
      <c r="L37" s="162" t="s">
        <v>2554</v>
      </c>
      <c r="M37" s="162" t="s">
        <v>2561</v>
      </c>
      <c r="N37" s="162" t="s">
        <v>2717</v>
      </c>
      <c r="O37" s="162" t="s">
        <v>2720</v>
      </c>
      <c r="P37" s="162" t="s">
        <v>2719</v>
      </c>
      <c r="Q37" s="162" t="s">
        <v>2722</v>
      </c>
      <c r="R37" s="162" t="s">
        <v>2712</v>
      </c>
      <c r="S37" s="162">
        <v>4.2099999999999999E-2</v>
      </c>
      <c r="T37" s="162">
        <v>3.8671999999999984E-2</v>
      </c>
      <c r="U37" s="99">
        <f t="shared" si="3"/>
        <v>3.4280000000000144E-3</v>
      </c>
      <c r="V37" s="162">
        <v>3.952</v>
      </c>
      <c r="W37" s="162">
        <f>9.485+5.978</f>
        <v>15.462999999999999</v>
      </c>
      <c r="X37" s="162">
        <f t="shared" si="4"/>
        <v>61.109775999999997</v>
      </c>
      <c r="Y37" s="101"/>
    </row>
    <row r="38" spans="1:25" ht="16">
      <c r="A38" s="162" t="s">
        <v>25</v>
      </c>
      <c r="B38" s="100" t="s">
        <v>148</v>
      </c>
      <c r="C38" s="162" t="s">
        <v>1744</v>
      </c>
      <c r="D38" s="162" t="str">
        <f t="shared" si="2"/>
        <v>COFFS</v>
      </c>
      <c r="E38" s="162" t="s">
        <v>2537</v>
      </c>
      <c r="F38" s="102">
        <v>-30.091795000000001</v>
      </c>
      <c r="G38" s="99">
        <v>153.161948</v>
      </c>
      <c r="H38" s="99">
        <v>0</v>
      </c>
      <c r="I38" s="164">
        <v>42880</v>
      </c>
      <c r="J38" s="162" t="s">
        <v>2097</v>
      </c>
      <c r="K38" s="162" t="s">
        <v>831</v>
      </c>
      <c r="L38" s="162" t="s">
        <v>2554</v>
      </c>
      <c r="M38" s="162" t="s">
        <v>2561</v>
      </c>
      <c r="N38" s="162" t="s">
        <v>2717</v>
      </c>
      <c r="O38" s="162" t="s">
        <v>2720</v>
      </c>
      <c r="P38" s="162" t="s">
        <v>2719</v>
      </c>
      <c r="Q38" s="162" t="s">
        <v>2722</v>
      </c>
      <c r="R38" s="162" t="s">
        <v>2712</v>
      </c>
      <c r="S38" s="162">
        <v>4.48E-2</v>
      </c>
      <c r="T38" s="162">
        <v>3.8671999999999984E-2</v>
      </c>
      <c r="U38" s="99">
        <f t="shared" si="3"/>
        <v>6.1280000000000154E-3</v>
      </c>
      <c r="V38" s="162">
        <v>4.3070000000000004</v>
      </c>
      <c r="W38" s="162">
        <v>15.493</v>
      </c>
      <c r="X38" s="162">
        <f t="shared" si="4"/>
        <v>66.728351000000004</v>
      </c>
      <c r="Y38" s="101"/>
    </row>
    <row r="39" spans="1:25" ht="16">
      <c r="A39" s="162" t="s">
        <v>25</v>
      </c>
      <c r="B39" s="100" t="s">
        <v>150</v>
      </c>
      <c r="C39" s="162" t="s">
        <v>1744</v>
      </c>
      <c r="D39" s="162" t="str">
        <f t="shared" si="2"/>
        <v>COFFS</v>
      </c>
      <c r="E39" s="162" t="s">
        <v>2541</v>
      </c>
      <c r="F39" s="102">
        <v>-30.033556999999998</v>
      </c>
      <c r="G39" s="99">
        <v>153.18147200000001</v>
      </c>
      <c r="H39" s="99">
        <v>0</v>
      </c>
      <c r="I39" s="164">
        <v>42885</v>
      </c>
      <c r="J39" s="162" t="s">
        <v>2785</v>
      </c>
      <c r="K39" s="162" t="s">
        <v>831</v>
      </c>
      <c r="L39" s="162" t="s">
        <v>2554</v>
      </c>
      <c r="M39" s="162" t="s">
        <v>2561</v>
      </c>
      <c r="N39" s="162" t="s">
        <v>2717</v>
      </c>
      <c r="O39" s="162" t="s">
        <v>2720</v>
      </c>
      <c r="P39" s="162" t="s">
        <v>2719</v>
      </c>
      <c r="Q39" s="162" t="s">
        <v>2722</v>
      </c>
      <c r="R39" s="162" t="s">
        <v>2712</v>
      </c>
      <c r="S39" s="162">
        <v>4.3900000000000002E-2</v>
      </c>
      <c r="T39" s="162">
        <v>3.8671999999999984E-2</v>
      </c>
      <c r="U39" s="99">
        <f t="shared" si="3"/>
        <v>5.2280000000000174E-3</v>
      </c>
      <c r="V39" s="162">
        <v>3.7469999999999999</v>
      </c>
      <c r="W39" s="162">
        <v>15.114000000000001</v>
      </c>
      <c r="X39" s="162">
        <f t="shared" si="4"/>
        <v>56.632158000000004</v>
      </c>
      <c r="Y39" s="101"/>
    </row>
    <row r="40" spans="1:25" ht="16">
      <c r="A40" s="162" t="s">
        <v>25</v>
      </c>
      <c r="B40" s="100" t="s">
        <v>151</v>
      </c>
      <c r="C40" s="162" t="s">
        <v>1744</v>
      </c>
      <c r="D40" s="162" t="str">
        <f t="shared" si="2"/>
        <v>COFFS</v>
      </c>
      <c r="E40" s="162" t="s">
        <v>2537</v>
      </c>
      <c r="F40" s="102">
        <v>-30.091795000000001</v>
      </c>
      <c r="G40" s="99">
        <v>153.161948</v>
      </c>
      <c r="H40" s="99">
        <v>0</v>
      </c>
      <c r="I40" s="164">
        <v>42880</v>
      </c>
      <c r="J40" s="162" t="s">
        <v>2097</v>
      </c>
      <c r="K40" s="162" t="s">
        <v>831</v>
      </c>
      <c r="L40" s="162" t="s">
        <v>2554</v>
      </c>
      <c r="M40" s="162" t="s">
        <v>2561</v>
      </c>
      <c r="N40" s="162" t="s">
        <v>2717</v>
      </c>
      <c r="O40" s="162" t="s">
        <v>2720</v>
      </c>
      <c r="P40" s="162" t="s">
        <v>2719</v>
      </c>
      <c r="Q40" s="162" t="s">
        <v>2722</v>
      </c>
      <c r="R40" s="162" t="s">
        <v>2712</v>
      </c>
      <c r="S40" s="162">
        <v>4.41E-2</v>
      </c>
      <c r="T40" s="162">
        <v>3.8671999999999984E-2</v>
      </c>
      <c r="U40" s="99">
        <f t="shared" si="3"/>
        <v>5.4280000000000161E-3</v>
      </c>
      <c r="V40" s="162">
        <v>4.1849999999999996</v>
      </c>
      <c r="W40" s="162">
        <v>15.791</v>
      </c>
      <c r="X40" s="162">
        <f t="shared" si="4"/>
        <v>66.085335000000001</v>
      </c>
      <c r="Y40" s="101"/>
    </row>
    <row r="41" spans="1:25" ht="16">
      <c r="A41" s="162" t="s">
        <v>25</v>
      </c>
      <c r="B41" s="100" t="s">
        <v>153</v>
      </c>
      <c r="C41" s="162" t="s">
        <v>1744</v>
      </c>
      <c r="D41" s="162" t="str">
        <f t="shared" si="2"/>
        <v>COFFS</v>
      </c>
      <c r="E41" s="162" t="s">
        <v>2540</v>
      </c>
      <c r="F41" s="102">
        <v>-30.037337000000001</v>
      </c>
      <c r="G41" s="99">
        <v>153.147063</v>
      </c>
      <c r="H41" s="99">
        <v>0</v>
      </c>
      <c r="I41" s="164">
        <v>42886</v>
      </c>
      <c r="J41" s="162" t="s">
        <v>2097</v>
      </c>
      <c r="K41" s="162" t="s">
        <v>831</v>
      </c>
      <c r="L41" s="162" t="s">
        <v>2554</v>
      </c>
      <c r="M41" s="162" t="s">
        <v>2561</v>
      </c>
      <c r="N41" s="162" t="s">
        <v>2717</v>
      </c>
      <c r="O41" s="162" t="s">
        <v>2720</v>
      </c>
      <c r="P41" s="162" t="s">
        <v>2719</v>
      </c>
      <c r="Q41" s="162" t="s">
        <v>2722</v>
      </c>
      <c r="R41" s="162" t="s">
        <v>2713</v>
      </c>
      <c r="S41" s="162">
        <v>4.3099999999999999E-2</v>
      </c>
      <c r="T41" s="162">
        <v>3.8671999999999984E-2</v>
      </c>
      <c r="U41" s="99">
        <f t="shared" si="3"/>
        <v>4.4280000000000153E-3</v>
      </c>
      <c r="V41" s="162">
        <v>3.2730000000000001</v>
      </c>
      <c r="W41" s="162">
        <f>7.699+6.026</f>
        <v>13.725</v>
      </c>
      <c r="X41" s="162">
        <f t="shared" si="4"/>
        <v>44.921925000000002</v>
      </c>
      <c r="Y41" s="101"/>
    </row>
    <row r="42" spans="1:25" ht="16">
      <c r="A42" s="162" t="s">
        <v>25</v>
      </c>
      <c r="B42" s="100" t="s">
        <v>158</v>
      </c>
      <c r="C42" s="162" t="s">
        <v>1744</v>
      </c>
      <c r="D42" s="162" t="str">
        <f t="shared" si="2"/>
        <v>COFFS</v>
      </c>
      <c r="E42" s="162" t="s">
        <v>2536</v>
      </c>
      <c r="F42" s="102">
        <v>-30.139927</v>
      </c>
      <c r="G42" s="99">
        <v>153.18624700000001</v>
      </c>
      <c r="H42" s="99">
        <v>0</v>
      </c>
      <c r="I42" s="164">
        <v>42881</v>
      </c>
      <c r="J42" s="162" t="s">
        <v>159</v>
      </c>
      <c r="K42" s="162" t="s">
        <v>831</v>
      </c>
      <c r="L42" s="162" t="s">
        <v>2554</v>
      </c>
      <c r="M42" s="162" t="s">
        <v>2750</v>
      </c>
      <c r="N42" s="162" t="s">
        <v>2727</v>
      </c>
      <c r="O42" s="162" t="s">
        <v>3560</v>
      </c>
      <c r="P42" s="162" t="s">
        <v>36</v>
      </c>
      <c r="Q42" s="162" t="s">
        <v>2744</v>
      </c>
      <c r="R42" s="162" t="s">
        <v>2713</v>
      </c>
      <c r="S42" s="162">
        <v>4.7100000000000003E-2</v>
      </c>
      <c r="T42" s="162">
        <v>3.8671999999999984E-2</v>
      </c>
      <c r="U42" s="99">
        <f t="shared" si="3"/>
        <v>8.4280000000000188E-3</v>
      </c>
      <c r="V42" s="162">
        <v>3.528</v>
      </c>
      <c r="W42" s="162">
        <f>5.283+10.157</f>
        <v>15.440000000000001</v>
      </c>
      <c r="X42" s="162">
        <f t="shared" si="4"/>
        <v>54.472320000000003</v>
      </c>
      <c r="Y42" s="101"/>
    </row>
    <row r="43" spans="1:25" ht="16">
      <c r="A43" s="162" t="s">
        <v>25</v>
      </c>
      <c r="B43" s="100" t="s">
        <v>170</v>
      </c>
      <c r="C43" s="162" t="s">
        <v>1744</v>
      </c>
      <c r="D43" s="162" t="str">
        <f t="shared" si="2"/>
        <v>COFFS</v>
      </c>
      <c r="E43" s="162" t="s">
        <v>2536</v>
      </c>
      <c r="F43" s="102">
        <v>-30.139927</v>
      </c>
      <c r="G43" s="99">
        <v>153.18624700000001</v>
      </c>
      <c r="H43" s="99">
        <v>0</v>
      </c>
      <c r="I43" s="164">
        <v>42881</v>
      </c>
      <c r="J43" s="162" t="s">
        <v>2644</v>
      </c>
      <c r="K43" s="162" t="s">
        <v>831</v>
      </c>
      <c r="L43" s="162" t="s">
        <v>2554</v>
      </c>
      <c r="M43" s="162" t="s">
        <v>2561</v>
      </c>
      <c r="N43" s="162" t="s">
        <v>2717</v>
      </c>
      <c r="O43" s="162" t="s">
        <v>2720</v>
      </c>
      <c r="P43" s="162" t="s">
        <v>2719</v>
      </c>
      <c r="Q43" s="162" t="s">
        <v>2722</v>
      </c>
      <c r="R43" s="162" t="s">
        <v>2713</v>
      </c>
      <c r="S43" s="162">
        <v>4.5400000000000003E-2</v>
      </c>
      <c r="T43" s="162">
        <v>3.8671999999999984E-2</v>
      </c>
      <c r="U43" s="99">
        <f t="shared" si="3"/>
        <v>6.7280000000000187E-3</v>
      </c>
      <c r="V43" s="162">
        <v>3.8740000000000001</v>
      </c>
      <c r="W43" s="162">
        <v>14.207000000000001</v>
      </c>
      <c r="X43" s="162">
        <f t="shared" si="4"/>
        <v>55.037918000000005</v>
      </c>
      <c r="Y43" s="101"/>
    </row>
    <row r="44" spans="1:25" ht="16">
      <c r="A44" s="162" t="s">
        <v>25</v>
      </c>
      <c r="B44" s="100" t="s">
        <v>171</v>
      </c>
      <c r="C44" s="162" t="s">
        <v>1744</v>
      </c>
      <c r="D44" s="162" t="str">
        <f t="shared" si="2"/>
        <v>COFFS</v>
      </c>
      <c r="E44" s="162" t="s">
        <v>2536</v>
      </c>
      <c r="F44" s="102">
        <v>-30.139927</v>
      </c>
      <c r="G44" s="99">
        <v>153.18624700000001</v>
      </c>
      <c r="H44" s="99">
        <v>0</v>
      </c>
      <c r="I44" s="164">
        <v>42881</v>
      </c>
      <c r="J44" s="162" t="s">
        <v>2644</v>
      </c>
      <c r="K44" s="162" t="s">
        <v>831</v>
      </c>
      <c r="L44" s="162" t="s">
        <v>2554</v>
      </c>
      <c r="M44" s="162" t="s">
        <v>2561</v>
      </c>
      <c r="N44" s="162" t="s">
        <v>2717</v>
      </c>
      <c r="O44" s="162" t="s">
        <v>2720</v>
      </c>
      <c r="P44" s="162" t="s">
        <v>2719</v>
      </c>
      <c r="Q44" s="162" t="s">
        <v>2722</v>
      </c>
      <c r="R44" s="162" t="s">
        <v>2712</v>
      </c>
      <c r="S44" s="162">
        <v>4.36E-2</v>
      </c>
      <c r="T44" s="162">
        <v>3.8671999999999984E-2</v>
      </c>
      <c r="U44" s="99">
        <f t="shared" si="3"/>
        <v>4.9280000000000157E-3</v>
      </c>
      <c r="V44" s="162">
        <v>3.9820000000000002</v>
      </c>
      <c r="W44" s="162">
        <v>15.462999999999999</v>
      </c>
      <c r="X44" s="162">
        <f t="shared" si="4"/>
        <v>61.573666000000003</v>
      </c>
      <c r="Y44" s="101"/>
    </row>
    <row r="45" spans="1:25" ht="16">
      <c r="A45" s="162" t="s">
        <v>25</v>
      </c>
      <c r="B45" s="100" t="s">
        <v>172</v>
      </c>
      <c r="C45" s="162" t="s">
        <v>1744</v>
      </c>
      <c r="D45" s="162" t="str">
        <f t="shared" si="2"/>
        <v>COFFS</v>
      </c>
      <c r="E45" s="162" t="s">
        <v>2536</v>
      </c>
      <c r="F45" s="102">
        <v>-30.139927</v>
      </c>
      <c r="G45" s="99">
        <v>153.18624700000001</v>
      </c>
      <c r="H45" s="99">
        <v>0</v>
      </c>
      <c r="I45" s="164">
        <v>42880</v>
      </c>
      <c r="J45" s="162" t="s">
        <v>2644</v>
      </c>
      <c r="K45" s="162" t="s">
        <v>831</v>
      </c>
      <c r="L45" s="162" t="s">
        <v>2554</v>
      </c>
      <c r="M45" s="162" t="s">
        <v>2561</v>
      </c>
      <c r="N45" s="162" t="s">
        <v>2717</v>
      </c>
      <c r="O45" s="162" t="s">
        <v>2717</v>
      </c>
      <c r="P45" s="162" t="s">
        <v>36</v>
      </c>
      <c r="Q45" s="162" t="s">
        <v>2746</v>
      </c>
      <c r="R45" s="162" t="s">
        <v>2713</v>
      </c>
      <c r="S45" s="162">
        <v>3.9399999999999998E-2</v>
      </c>
      <c r="T45" s="162">
        <v>3.8671999999999984E-2</v>
      </c>
      <c r="U45" s="99">
        <f t="shared" si="3"/>
        <v>7.2800000000001336E-4</v>
      </c>
      <c r="V45" s="162">
        <v>1.9419999999999999</v>
      </c>
      <c r="W45" s="162">
        <f>5.58+4.038</f>
        <v>9.6180000000000003</v>
      </c>
      <c r="X45" s="162">
        <f t="shared" si="4"/>
        <v>18.678156000000001</v>
      </c>
      <c r="Y45" s="101"/>
    </row>
    <row r="46" spans="1:25" ht="16">
      <c r="A46" s="162" t="s">
        <v>25</v>
      </c>
      <c r="B46" s="100" t="s">
        <v>173</v>
      </c>
      <c r="C46" s="162" t="s">
        <v>1744</v>
      </c>
      <c r="D46" s="162" t="str">
        <f t="shared" si="2"/>
        <v>COFFS</v>
      </c>
      <c r="E46" s="162" t="s">
        <v>2540</v>
      </c>
      <c r="F46" s="102">
        <v>-30.037337000000001</v>
      </c>
      <c r="G46" s="99">
        <v>153.147063</v>
      </c>
      <c r="H46" s="99">
        <v>0</v>
      </c>
      <c r="I46" s="164">
        <v>42881</v>
      </c>
      <c r="J46" s="162" t="s">
        <v>36</v>
      </c>
      <c r="K46" s="162" t="s">
        <v>154</v>
      </c>
      <c r="L46" s="162" t="s">
        <v>2554</v>
      </c>
      <c r="M46" s="162" t="s">
        <v>2561</v>
      </c>
      <c r="N46" s="162" t="s">
        <v>2717</v>
      </c>
      <c r="O46" s="162" t="s">
        <v>2720</v>
      </c>
      <c r="P46" s="162" t="s">
        <v>2719</v>
      </c>
      <c r="Q46" s="162" t="s">
        <v>2722</v>
      </c>
      <c r="R46" s="162" t="s">
        <v>2713</v>
      </c>
      <c r="S46" s="162">
        <v>4.2700000000000002E-2</v>
      </c>
      <c r="T46" s="162">
        <v>3.8671999999999984E-2</v>
      </c>
      <c r="U46" s="99">
        <f t="shared" si="3"/>
        <v>4.0280000000000177E-3</v>
      </c>
      <c r="V46" s="162">
        <v>3.8260000000000001</v>
      </c>
      <c r="W46" s="162">
        <v>14.882999999999999</v>
      </c>
      <c r="X46" s="162">
        <f t="shared" si="4"/>
        <v>56.942357999999999</v>
      </c>
      <c r="Y46" s="101"/>
    </row>
    <row r="47" spans="1:25" ht="16">
      <c r="A47" s="162" t="s">
        <v>25</v>
      </c>
      <c r="B47" s="100" t="s">
        <v>174</v>
      </c>
      <c r="C47" s="162" t="s">
        <v>1744</v>
      </c>
      <c r="D47" s="162" t="str">
        <f t="shared" si="2"/>
        <v>COFFS</v>
      </c>
      <c r="E47" s="162" t="s">
        <v>2540</v>
      </c>
      <c r="F47" s="102">
        <v>-30.037337000000001</v>
      </c>
      <c r="G47" s="99">
        <v>153.147063</v>
      </c>
      <c r="H47" s="99">
        <v>0</v>
      </c>
      <c r="I47" s="164">
        <v>42881</v>
      </c>
      <c r="J47" s="162" t="s">
        <v>36</v>
      </c>
      <c r="K47" s="162" t="s">
        <v>154</v>
      </c>
      <c r="L47" s="162" t="s">
        <v>2554</v>
      </c>
      <c r="M47" s="162" t="s">
        <v>2561</v>
      </c>
      <c r="N47" s="162" t="s">
        <v>2717</v>
      </c>
      <c r="O47" s="162" t="s">
        <v>2717</v>
      </c>
      <c r="P47" s="162" t="s">
        <v>36</v>
      </c>
      <c r="Q47" s="162" t="s">
        <v>2746</v>
      </c>
      <c r="R47" s="162" t="s">
        <v>2712</v>
      </c>
      <c r="S47" s="162">
        <v>4.0099999999999997E-2</v>
      </c>
      <c r="T47" s="162">
        <v>3.8671999999999984E-2</v>
      </c>
      <c r="U47" s="99">
        <f t="shared" si="3"/>
        <v>1.4280000000000126E-3</v>
      </c>
      <c r="V47" s="162">
        <v>1.9810000000000001</v>
      </c>
      <c r="W47" s="162">
        <f>2.663+1.952+5.69</f>
        <v>10.305</v>
      </c>
      <c r="X47" s="162">
        <f t="shared" si="4"/>
        <v>20.414204999999999</v>
      </c>
      <c r="Y47" s="101"/>
    </row>
    <row r="48" spans="1:25" ht="16">
      <c r="A48" s="162" t="s">
        <v>25</v>
      </c>
      <c r="B48" s="100" t="s">
        <v>193</v>
      </c>
      <c r="C48" s="162" t="s">
        <v>1744</v>
      </c>
      <c r="D48" s="162" t="str">
        <f t="shared" si="2"/>
        <v>COFFS</v>
      </c>
      <c r="E48" s="162" t="s">
        <v>2543</v>
      </c>
      <c r="F48" s="105">
        <v>-29.997240000000001</v>
      </c>
      <c r="G48" s="99">
        <v>153.14993100000001</v>
      </c>
      <c r="H48" s="99">
        <v>0</v>
      </c>
      <c r="I48" s="164">
        <v>42860</v>
      </c>
      <c r="J48" s="162" t="s">
        <v>2785</v>
      </c>
      <c r="K48" s="162" t="s">
        <v>831</v>
      </c>
      <c r="L48" s="162" t="s">
        <v>2554</v>
      </c>
      <c r="M48" s="162" t="s">
        <v>2561</v>
      </c>
      <c r="N48" s="162" t="s">
        <v>2717</v>
      </c>
      <c r="O48" s="162" t="s">
        <v>2717</v>
      </c>
      <c r="P48" s="162" t="s">
        <v>36</v>
      </c>
      <c r="Q48" s="162" t="s">
        <v>2746</v>
      </c>
      <c r="R48" s="162" t="s">
        <v>2713</v>
      </c>
      <c r="S48" s="162">
        <v>6.8699999999999997E-2</v>
      </c>
      <c r="T48" s="162">
        <v>6.7166000000000003E-2</v>
      </c>
      <c r="U48" s="99">
        <f t="shared" si="3"/>
        <v>1.5339999999999937E-3</v>
      </c>
      <c r="V48" s="162">
        <v>1.71</v>
      </c>
      <c r="W48" s="162">
        <f>6.072+3.737</f>
        <v>9.8090000000000011</v>
      </c>
      <c r="X48" s="162">
        <f t="shared" si="4"/>
        <v>16.773390000000003</v>
      </c>
      <c r="Y48" s="101"/>
    </row>
    <row r="49" spans="1:25" ht="16">
      <c r="A49" s="162" t="s">
        <v>25</v>
      </c>
      <c r="B49" s="100" t="s">
        <v>194</v>
      </c>
      <c r="C49" s="162" t="s">
        <v>1744</v>
      </c>
      <c r="D49" s="162" t="str">
        <f t="shared" si="2"/>
        <v>COFFS</v>
      </c>
      <c r="E49" s="162" t="s">
        <v>2543</v>
      </c>
      <c r="F49" s="105">
        <v>-29.997240000000001</v>
      </c>
      <c r="G49" s="99">
        <v>153.14993100000001</v>
      </c>
      <c r="H49" s="99">
        <v>0</v>
      </c>
      <c r="I49" s="164">
        <v>42863</v>
      </c>
      <c r="J49" s="162" t="s">
        <v>2785</v>
      </c>
      <c r="K49" s="162" t="s">
        <v>831</v>
      </c>
      <c r="L49" s="162" t="s">
        <v>2554</v>
      </c>
      <c r="M49" s="162" t="s">
        <v>2561</v>
      </c>
      <c r="N49" s="162" t="s">
        <v>2717</v>
      </c>
      <c r="O49" s="162" t="s">
        <v>2717</v>
      </c>
      <c r="P49" s="162" t="s">
        <v>36</v>
      </c>
      <c r="Q49" s="162" t="s">
        <v>2746</v>
      </c>
      <c r="R49" s="162" t="s">
        <v>2713</v>
      </c>
      <c r="S49" s="162">
        <v>6.9099999999999995E-2</v>
      </c>
      <c r="T49" s="162">
        <v>6.7166000000000003E-2</v>
      </c>
      <c r="U49" s="99">
        <f t="shared" si="3"/>
        <v>1.9339999999999913E-3</v>
      </c>
      <c r="V49" s="162">
        <v>2.1379999999999999</v>
      </c>
      <c r="W49" s="162">
        <f>2.921+7.585</f>
        <v>10.506</v>
      </c>
      <c r="X49" s="162">
        <f t="shared" si="4"/>
        <v>22.461828000000001</v>
      </c>
      <c r="Y49" s="101"/>
    </row>
    <row r="50" spans="1:25" ht="16">
      <c r="A50" s="162" t="s">
        <v>25</v>
      </c>
      <c r="B50" s="100" t="s">
        <v>198</v>
      </c>
      <c r="C50" s="162" t="s">
        <v>1744</v>
      </c>
      <c r="D50" s="162" t="str">
        <f t="shared" si="2"/>
        <v>COFFS</v>
      </c>
      <c r="E50" s="162" t="s">
        <v>2524</v>
      </c>
      <c r="F50" s="102">
        <v>-30.002158999999999</v>
      </c>
      <c r="G50" s="99">
        <v>153.14892399999999</v>
      </c>
      <c r="H50" s="99">
        <v>0</v>
      </c>
      <c r="I50" s="164">
        <v>42863</v>
      </c>
      <c r="J50" s="162" t="s">
        <v>2786</v>
      </c>
      <c r="K50" s="162" t="s">
        <v>831</v>
      </c>
      <c r="L50" s="162" t="s">
        <v>2554</v>
      </c>
      <c r="M50" s="162" t="s">
        <v>2561</v>
      </c>
      <c r="N50" s="162" t="s">
        <v>2717</v>
      </c>
      <c r="O50" s="162" t="s">
        <v>2720</v>
      </c>
      <c r="P50" s="162" t="s">
        <v>2719</v>
      </c>
      <c r="Q50" s="162" t="s">
        <v>2722</v>
      </c>
      <c r="R50" s="162" t="s">
        <v>2713</v>
      </c>
      <c r="S50" s="162">
        <v>7.2999999999999995E-2</v>
      </c>
      <c r="T50" s="162">
        <v>6.7166000000000003E-2</v>
      </c>
      <c r="U50" s="99">
        <f t="shared" si="3"/>
        <v>5.833999999999992E-3</v>
      </c>
      <c r="V50" s="162">
        <v>3.3570000000000002</v>
      </c>
      <c r="W50" s="162">
        <f>8.962+5.05</f>
        <v>14.012</v>
      </c>
      <c r="X50" s="162">
        <f t="shared" si="4"/>
        <v>47.038284000000004</v>
      </c>
      <c r="Y50" s="101"/>
    </row>
    <row r="51" spans="1:25" ht="16">
      <c r="A51" s="162" t="s">
        <v>25</v>
      </c>
      <c r="B51" s="100" t="s">
        <v>202</v>
      </c>
      <c r="C51" s="162" t="s">
        <v>1744</v>
      </c>
      <c r="D51" s="162" t="str">
        <f t="shared" si="2"/>
        <v>COFFS</v>
      </c>
      <c r="E51" s="162" t="s">
        <v>2524</v>
      </c>
      <c r="F51" s="102">
        <v>-30.002158999999999</v>
      </c>
      <c r="G51" s="99">
        <v>153.14892399999999</v>
      </c>
      <c r="H51" s="99">
        <v>0</v>
      </c>
      <c r="I51" s="164">
        <v>42864</v>
      </c>
      <c r="J51" s="162" t="s">
        <v>2786</v>
      </c>
      <c r="K51" s="162" t="s">
        <v>831</v>
      </c>
      <c r="L51" s="162" t="s">
        <v>2554</v>
      </c>
      <c r="M51" s="162" t="s">
        <v>2561</v>
      </c>
      <c r="N51" s="162" t="s">
        <v>2717</v>
      </c>
      <c r="O51" s="162" t="s">
        <v>2717</v>
      </c>
      <c r="P51" s="162" t="s">
        <v>36</v>
      </c>
      <c r="Q51" s="162" t="s">
        <v>2746</v>
      </c>
      <c r="R51" s="162" t="s">
        <v>2713</v>
      </c>
      <c r="S51" s="162">
        <v>6.88E-2</v>
      </c>
      <c r="T51" s="162">
        <v>6.7166000000000003E-2</v>
      </c>
      <c r="U51" s="99">
        <f t="shared" si="3"/>
        <v>1.6339999999999966E-3</v>
      </c>
      <c r="V51" s="162">
        <v>1.6950000000000001</v>
      </c>
      <c r="W51" s="162">
        <f>3.875+5.628</f>
        <v>9.5030000000000001</v>
      </c>
      <c r="X51" s="162">
        <f t="shared" si="4"/>
        <v>16.107585</v>
      </c>
      <c r="Y51" s="101"/>
    </row>
    <row r="52" spans="1:25" ht="16">
      <c r="A52" s="162" t="s">
        <v>25</v>
      </c>
      <c r="B52" s="100" t="s">
        <v>205</v>
      </c>
      <c r="C52" s="162" t="s">
        <v>1744</v>
      </c>
      <c r="D52" s="162" t="str">
        <f t="shared" si="2"/>
        <v>COFFS</v>
      </c>
      <c r="E52" s="162" t="s">
        <v>2524</v>
      </c>
      <c r="F52" s="102">
        <v>-30.002158999999999</v>
      </c>
      <c r="G52" s="99">
        <v>153.14892399999999</v>
      </c>
      <c r="H52" s="99">
        <v>0</v>
      </c>
      <c r="I52" s="164">
        <v>42864</v>
      </c>
      <c r="J52" s="162" t="s">
        <v>2786</v>
      </c>
      <c r="K52" s="162" t="s">
        <v>831</v>
      </c>
      <c r="L52" s="162" t="s">
        <v>2554</v>
      </c>
      <c r="M52" s="162" t="s">
        <v>2561</v>
      </c>
      <c r="N52" s="162" t="s">
        <v>2717</v>
      </c>
      <c r="O52" s="162" t="s">
        <v>2717</v>
      </c>
      <c r="P52" s="162" t="s">
        <v>36</v>
      </c>
      <c r="Q52" s="162" t="s">
        <v>2746</v>
      </c>
      <c r="R52" s="162" t="s">
        <v>2713</v>
      </c>
      <c r="S52" s="162">
        <v>6.8900000000000003E-2</v>
      </c>
      <c r="T52" s="162">
        <v>6.7166000000000003E-2</v>
      </c>
      <c r="U52" s="99">
        <f t="shared" si="3"/>
        <v>1.7339999999999994E-3</v>
      </c>
      <c r="V52" s="162">
        <v>2.2559999999999998</v>
      </c>
      <c r="W52" s="162">
        <f>6.078+4.157</f>
        <v>10.234999999999999</v>
      </c>
      <c r="X52" s="162">
        <f t="shared" si="4"/>
        <v>23.090159999999997</v>
      </c>
      <c r="Y52" s="101"/>
    </row>
    <row r="53" spans="1:25" ht="16">
      <c r="A53" s="162" t="s">
        <v>25</v>
      </c>
      <c r="B53" s="100" t="s">
        <v>217</v>
      </c>
      <c r="C53" s="162" t="s">
        <v>1744</v>
      </c>
      <c r="D53" s="162" t="str">
        <f t="shared" si="2"/>
        <v>COFFS</v>
      </c>
      <c r="E53" s="162" t="s">
        <v>2524</v>
      </c>
      <c r="F53" s="102">
        <v>-30.002158999999999</v>
      </c>
      <c r="G53" s="99">
        <v>153.14892399999999</v>
      </c>
      <c r="H53" s="99">
        <v>0</v>
      </c>
      <c r="I53" s="164">
        <v>42864</v>
      </c>
      <c r="J53" s="162" t="s">
        <v>2786</v>
      </c>
      <c r="K53" s="162" t="s">
        <v>831</v>
      </c>
      <c r="L53" s="162" t="s">
        <v>2554</v>
      </c>
      <c r="M53" s="162" t="s">
        <v>2561</v>
      </c>
      <c r="N53" s="162" t="s">
        <v>2717</v>
      </c>
      <c r="O53" s="162" t="s">
        <v>2717</v>
      </c>
      <c r="P53" s="162" t="s">
        <v>36</v>
      </c>
      <c r="Q53" s="162" t="s">
        <v>2746</v>
      </c>
      <c r="R53" s="162" t="s">
        <v>2712</v>
      </c>
      <c r="S53" s="162">
        <v>6.9000000000000006E-2</v>
      </c>
      <c r="T53" s="162">
        <v>6.7166000000000003E-2</v>
      </c>
      <c r="U53" s="99">
        <f t="shared" si="3"/>
        <v>1.8340000000000023E-3</v>
      </c>
      <c r="V53" s="162">
        <v>1.6240000000000001</v>
      </c>
      <c r="W53" s="162">
        <f>2.854+3.42+4.099</f>
        <v>10.373000000000001</v>
      </c>
      <c r="X53" s="162">
        <f t="shared" si="4"/>
        <v>16.845752000000005</v>
      </c>
      <c r="Y53" s="101"/>
    </row>
    <row r="54" spans="1:25" ht="16">
      <c r="A54" s="162" t="s">
        <v>25</v>
      </c>
      <c r="B54" s="100" t="s">
        <v>2634</v>
      </c>
      <c r="C54" s="162" t="s">
        <v>1744</v>
      </c>
      <c r="D54" s="162" t="str">
        <f t="shared" si="2"/>
        <v>COFFS</v>
      </c>
      <c r="E54" s="162" t="s">
        <v>2539</v>
      </c>
      <c r="F54" s="102">
        <v>-29.988817000000001</v>
      </c>
      <c r="G54" s="99">
        <v>153.13584900000001</v>
      </c>
      <c r="H54" s="99">
        <v>0</v>
      </c>
      <c r="I54" s="164">
        <v>42875</v>
      </c>
      <c r="J54" s="162" t="s">
        <v>36</v>
      </c>
      <c r="K54" s="162" t="s">
        <v>154</v>
      </c>
      <c r="L54" s="162" t="s">
        <v>2554</v>
      </c>
      <c r="M54" s="162" t="s">
        <v>2561</v>
      </c>
      <c r="N54" s="162" t="s">
        <v>2717</v>
      </c>
      <c r="O54" s="162" t="s">
        <v>2720</v>
      </c>
      <c r="P54" s="162" t="s">
        <v>2719</v>
      </c>
      <c r="Q54" s="162" t="s">
        <v>2722</v>
      </c>
      <c r="R54" s="162" t="s">
        <v>2712</v>
      </c>
      <c r="S54" s="162">
        <v>7.4800000000000005E-2</v>
      </c>
      <c r="T54" s="162">
        <v>6.7166000000000003E-2</v>
      </c>
      <c r="U54" s="99">
        <f t="shared" si="3"/>
        <v>7.6340000000000019E-3</v>
      </c>
      <c r="V54" s="162">
        <v>4.0270000000000001</v>
      </c>
      <c r="W54" s="162">
        <f>5.082+9.259</f>
        <v>14.341000000000001</v>
      </c>
      <c r="X54" s="162">
        <f t="shared" si="4"/>
        <v>57.751207000000008</v>
      </c>
      <c r="Y54" s="101"/>
    </row>
    <row r="55" spans="1:25" ht="16">
      <c r="A55" s="162" t="s">
        <v>25</v>
      </c>
      <c r="B55" s="100" t="s">
        <v>2635</v>
      </c>
      <c r="C55" s="162" t="s">
        <v>1744</v>
      </c>
      <c r="D55" s="162" t="str">
        <f t="shared" si="2"/>
        <v>COFFS</v>
      </c>
      <c r="E55" s="162" t="s">
        <v>2539</v>
      </c>
      <c r="F55" s="102">
        <v>-29.988817000000001</v>
      </c>
      <c r="G55" s="99">
        <v>153.13584900000001</v>
      </c>
      <c r="H55" s="99">
        <v>0</v>
      </c>
      <c r="I55" s="164">
        <v>42875</v>
      </c>
      <c r="J55" s="162" t="s">
        <v>36</v>
      </c>
      <c r="K55" s="162" t="s">
        <v>154</v>
      </c>
      <c r="L55" s="162" t="s">
        <v>2554</v>
      </c>
      <c r="M55" s="162" t="s">
        <v>2561</v>
      </c>
      <c r="N55" s="162" t="s">
        <v>2717</v>
      </c>
      <c r="O55" s="162" t="s">
        <v>2720</v>
      </c>
      <c r="P55" s="162" t="s">
        <v>2719</v>
      </c>
      <c r="Q55" s="162" t="s">
        <v>2722</v>
      </c>
      <c r="R55" s="162" t="s">
        <v>2712</v>
      </c>
      <c r="S55" s="162">
        <v>7.3599999999999999E-2</v>
      </c>
      <c r="T55" s="162">
        <v>6.7166000000000003E-2</v>
      </c>
      <c r="U55" s="99">
        <f t="shared" si="3"/>
        <v>6.4339999999999953E-3</v>
      </c>
      <c r="V55" s="162">
        <v>4.1619999999999999</v>
      </c>
      <c r="W55" s="162">
        <f>9.847+5.694</f>
        <v>15.541</v>
      </c>
      <c r="X55" s="162">
        <f t="shared" si="4"/>
        <v>64.681641999999997</v>
      </c>
      <c r="Y55" s="101"/>
    </row>
    <row r="56" spans="1:25" ht="16">
      <c r="A56" s="162" t="s">
        <v>25</v>
      </c>
      <c r="B56" s="100" t="s">
        <v>2637</v>
      </c>
      <c r="C56" s="162" t="s">
        <v>1744</v>
      </c>
      <c r="D56" s="162" t="str">
        <f t="shared" si="2"/>
        <v>COFFS</v>
      </c>
      <c r="E56" s="162" t="s">
        <v>2539</v>
      </c>
      <c r="F56" s="102">
        <v>-29.988817000000001</v>
      </c>
      <c r="G56" s="99">
        <v>153.13584900000001</v>
      </c>
      <c r="H56" s="99">
        <v>0</v>
      </c>
      <c r="I56" s="164">
        <v>42875</v>
      </c>
      <c r="J56" s="162" t="s">
        <v>36</v>
      </c>
      <c r="K56" s="162" t="s">
        <v>154</v>
      </c>
      <c r="L56" s="162" t="s">
        <v>2554</v>
      </c>
      <c r="M56" s="162" t="s">
        <v>2561</v>
      </c>
      <c r="N56" s="162" t="s">
        <v>2717</v>
      </c>
      <c r="O56" s="162" t="s">
        <v>2720</v>
      </c>
      <c r="P56" s="162" t="s">
        <v>2719</v>
      </c>
      <c r="Q56" s="162" t="s">
        <v>2722</v>
      </c>
      <c r="R56" s="162" t="s">
        <v>2712</v>
      </c>
      <c r="S56" s="162">
        <v>7.2700000000000001E-2</v>
      </c>
      <c r="T56" s="162">
        <v>6.7166000000000003E-2</v>
      </c>
      <c r="U56" s="99">
        <f t="shared" si="3"/>
        <v>5.5339999999999973E-3</v>
      </c>
      <c r="V56" s="162">
        <v>3.984</v>
      </c>
      <c r="W56" s="162">
        <f>11.572+3.194</f>
        <v>14.765999999999998</v>
      </c>
      <c r="X56" s="162">
        <f t="shared" si="4"/>
        <v>58.827743999999996</v>
      </c>
      <c r="Y56" s="101"/>
    </row>
    <row r="57" spans="1:25" ht="16">
      <c r="A57" s="162" t="s">
        <v>25</v>
      </c>
      <c r="B57" s="100" t="s">
        <v>2639</v>
      </c>
      <c r="C57" s="162" t="s">
        <v>1744</v>
      </c>
      <c r="D57" s="162" t="str">
        <f t="shared" si="2"/>
        <v>COFFS</v>
      </c>
      <c r="E57" s="162" t="s">
        <v>2539</v>
      </c>
      <c r="F57" s="102">
        <v>-29.988817000000001</v>
      </c>
      <c r="G57" s="99">
        <v>153.13584900000001</v>
      </c>
      <c r="H57" s="99">
        <v>0</v>
      </c>
      <c r="I57" s="164">
        <v>42875</v>
      </c>
      <c r="J57" s="162" t="s">
        <v>36</v>
      </c>
      <c r="K57" s="162" t="s">
        <v>154</v>
      </c>
      <c r="L57" s="162" t="s">
        <v>2554</v>
      </c>
      <c r="M57" s="162" t="s">
        <v>2561</v>
      </c>
      <c r="N57" s="162" t="s">
        <v>2717</v>
      </c>
      <c r="O57" s="162" t="s">
        <v>2720</v>
      </c>
      <c r="P57" s="162" t="s">
        <v>2719</v>
      </c>
      <c r="Q57" s="162" t="s">
        <v>2722</v>
      </c>
      <c r="R57" s="162" t="s">
        <v>2713</v>
      </c>
      <c r="S57" s="162">
        <v>4.4400000000000002E-2</v>
      </c>
      <c r="T57" s="162">
        <v>3.8671999999999984E-2</v>
      </c>
      <c r="U57" s="99">
        <f t="shared" si="3"/>
        <v>5.7280000000000178E-3</v>
      </c>
      <c r="V57" s="162">
        <v>3.339</v>
      </c>
      <c r="W57" s="162">
        <f>8.908+5.224</f>
        <v>14.132</v>
      </c>
      <c r="X57" s="162">
        <f t="shared" si="4"/>
        <v>47.186748000000001</v>
      </c>
      <c r="Y57" s="101"/>
    </row>
    <row r="58" spans="1:25" ht="16">
      <c r="A58" s="162" t="s">
        <v>25</v>
      </c>
      <c r="B58" s="100" t="s">
        <v>2640</v>
      </c>
      <c r="C58" s="162" t="s">
        <v>1744</v>
      </c>
      <c r="D58" s="162" t="str">
        <f t="shared" si="2"/>
        <v>COFFS</v>
      </c>
      <c r="E58" s="162" t="s">
        <v>2539</v>
      </c>
      <c r="F58" s="102">
        <v>-29.988817000000001</v>
      </c>
      <c r="G58" s="99">
        <v>153.13584900000001</v>
      </c>
      <c r="H58" s="99">
        <v>0</v>
      </c>
      <c r="I58" s="164">
        <v>42875</v>
      </c>
      <c r="J58" s="162" t="s">
        <v>36</v>
      </c>
      <c r="K58" s="162" t="s">
        <v>154</v>
      </c>
      <c r="L58" s="162" t="s">
        <v>2554</v>
      </c>
      <c r="M58" s="162" t="s">
        <v>2561</v>
      </c>
      <c r="N58" s="162" t="s">
        <v>2717</v>
      </c>
      <c r="O58" s="162" t="s">
        <v>2720</v>
      </c>
      <c r="P58" s="162" t="s">
        <v>2719</v>
      </c>
      <c r="Q58" s="162" t="s">
        <v>2722</v>
      </c>
      <c r="R58" s="162" t="s">
        <v>2713</v>
      </c>
      <c r="S58" s="162">
        <v>4.6300000000000001E-2</v>
      </c>
      <c r="T58" s="162">
        <v>3.8671999999999984E-2</v>
      </c>
      <c r="U58" s="99">
        <f t="shared" si="3"/>
        <v>7.6280000000000167E-3</v>
      </c>
      <c r="V58" s="162">
        <v>3.7040000000000002</v>
      </c>
      <c r="W58" s="162">
        <f>10.901+2.926</f>
        <v>13.827</v>
      </c>
      <c r="X58" s="162">
        <f t="shared" si="4"/>
        <v>51.215208000000004</v>
      </c>
      <c r="Y58" s="101"/>
    </row>
    <row r="59" spans="1:25" ht="16">
      <c r="A59" s="162" t="s">
        <v>25</v>
      </c>
      <c r="B59" s="100" t="s">
        <v>2641</v>
      </c>
      <c r="C59" s="162" t="s">
        <v>1744</v>
      </c>
      <c r="D59" s="162" t="str">
        <f t="shared" si="2"/>
        <v>COFFS</v>
      </c>
      <c r="E59" s="162" t="s">
        <v>2539</v>
      </c>
      <c r="F59" s="102">
        <v>-29.988817000000001</v>
      </c>
      <c r="G59" s="99">
        <v>153.13584900000001</v>
      </c>
      <c r="H59" s="99">
        <v>0</v>
      </c>
      <c r="I59" s="164">
        <v>42875</v>
      </c>
      <c r="J59" s="162" t="s">
        <v>36</v>
      </c>
      <c r="K59" s="162" t="s">
        <v>154</v>
      </c>
      <c r="L59" s="162" t="s">
        <v>2554</v>
      </c>
      <c r="M59" s="162" t="s">
        <v>2561</v>
      </c>
      <c r="N59" s="162" t="s">
        <v>2717</v>
      </c>
      <c r="O59" s="162" t="s">
        <v>2720</v>
      </c>
      <c r="P59" s="162" t="s">
        <v>2719</v>
      </c>
      <c r="Q59" s="162" t="s">
        <v>2722</v>
      </c>
      <c r="R59" s="162" t="s">
        <v>2713</v>
      </c>
      <c r="S59" s="162">
        <v>4.2000000000000003E-2</v>
      </c>
      <c r="T59" s="162">
        <v>3.8671999999999984E-2</v>
      </c>
      <c r="U59" s="99">
        <f t="shared" si="3"/>
        <v>3.3280000000000184E-3</v>
      </c>
      <c r="V59" s="162">
        <v>2.5049999999999999</v>
      </c>
      <c r="W59" s="162">
        <v>12.087999999999999</v>
      </c>
      <c r="X59" s="162">
        <f t="shared" si="4"/>
        <v>30.280439999999995</v>
      </c>
      <c r="Y59" s="101"/>
    </row>
    <row r="60" spans="1:25" ht="16">
      <c r="A60" s="162" t="s">
        <v>25</v>
      </c>
      <c r="B60" s="100" t="s">
        <v>2642</v>
      </c>
      <c r="C60" s="162" t="s">
        <v>1744</v>
      </c>
      <c r="D60" s="162" t="str">
        <f t="shared" si="2"/>
        <v>COFFS</v>
      </c>
      <c r="E60" s="162" t="s">
        <v>2539</v>
      </c>
      <c r="F60" s="102">
        <v>-29.988817000000001</v>
      </c>
      <c r="G60" s="99">
        <v>153.13584900000001</v>
      </c>
      <c r="H60" s="99">
        <v>0</v>
      </c>
      <c r="I60" s="164">
        <v>42875</v>
      </c>
      <c r="J60" s="162" t="s">
        <v>36</v>
      </c>
      <c r="K60" s="162" t="s">
        <v>154</v>
      </c>
      <c r="L60" s="162" t="s">
        <v>2554</v>
      </c>
      <c r="M60" s="162" t="s">
        <v>2561</v>
      </c>
      <c r="N60" s="162" t="s">
        <v>2717</v>
      </c>
      <c r="O60" s="162" t="s">
        <v>2720</v>
      </c>
      <c r="P60" s="162" t="s">
        <v>2719</v>
      </c>
      <c r="Q60" s="162" t="s">
        <v>2722</v>
      </c>
      <c r="R60" s="162" t="s">
        <v>2713</v>
      </c>
      <c r="S60" s="162">
        <v>4.5199999999999997E-2</v>
      </c>
      <c r="T60" s="162">
        <v>3.8671999999999984E-2</v>
      </c>
      <c r="U60" s="99">
        <f t="shared" si="3"/>
        <v>6.528000000000013E-3</v>
      </c>
      <c r="V60" s="162">
        <v>3.5089999999999999</v>
      </c>
      <c r="W60" s="162">
        <f>8.258+4.811</f>
        <v>13.068999999999999</v>
      </c>
      <c r="X60" s="162">
        <f t="shared" si="4"/>
        <v>45.859120999999995</v>
      </c>
      <c r="Y60" s="101"/>
    </row>
    <row r="61" spans="1:25" ht="16">
      <c r="A61" s="162" t="s">
        <v>25</v>
      </c>
      <c r="B61" s="100" t="s">
        <v>227</v>
      </c>
      <c r="C61" s="162" t="s">
        <v>1744</v>
      </c>
      <c r="D61" s="162" t="str">
        <f t="shared" si="2"/>
        <v>COFFS</v>
      </c>
      <c r="E61" s="162" t="s">
        <v>2522</v>
      </c>
      <c r="F61" s="102">
        <v>-29.943010999999998</v>
      </c>
      <c r="G61" s="99">
        <v>153.12657400000001</v>
      </c>
      <c r="H61" s="99">
        <v>0</v>
      </c>
      <c r="I61" s="164">
        <v>42833</v>
      </c>
      <c r="J61" s="162" t="s">
        <v>2097</v>
      </c>
      <c r="K61" s="162" t="s">
        <v>831</v>
      </c>
      <c r="L61" s="162" t="s">
        <v>2554</v>
      </c>
      <c r="M61" s="162" t="s">
        <v>2561</v>
      </c>
      <c r="N61" s="162" t="s">
        <v>2717</v>
      </c>
      <c r="O61" s="162" t="s">
        <v>2720</v>
      </c>
      <c r="P61" s="162" t="s">
        <v>2719</v>
      </c>
      <c r="Q61" s="162" t="s">
        <v>2722</v>
      </c>
      <c r="R61" s="162" t="s">
        <v>2712</v>
      </c>
      <c r="S61" s="162">
        <v>7.0400000000000004E-2</v>
      </c>
      <c r="T61" s="162">
        <v>6.7166000000000003E-2</v>
      </c>
      <c r="U61" s="99">
        <f t="shared" si="3"/>
        <v>3.2340000000000008E-3</v>
      </c>
      <c r="V61" s="162">
        <v>3.6829999999999998</v>
      </c>
      <c r="W61" s="162">
        <v>13.2079</v>
      </c>
      <c r="X61" s="162">
        <f t="shared" si="4"/>
        <v>48.6446957</v>
      </c>
      <c r="Y61" s="101"/>
    </row>
    <row r="62" spans="1:25" ht="16">
      <c r="A62" s="162" t="s">
        <v>25</v>
      </c>
      <c r="B62" s="100" t="s">
        <v>237</v>
      </c>
      <c r="C62" s="162" t="s">
        <v>1744</v>
      </c>
      <c r="D62" s="162" t="str">
        <f t="shared" si="2"/>
        <v>COFFS</v>
      </c>
      <c r="E62" s="162" t="s">
        <v>2522</v>
      </c>
      <c r="F62" s="102">
        <v>-29.943010999999998</v>
      </c>
      <c r="G62" s="99">
        <v>153.12657400000001</v>
      </c>
      <c r="H62" s="99">
        <v>0</v>
      </c>
      <c r="I62" s="164">
        <v>42833</v>
      </c>
      <c r="J62" s="162" t="s">
        <v>2097</v>
      </c>
      <c r="K62" s="162" t="s">
        <v>831</v>
      </c>
      <c r="L62" s="162" t="s">
        <v>2554</v>
      </c>
      <c r="M62" s="162" t="s">
        <v>2561</v>
      </c>
      <c r="N62" s="162" t="s">
        <v>2717</v>
      </c>
      <c r="O62" s="162" t="s">
        <v>2720</v>
      </c>
      <c r="P62" s="162" t="s">
        <v>2719</v>
      </c>
      <c r="Q62" s="162" t="s">
        <v>2722</v>
      </c>
      <c r="R62" s="162" t="s">
        <v>2713</v>
      </c>
      <c r="S62" s="162">
        <v>7.0900000000000005E-2</v>
      </c>
      <c r="T62" s="162">
        <v>6.7166000000000003E-2</v>
      </c>
      <c r="U62" s="99">
        <f t="shared" si="3"/>
        <v>3.7340000000000012E-3</v>
      </c>
      <c r="V62" s="162">
        <v>3.242</v>
      </c>
      <c r="W62" s="162">
        <v>12.906000000000001</v>
      </c>
      <c r="X62" s="162">
        <f t="shared" si="4"/>
        <v>41.841252000000004</v>
      </c>
      <c r="Y62" s="101"/>
    </row>
    <row r="63" spans="1:25" ht="16">
      <c r="A63" s="162" t="s">
        <v>25</v>
      </c>
      <c r="B63" s="100" t="s">
        <v>238</v>
      </c>
      <c r="C63" s="162" t="s">
        <v>1744</v>
      </c>
      <c r="D63" s="162" t="str">
        <f t="shared" si="2"/>
        <v>COFFS</v>
      </c>
      <c r="E63" s="162" t="s">
        <v>2522</v>
      </c>
      <c r="F63" s="102">
        <v>-29.943010999999998</v>
      </c>
      <c r="G63" s="99">
        <v>153.12657400000001</v>
      </c>
      <c r="H63" s="99">
        <v>0</v>
      </c>
      <c r="I63" s="164">
        <v>42833</v>
      </c>
      <c r="J63" s="162" t="s">
        <v>2097</v>
      </c>
      <c r="K63" s="162" t="s">
        <v>831</v>
      </c>
      <c r="L63" s="162" t="s">
        <v>2554</v>
      </c>
      <c r="M63" s="162" t="s">
        <v>2750</v>
      </c>
      <c r="N63" s="162" t="s">
        <v>2754</v>
      </c>
      <c r="O63" s="162" t="s">
        <v>2751</v>
      </c>
      <c r="P63" s="162" t="s">
        <v>2751</v>
      </c>
      <c r="Q63" s="162" t="s">
        <v>2753</v>
      </c>
      <c r="R63" s="162" t="s">
        <v>2713</v>
      </c>
      <c r="S63" s="162">
        <v>7.2499999999999995E-2</v>
      </c>
      <c r="T63" s="162">
        <v>6.7166000000000003E-2</v>
      </c>
      <c r="U63" s="99">
        <f t="shared" si="3"/>
        <v>5.3339999999999915E-3</v>
      </c>
      <c r="V63" s="162">
        <v>2.7069999999999999</v>
      </c>
      <c r="W63" s="162">
        <f>11.916+1.705+2.106</f>
        <v>15.727</v>
      </c>
      <c r="X63" s="162">
        <f t="shared" si="4"/>
        <v>42.572989</v>
      </c>
      <c r="Y63" s="101"/>
    </row>
    <row r="64" spans="1:25" ht="16">
      <c r="A64" s="162" t="s">
        <v>25</v>
      </c>
      <c r="B64" s="100" t="s">
        <v>239</v>
      </c>
      <c r="C64" s="162" t="s">
        <v>1744</v>
      </c>
      <c r="D64" s="162" t="str">
        <f t="shared" si="2"/>
        <v>ARMID</v>
      </c>
      <c r="E64" s="162" t="s">
        <v>2544</v>
      </c>
      <c r="F64" s="102">
        <v>-30.486018000000001</v>
      </c>
      <c r="G64" s="99">
        <v>151.641143</v>
      </c>
      <c r="H64" s="99">
        <v>0</v>
      </c>
      <c r="I64" s="164">
        <v>42841</v>
      </c>
      <c r="J64" s="162" t="s">
        <v>240</v>
      </c>
      <c r="K64" s="162" t="s">
        <v>831</v>
      </c>
      <c r="L64" s="162" t="s">
        <v>2554</v>
      </c>
      <c r="M64" s="162" t="s">
        <v>2561</v>
      </c>
      <c r="N64" s="162" t="s">
        <v>2717</v>
      </c>
      <c r="O64" s="162" t="s">
        <v>2720</v>
      </c>
      <c r="P64" s="162" t="s">
        <v>2719</v>
      </c>
      <c r="Q64" s="162" t="s">
        <v>2722</v>
      </c>
      <c r="R64" s="162" t="s">
        <v>2713</v>
      </c>
      <c r="S64" s="162">
        <v>7.5800000000000006E-2</v>
      </c>
      <c r="T64" s="162">
        <v>6.7166000000000003E-2</v>
      </c>
      <c r="U64" s="99">
        <f t="shared" si="3"/>
        <v>8.6340000000000028E-3</v>
      </c>
      <c r="V64" s="162">
        <v>4.03</v>
      </c>
      <c r="W64" s="162">
        <v>15.336</v>
      </c>
      <c r="X64" s="162">
        <f t="shared" si="4"/>
        <v>61.804080000000006</v>
      </c>
      <c r="Y64" s="101"/>
    </row>
    <row r="65" spans="1:25" ht="16">
      <c r="A65" s="162" t="s">
        <v>25</v>
      </c>
      <c r="B65" s="100" t="s">
        <v>241</v>
      </c>
      <c r="C65" s="162" t="s">
        <v>1744</v>
      </c>
      <c r="D65" s="162" t="str">
        <f t="shared" si="2"/>
        <v>ARMID</v>
      </c>
      <c r="E65" s="162" t="s">
        <v>2544</v>
      </c>
      <c r="F65" s="102">
        <v>-30.486018000000001</v>
      </c>
      <c r="G65" s="99">
        <v>151.641143</v>
      </c>
      <c r="H65" s="99">
        <v>0</v>
      </c>
      <c r="I65" s="164">
        <v>42841</v>
      </c>
      <c r="J65" s="162" t="s">
        <v>240</v>
      </c>
      <c r="K65" s="162" t="s">
        <v>831</v>
      </c>
      <c r="L65" s="162" t="s">
        <v>2554</v>
      </c>
      <c r="M65" s="162" t="s">
        <v>2561</v>
      </c>
      <c r="N65" s="162" t="s">
        <v>2717</v>
      </c>
      <c r="O65" s="162" t="s">
        <v>2720</v>
      </c>
      <c r="P65" s="162" t="s">
        <v>2719</v>
      </c>
      <c r="Q65" s="162" t="s">
        <v>2722</v>
      </c>
      <c r="R65" s="162" t="s">
        <v>2712</v>
      </c>
      <c r="S65" s="162">
        <v>7.5399999999999995E-2</v>
      </c>
      <c r="T65" s="162">
        <v>6.7166000000000003E-2</v>
      </c>
      <c r="U65" s="99">
        <f t="shared" si="3"/>
        <v>8.2339999999999913E-3</v>
      </c>
      <c r="V65" s="162">
        <v>4.306</v>
      </c>
      <c r="W65" s="162">
        <v>15.257</v>
      </c>
      <c r="X65" s="162">
        <f t="shared" si="4"/>
        <v>65.696641999999997</v>
      </c>
      <c r="Y65" s="101"/>
    </row>
    <row r="66" spans="1:25" ht="16">
      <c r="A66" s="162" t="s">
        <v>25</v>
      </c>
      <c r="B66" s="100" t="s">
        <v>242</v>
      </c>
      <c r="C66" s="162" t="s">
        <v>1744</v>
      </c>
      <c r="D66" s="162" t="str">
        <f t="shared" si="2"/>
        <v>ARMID</v>
      </c>
      <c r="E66" s="162" t="s">
        <v>2544</v>
      </c>
      <c r="F66" s="102">
        <v>-30.486018000000001</v>
      </c>
      <c r="G66" s="99">
        <v>151.641143</v>
      </c>
      <c r="H66" s="99">
        <v>0</v>
      </c>
      <c r="I66" s="164">
        <v>42841</v>
      </c>
      <c r="J66" s="162" t="s">
        <v>240</v>
      </c>
      <c r="K66" s="162" t="s">
        <v>831</v>
      </c>
      <c r="L66" s="162" t="s">
        <v>2554</v>
      </c>
      <c r="M66" s="162" t="s">
        <v>2561</v>
      </c>
      <c r="N66" s="162" t="s">
        <v>2717</v>
      </c>
      <c r="O66" s="162" t="s">
        <v>2720</v>
      </c>
      <c r="P66" s="162" t="s">
        <v>2719</v>
      </c>
      <c r="Q66" s="162" t="s">
        <v>2722</v>
      </c>
      <c r="R66" s="162" t="s">
        <v>2713</v>
      </c>
      <c r="S66" s="162">
        <v>7.6399999999999996E-2</v>
      </c>
      <c r="T66" s="162">
        <v>6.7166000000000003E-2</v>
      </c>
      <c r="U66" s="99">
        <f t="shared" ref="U66:U97" si="5">S66-T66</f>
        <v>9.2339999999999922E-3</v>
      </c>
      <c r="V66" s="162">
        <v>3.9009999999999998</v>
      </c>
      <c r="W66" s="162">
        <f>6.706+3.04+4.428</f>
        <v>14.173999999999999</v>
      </c>
      <c r="X66" s="162">
        <f t="shared" ref="X66:X97" si="6">V66*W66</f>
        <v>55.292773999999994</v>
      </c>
      <c r="Y66" s="101"/>
    </row>
    <row r="67" spans="1:25" ht="16">
      <c r="A67" s="162" t="s">
        <v>25</v>
      </c>
      <c r="B67" s="100" t="s">
        <v>243</v>
      </c>
      <c r="C67" s="162" t="s">
        <v>1744</v>
      </c>
      <c r="D67" s="162" t="str">
        <f t="shared" ref="D67:D76" si="7">LEFT(E67,5)</f>
        <v>ARMID</v>
      </c>
      <c r="E67" s="162" t="s">
        <v>2544</v>
      </c>
      <c r="F67" s="102">
        <v>-30.486018000000001</v>
      </c>
      <c r="G67" s="99">
        <v>151.641143</v>
      </c>
      <c r="H67" s="99">
        <v>0</v>
      </c>
      <c r="I67" s="164">
        <v>42841</v>
      </c>
      <c r="J67" s="162" t="s">
        <v>240</v>
      </c>
      <c r="K67" s="162" t="s">
        <v>831</v>
      </c>
      <c r="L67" s="162" t="s">
        <v>2554</v>
      </c>
      <c r="M67" s="162" t="s">
        <v>2561</v>
      </c>
      <c r="N67" s="162" t="s">
        <v>2717</v>
      </c>
      <c r="O67" s="162" t="s">
        <v>2720</v>
      </c>
      <c r="P67" s="162" t="s">
        <v>2719</v>
      </c>
      <c r="Q67" s="162" t="s">
        <v>2722</v>
      </c>
      <c r="R67" s="162" t="s">
        <v>2712</v>
      </c>
      <c r="S67" s="162">
        <v>7.7399999999999997E-2</v>
      </c>
      <c r="T67" s="162">
        <v>6.7166000000000003E-2</v>
      </c>
      <c r="U67" s="99">
        <f t="shared" si="5"/>
        <v>1.0233999999999993E-2</v>
      </c>
      <c r="V67" s="162">
        <v>4.0419999999999998</v>
      </c>
      <c r="W67" s="162">
        <v>14.38</v>
      </c>
      <c r="X67" s="162">
        <f t="shared" si="6"/>
        <v>58.123960000000004</v>
      </c>
      <c r="Y67" s="101"/>
    </row>
    <row r="68" spans="1:25" ht="16">
      <c r="A68" s="162" t="s">
        <v>25</v>
      </c>
      <c r="B68" s="100" t="s">
        <v>244</v>
      </c>
      <c r="C68" s="162" t="s">
        <v>1744</v>
      </c>
      <c r="D68" s="162" t="str">
        <f t="shared" si="7"/>
        <v>ARMID</v>
      </c>
      <c r="E68" s="162" t="s">
        <v>2544</v>
      </c>
      <c r="F68" s="102">
        <v>-30.486018000000001</v>
      </c>
      <c r="G68" s="99">
        <v>151.641143</v>
      </c>
      <c r="H68" s="99">
        <v>0</v>
      </c>
      <c r="I68" s="164">
        <v>42841</v>
      </c>
      <c r="J68" s="162" t="s">
        <v>240</v>
      </c>
      <c r="K68" s="162" t="s">
        <v>831</v>
      </c>
      <c r="L68" s="162" t="s">
        <v>2554</v>
      </c>
      <c r="M68" s="162" t="s">
        <v>2561</v>
      </c>
      <c r="N68" s="162" t="s">
        <v>2717</v>
      </c>
      <c r="O68" s="162" t="s">
        <v>2720</v>
      </c>
      <c r="P68" s="162" t="s">
        <v>2719</v>
      </c>
      <c r="Q68" s="162" t="s">
        <v>2722</v>
      </c>
      <c r="R68" s="162" t="s">
        <v>2712</v>
      </c>
      <c r="S68" s="162">
        <v>7.2599999999999998E-2</v>
      </c>
      <c r="T68" s="162">
        <v>6.7166000000000003E-2</v>
      </c>
      <c r="U68" s="99">
        <f t="shared" si="5"/>
        <v>5.4339999999999944E-3</v>
      </c>
      <c r="V68" s="162">
        <v>3.6930000000000001</v>
      </c>
      <c r="W68" s="162">
        <v>12.939</v>
      </c>
      <c r="X68" s="162">
        <f t="shared" si="6"/>
        <v>47.783726999999999</v>
      </c>
      <c r="Y68" s="101"/>
    </row>
    <row r="69" spans="1:25" ht="16">
      <c r="A69" s="162" t="s">
        <v>25</v>
      </c>
      <c r="B69" s="100" t="s">
        <v>260</v>
      </c>
      <c r="C69" s="162" t="s">
        <v>1744</v>
      </c>
      <c r="D69" s="162" t="s">
        <v>3568</v>
      </c>
      <c r="E69" s="162" t="s">
        <v>261</v>
      </c>
      <c r="F69" s="105">
        <v>-24.836607000000001</v>
      </c>
      <c r="G69" s="99">
        <v>152.45960199999999</v>
      </c>
      <c r="H69" s="99">
        <v>0</v>
      </c>
      <c r="I69" s="164">
        <v>42785</v>
      </c>
      <c r="J69" s="162" t="s">
        <v>36</v>
      </c>
      <c r="K69" s="162" t="s">
        <v>154</v>
      </c>
      <c r="L69" s="162" t="s">
        <v>2554</v>
      </c>
      <c r="M69" s="162" t="s">
        <v>2561</v>
      </c>
      <c r="N69" s="162" t="s">
        <v>2717</v>
      </c>
      <c r="O69" s="162" t="s">
        <v>3557</v>
      </c>
      <c r="P69" s="162" t="s">
        <v>36</v>
      </c>
      <c r="Q69" s="162" t="s">
        <v>2745</v>
      </c>
      <c r="R69" s="162" t="s">
        <v>2713</v>
      </c>
      <c r="S69" s="162">
        <v>7.0300000000000001E-2</v>
      </c>
      <c r="T69" s="162">
        <v>6.7166000000000003E-2</v>
      </c>
      <c r="U69" s="99">
        <f t="shared" si="5"/>
        <v>3.1339999999999979E-3</v>
      </c>
      <c r="V69" s="162">
        <v>2.891</v>
      </c>
      <c r="W69" s="162">
        <f>4.322+6.864</f>
        <v>11.186</v>
      </c>
      <c r="X69" s="162">
        <f t="shared" si="6"/>
        <v>32.338726000000001</v>
      </c>
      <c r="Y69" s="101"/>
    </row>
    <row r="70" spans="1:25" ht="16">
      <c r="A70" s="162" t="s">
        <v>25</v>
      </c>
      <c r="B70" s="100" t="s">
        <v>262</v>
      </c>
      <c r="C70" s="162" t="s">
        <v>1744</v>
      </c>
      <c r="D70" s="162" t="s">
        <v>3562</v>
      </c>
      <c r="E70" s="162" t="s">
        <v>263</v>
      </c>
      <c r="F70" s="105">
        <v>-30.107710000000001</v>
      </c>
      <c r="G70" s="99">
        <v>153.199806</v>
      </c>
      <c r="H70" s="99">
        <v>0</v>
      </c>
      <c r="I70" s="164">
        <v>42797</v>
      </c>
      <c r="J70" s="162" t="s">
        <v>36</v>
      </c>
      <c r="K70" s="162" t="s">
        <v>154</v>
      </c>
      <c r="L70" s="162" t="s">
        <v>2554</v>
      </c>
      <c r="M70" s="162" t="s">
        <v>2561</v>
      </c>
      <c r="N70" s="162" t="s">
        <v>2717</v>
      </c>
      <c r="O70" s="162" t="s">
        <v>2720</v>
      </c>
      <c r="P70" s="162" t="s">
        <v>2719</v>
      </c>
      <c r="Q70" s="162" t="s">
        <v>2722</v>
      </c>
      <c r="R70" s="162" t="s">
        <v>2713</v>
      </c>
      <c r="S70" s="162">
        <v>4.6600000000000003E-2</v>
      </c>
      <c r="T70" s="162">
        <v>3.8671999999999984E-2</v>
      </c>
      <c r="U70" s="99">
        <f t="shared" si="5"/>
        <v>7.9280000000000184E-3</v>
      </c>
      <c r="V70" s="162">
        <v>3.75</v>
      </c>
      <c r="W70" s="162">
        <v>15.163</v>
      </c>
      <c r="X70" s="162">
        <f t="shared" si="6"/>
        <v>56.861249999999998</v>
      </c>
      <c r="Y70" s="101"/>
    </row>
    <row r="71" spans="1:25" ht="16">
      <c r="A71" s="162" t="s">
        <v>25</v>
      </c>
      <c r="B71" s="100" t="s">
        <v>264</v>
      </c>
      <c r="C71" s="162" t="s">
        <v>1744</v>
      </c>
      <c r="D71" s="162" t="s">
        <v>3562</v>
      </c>
      <c r="E71" s="162" t="s">
        <v>263</v>
      </c>
      <c r="F71" s="105">
        <v>-30.107710000000001</v>
      </c>
      <c r="G71" s="99">
        <v>153.199806</v>
      </c>
      <c r="H71" s="99">
        <v>0</v>
      </c>
      <c r="I71" s="164">
        <v>42797</v>
      </c>
      <c r="J71" s="162" t="s">
        <v>36</v>
      </c>
      <c r="K71" s="162" t="s">
        <v>154</v>
      </c>
      <c r="L71" s="162" t="s">
        <v>2554</v>
      </c>
      <c r="M71" s="162" t="s">
        <v>2561</v>
      </c>
      <c r="N71" s="162" t="s">
        <v>2717</v>
      </c>
      <c r="O71" s="162" t="s">
        <v>2720</v>
      </c>
      <c r="P71" s="162" t="s">
        <v>2719</v>
      </c>
      <c r="Q71" s="162" t="s">
        <v>2722</v>
      </c>
      <c r="R71" s="162" t="s">
        <v>2713</v>
      </c>
      <c r="S71" s="162">
        <v>7.3300000000000004E-2</v>
      </c>
      <c r="T71" s="162">
        <v>6.7166000000000003E-2</v>
      </c>
      <c r="U71" s="99">
        <f t="shared" si="5"/>
        <v>6.1340000000000006E-3</v>
      </c>
      <c r="V71" s="162">
        <v>3.1669999999999998</v>
      </c>
      <c r="W71" s="162">
        <f>7.628+5.954</f>
        <v>13.582000000000001</v>
      </c>
      <c r="X71" s="162">
        <f t="shared" si="6"/>
        <v>43.014194000000003</v>
      </c>
      <c r="Y71" s="101"/>
    </row>
    <row r="72" spans="1:25" ht="16">
      <c r="A72" s="162" t="s">
        <v>25</v>
      </c>
      <c r="B72" s="100" t="s">
        <v>283</v>
      </c>
      <c r="C72" s="162" t="s">
        <v>1744</v>
      </c>
      <c r="D72" s="162" t="s">
        <v>3568</v>
      </c>
      <c r="E72" s="162" t="s">
        <v>261</v>
      </c>
      <c r="F72" s="105">
        <v>-24.836607000000001</v>
      </c>
      <c r="G72" s="99">
        <v>152.45960199999999</v>
      </c>
      <c r="H72" s="99">
        <v>0</v>
      </c>
      <c r="I72" s="164">
        <v>42785</v>
      </c>
      <c r="J72" s="162" t="s">
        <v>36</v>
      </c>
      <c r="K72" s="162" t="s">
        <v>154</v>
      </c>
      <c r="L72" s="162" t="s">
        <v>2554</v>
      </c>
      <c r="M72" s="162" t="s">
        <v>2561</v>
      </c>
      <c r="N72" s="162" t="s">
        <v>2717</v>
      </c>
      <c r="O72" s="162" t="s">
        <v>3558</v>
      </c>
      <c r="P72" s="162" t="s">
        <v>36</v>
      </c>
      <c r="Q72" s="162" t="s">
        <v>3559</v>
      </c>
      <c r="R72" s="162" t="s">
        <v>2713</v>
      </c>
      <c r="S72" s="162">
        <v>4.1000000000000002E-2</v>
      </c>
      <c r="T72" s="162">
        <v>3.8671999999999984E-2</v>
      </c>
      <c r="U72" s="99">
        <f t="shared" si="5"/>
        <v>2.3280000000000176E-3</v>
      </c>
      <c r="V72" s="162">
        <v>2.754</v>
      </c>
      <c r="W72" s="162">
        <f>7.353+3.963</f>
        <v>11.315999999999999</v>
      </c>
      <c r="X72" s="162">
        <f t="shared" si="6"/>
        <v>31.164263999999996</v>
      </c>
      <c r="Y72" s="101"/>
    </row>
    <row r="73" spans="1:25" ht="16">
      <c r="A73" s="162" t="s">
        <v>25</v>
      </c>
      <c r="B73" s="100" t="s">
        <v>284</v>
      </c>
      <c r="C73" s="162" t="s">
        <v>1744</v>
      </c>
      <c r="D73" s="162" t="s">
        <v>3562</v>
      </c>
      <c r="E73" s="162" t="s">
        <v>2711</v>
      </c>
      <c r="F73" s="162">
        <v>-29.514166670000002</v>
      </c>
      <c r="G73" s="162">
        <v>152.31333333000001</v>
      </c>
      <c r="H73" s="162">
        <v>93</v>
      </c>
      <c r="I73" s="164">
        <v>42750</v>
      </c>
      <c r="J73" s="162" t="s">
        <v>36</v>
      </c>
      <c r="K73" s="162" t="s">
        <v>154</v>
      </c>
      <c r="L73" s="162" t="s">
        <v>2554</v>
      </c>
      <c r="M73" s="162" t="s">
        <v>2750</v>
      </c>
      <c r="N73" s="162" t="s">
        <v>2874</v>
      </c>
      <c r="O73" s="162" t="s">
        <v>2647</v>
      </c>
      <c r="P73" s="162" t="s">
        <v>2721</v>
      </c>
      <c r="Q73" s="162" t="s">
        <v>2714</v>
      </c>
      <c r="R73" s="162" t="s">
        <v>2712</v>
      </c>
      <c r="S73" s="162">
        <v>8.72E-2</v>
      </c>
      <c r="T73" s="162">
        <v>6.7166000000000003E-2</v>
      </c>
      <c r="U73" s="99">
        <f t="shared" si="5"/>
        <v>2.0033999999999996E-2</v>
      </c>
      <c r="V73" s="162">
        <v>6.0949999999999998</v>
      </c>
      <c r="W73" s="162">
        <f>4.369+12.469</f>
        <v>16.838000000000001</v>
      </c>
      <c r="X73" s="162">
        <f t="shared" si="6"/>
        <v>102.62761</v>
      </c>
      <c r="Y73" s="101"/>
    </row>
    <row r="74" spans="1:25" ht="16">
      <c r="A74" s="162" t="s">
        <v>25</v>
      </c>
      <c r="B74" s="100" t="s">
        <v>371</v>
      </c>
      <c r="C74" s="162" t="s">
        <v>1744</v>
      </c>
      <c r="D74" s="162" t="str">
        <f t="shared" si="7"/>
        <v>COFFS</v>
      </c>
      <c r="E74" s="162" t="s">
        <v>2548</v>
      </c>
      <c r="F74" s="162">
        <v>-30.012446000000001</v>
      </c>
      <c r="G74" s="162">
        <v>153.14997199999999</v>
      </c>
      <c r="H74" s="162">
        <v>0</v>
      </c>
      <c r="I74" s="164">
        <v>42999</v>
      </c>
      <c r="J74" s="162" t="s">
        <v>2097</v>
      </c>
      <c r="K74" s="162" t="s">
        <v>831</v>
      </c>
      <c r="L74" s="162" t="s">
        <v>2554</v>
      </c>
      <c r="M74" s="162" t="s">
        <v>2561</v>
      </c>
      <c r="N74" s="162" t="s">
        <v>2717</v>
      </c>
      <c r="O74" s="162" t="s">
        <v>2720</v>
      </c>
      <c r="P74" s="162" t="s">
        <v>2719</v>
      </c>
      <c r="Q74" s="162" t="s">
        <v>2722</v>
      </c>
      <c r="R74" s="162" t="s">
        <v>2712</v>
      </c>
      <c r="S74" s="162">
        <v>4.5600000000000002E-2</v>
      </c>
      <c r="T74" s="162">
        <v>3.8671999999999984E-2</v>
      </c>
      <c r="U74" s="99">
        <f t="shared" si="5"/>
        <v>6.9280000000000175E-3</v>
      </c>
      <c r="V74" s="162">
        <v>4.1840000000000002</v>
      </c>
      <c r="W74" s="162">
        <v>16.059000000000001</v>
      </c>
      <c r="X74" s="162">
        <f t="shared" si="6"/>
        <v>67.190856000000011</v>
      </c>
      <c r="Y74" s="101"/>
    </row>
    <row r="75" spans="1:25" ht="16">
      <c r="A75" s="162" t="s">
        <v>25</v>
      </c>
      <c r="B75" s="100" t="s">
        <v>377</v>
      </c>
      <c r="C75" s="162" t="s">
        <v>1744</v>
      </c>
      <c r="D75" s="162" t="str">
        <f t="shared" si="7"/>
        <v>COFFS</v>
      </c>
      <c r="E75" s="162" t="s">
        <v>2547</v>
      </c>
      <c r="F75" s="162">
        <v>-29.991299000000001</v>
      </c>
      <c r="G75" s="162">
        <v>153.143249</v>
      </c>
      <c r="H75" s="162">
        <v>0</v>
      </c>
      <c r="I75" s="164">
        <v>43357</v>
      </c>
      <c r="J75" s="162" t="s">
        <v>2097</v>
      </c>
      <c r="K75" s="162" t="s">
        <v>831</v>
      </c>
      <c r="L75" s="162" t="s">
        <v>2554</v>
      </c>
      <c r="M75" s="162" t="s">
        <v>2561</v>
      </c>
      <c r="N75" s="162" t="s">
        <v>2717</v>
      </c>
      <c r="O75" s="162" t="s">
        <v>2720</v>
      </c>
      <c r="P75" s="162" t="s">
        <v>2719</v>
      </c>
      <c r="Q75" s="162" t="s">
        <v>2722</v>
      </c>
      <c r="R75" s="162" t="s">
        <v>2713</v>
      </c>
      <c r="S75" s="162">
        <v>4.2700000000000002E-2</v>
      </c>
      <c r="T75" s="162">
        <v>3.8671999999999984E-2</v>
      </c>
      <c r="U75" s="99">
        <f t="shared" si="5"/>
        <v>4.0280000000000177E-3</v>
      </c>
      <c r="V75" s="162">
        <v>3.5219999999999998</v>
      </c>
      <c r="W75" s="162">
        <v>14.333</v>
      </c>
      <c r="X75" s="162">
        <f t="shared" si="6"/>
        <v>50.480826</v>
      </c>
      <c r="Y75" s="101"/>
    </row>
    <row r="76" spans="1:25" ht="16">
      <c r="A76" s="162" t="s">
        <v>25</v>
      </c>
      <c r="B76" s="100" t="s">
        <v>385</v>
      </c>
      <c r="C76" s="162" t="s">
        <v>1744</v>
      </c>
      <c r="D76" s="162" t="str">
        <f t="shared" si="7"/>
        <v>COFFS</v>
      </c>
      <c r="E76" s="162" t="s">
        <v>2552</v>
      </c>
      <c r="F76" s="102">
        <v>-30.004933000000001</v>
      </c>
      <c r="G76" s="99">
        <v>153.09672599999999</v>
      </c>
      <c r="H76" s="162">
        <v>0</v>
      </c>
      <c r="I76" s="164">
        <v>42992</v>
      </c>
      <c r="J76" s="162" t="s">
        <v>2098</v>
      </c>
      <c r="K76" s="162" t="s">
        <v>831</v>
      </c>
      <c r="L76" s="162" t="s">
        <v>2554</v>
      </c>
      <c r="M76" s="162" t="s">
        <v>2561</v>
      </c>
      <c r="N76" s="162" t="s">
        <v>2750</v>
      </c>
      <c r="O76" s="162" t="s">
        <v>2748</v>
      </c>
      <c r="P76" s="131" t="s">
        <v>36</v>
      </c>
      <c r="Q76" s="162" t="s">
        <v>2749</v>
      </c>
      <c r="R76" s="162" t="s">
        <v>2712</v>
      </c>
      <c r="S76" s="162">
        <v>4.07E-2</v>
      </c>
      <c r="T76" s="162">
        <v>3.8671999999999984E-2</v>
      </c>
      <c r="U76" s="99">
        <f t="shared" si="5"/>
        <v>2.0280000000000159E-3</v>
      </c>
      <c r="V76" s="162">
        <v>2.2799999999999998</v>
      </c>
      <c r="W76" s="162">
        <f>4.282+1.652+2.597</f>
        <v>8.5310000000000006</v>
      </c>
      <c r="X76" s="162">
        <f t="shared" si="6"/>
        <v>19.450679999999998</v>
      </c>
      <c r="Y76" s="101"/>
    </row>
    <row r="77" spans="1:25" ht="16">
      <c r="A77" s="162" t="s">
        <v>25</v>
      </c>
      <c r="B77" s="100" t="s">
        <v>2255</v>
      </c>
      <c r="C77" s="162" t="s">
        <v>1744</v>
      </c>
      <c r="D77" s="162" t="s">
        <v>3563</v>
      </c>
      <c r="E77" s="162" t="s">
        <v>2423</v>
      </c>
      <c r="F77" s="162">
        <v>-14.521000000000001</v>
      </c>
      <c r="G77" s="162">
        <v>132.446</v>
      </c>
      <c r="H77" s="162">
        <v>0</v>
      </c>
      <c r="I77" s="164">
        <v>42897</v>
      </c>
      <c r="J77" s="162" t="s">
        <v>2556</v>
      </c>
      <c r="K77" s="162" t="s">
        <v>831</v>
      </c>
      <c r="L77" s="162" t="s">
        <v>2554</v>
      </c>
      <c r="M77" s="162" t="s">
        <v>2750</v>
      </c>
      <c r="N77" s="162" t="s">
        <v>2874</v>
      </c>
      <c r="O77" s="162" t="s">
        <v>2755</v>
      </c>
      <c r="P77" s="131" t="s">
        <v>36</v>
      </c>
      <c r="Q77" s="162" t="s">
        <v>2723</v>
      </c>
      <c r="R77" s="162" t="s">
        <v>2712</v>
      </c>
      <c r="S77" s="162">
        <v>5.4899999999999997E-2</v>
      </c>
      <c r="T77" s="162">
        <v>3.8671999999999984E-2</v>
      </c>
      <c r="U77" s="99">
        <f t="shared" si="5"/>
        <v>1.6228000000000013E-2</v>
      </c>
      <c r="V77" s="162">
        <v>5.1820000000000004</v>
      </c>
      <c r="W77" s="99">
        <f>10.978+5.817+1.593+2.368</f>
        <v>20.756</v>
      </c>
      <c r="X77" s="162">
        <f t="shared" si="6"/>
        <v>107.55759200000001</v>
      </c>
      <c r="Y77" s="101"/>
    </row>
    <row r="78" spans="1:25" ht="16">
      <c r="A78" s="162" t="s">
        <v>25</v>
      </c>
      <c r="B78" s="100" t="s">
        <v>2256</v>
      </c>
      <c r="C78" s="162" t="s">
        <v>1744</v>
      </c>
      <c r="D78" s="162" t="s">
        <v>3563</v>
      </c>
      <c r="E78" s="162" t="s">
        <v>2424</v>
      </c>
      <c r="F78" s="162">
        <v>-14.522</v>
      </c>
      <c r="G78" s="162">
        <v>132.45400000000001</v>
      </c>
      <c r="H78" s="162">
        <v>0</v>
      </c>
      <c r="I78" s="164">
        <v>42895</v>
      </c>
      <c r="J78" s="162" t="s">
        <v>2556</v>
      </c>
      <c r="K78" s="162" t="s">
        <v>831</v>
      </c>
      <c r="L78" s="162" t="s">
        <v>2554</v>
      </c>
      <c r="M78" s="162" t="s">
        <v>2561</v>
      </c>
      <c r="N78" s="162" t="s">
        <v>2717</v>
      </c>
      <c r="O78" s="162" t="s">
        <v>2724</v>
      </c>
      <c r="P78" s="131" t="s">
        <v>36</v>
      </c>
      <c r="Q78" s="162" t="s">
        <v>2555</v>
      </c>
      <c r="R78" s="162" t="s">
        <v>2713</v>
      </c>
      <c r="S78" s="162">
        <v>4.7600000000000003E-2</v>
      </c>
      <c r="T78" s="162">
        <v>3.8671999999999984E-2</v>
      </c>
      <c r="U78" s="99">
        <f t="shared" si="5"/>
        <v>8.9280000000000193E-3</v>
      </c>
      <c r="V78" s="162">
        <v>3.59</v>
      </c>
      <c r="W78" s="99">
        <f>9.524+5.725</f>
        <v>15.248999999999999</v>
      </c>
      <c r="X78" s="162">
        <f t="shared" si="6"/>
        <v>54.743909999999993</v>
      </c>
      <c r="Y78" s="101"/>
    </row>
    <row r="79" spans="1:25" ht="16">
      <c r="A79" s="162" t="s">
        <v>25</v>
      </c>
      <c r="B79" s="100" t="s">
        <v>2258</v>
      </c>
      <c r="C79" s="162" t="s">
        <v>1744</v>
      </c>
      <c r="D79" s="162" t="s">
        <v>3564</v>
      </c>
      <c r="E79" s="162" t="s">
        <v>2426</v>
      </c>
      <c r="F79" s="162">
        <v>-16.9011</v>
      </c>
      <c r="G79" s="162">
        <v>145.43090000000001</v>
      </c>
      <c r="H79" s="162">
        <v>0</v>
      </c>
      <c r="I79" s="164">
        <v>42956</v>
      </c>
      <c r="J79" s="162" t="s">
        <v>2556</v>
      </c>
      <c r="K79" s="162" t="s">
        <v>831</v>
      </c>
      <c r="L79" s="162" t="s">
        <v>2554</v>
      </c>
      <c r="M79" s="162" t="s">
        <v>2561</v>
      </c>
      <c r="N79" s="162" t="s">
        <v>2717</v>
      </c>
      <c r="O79" s="162" t="s">
        <v>2725</v>
      </c>
      <c r="P79" s="131" t="s">
        <v>36</v>
      </c>
      <c r="Q79" s="162" t="s">
        <v>2726</v>
      </c>
      <c r="R79" s="162" t="s">
        <v>2713</v>
      </c>
      <c r="S79" s="162">
        <v>4.3299999999999998E-2</v>
      </c>
      <c r="T79" s="162">
        <v>3.8671999999999984E-2</v>
      </c>
      <c r="U79" s="99">
        <f t="shared" si="5"/>
        <v>4.628000000000014E-3</v>
      </c>
      <c r="V79" s="162">
        <v>3.0209999999999999</v>
      </c>
      <c r="W79" s="99">
        <f>4.493+8.312</f>
        <v>12.805</v>
      </c>
      <c r="X79" s="162">
        <f t="shared" si="6"/>
        <v>38.683904999999996</v>
      </c>
      <c r="Y79" s="101"/>
    </row>
    <row r="80" spans="1:25" ht="16">
      <c r="A80" s="162" t="s">
        <v>25</v>
      </c>
      <c r="B80" s="100" t="s">
        <v>2259</v>
      </c>
      <c r="C80" s="162" t="s">
        <v>1744</v>
      </c>
      <c r="D80" s="162" t="s">
        <v>3564</v>
      </c>
      <c r="E80" s="162" t="s">
        <v>2427</v>
      </c>
      <c r="F80" s="162">
        <v>-16.9011</v>
      </c>
      <c r="G80" s="162">
        <v>145.43090000000001</v>
      </c>
      <c r="H80" s="162">
        <v>0</v>
      </c>
      <c r="I80" s="164">
        <v>42956</v>
      </c>
      <c r="J80" s="162" t="s">
        <v>2556</v>
      </c>
      <c r="K80" s="162" t="s">
        <v>831</v>
      </c>
      <c r="L80" s="162" t="s">
        <v>2554</v>
      </c>
      <c r="M80" s="162" t="s">
        <v>2561</v>
      </c>
      <c r="N80" s="162" t="s">
        <v>2717</v>
      </c>
      <c r="O80" s="162" t="s">
        <v>2725</v>
      </c>
      <c r="P80" s="131" t="s">
        <v>36</v>
      </c>
      <c r="Q80" s="162" t="s">
        <v>2726</v>
      </c>
      <c r="R80" s="162" t="s">
        <v>2713</v>
      </c>
      <c r="S80" s="162">
        <v>4.2799999999999998E-2</v>
      </c>
      <c r="T80" s="162">
        <v>3.8671999999999984E-2</v>
      </c>
      <c r="U80" s="99">
        <f t="shared" si="5"/>
        <v>4.1280000000000136E-3</v>
      </c>
      <c r="V80" s="162">
        <v>3.0449999999999999</v>
      </c>
      <c r="W80" s="99">
        <f>7.849+4.437</f>
        <v>12.286000000000001</v>
      </c>
      <c r="X80" s="162">
        <f t="shared" si="6"/>
        <v>37.410870000000003</v>
      </c>
      <c r="Y80" s="101"/>
    </row>
    <row r="81" spans="1:25" ht="16">
      <c r="A81" s="162" t="s">
        <v>25</v>
      </c>
      <c r="B81" s="100" t="s">
        <v>2260</v>
      </c>
      <c r="C81" s="162" t="s">
        <v>1744</v>
      </c>
      <c r="D81" s="162" t="s">
        <v>3564</v>
      </c>
      <c r="E81" s="162" t="s">
        <v>2428</v>
      </c>
      <c r="F81" s="162">
        <v>-16.987500000000001</v>
      </c>
      <c r="G81" s="162">
        <v>145.36689999999999</v>
      </c>
      <c r="H81" s="162">
        <v>0</v>
      </c>
      <c r="I81" s="164">
        <v>42964</v>
      </c>
      <c r="J81" s="162" t="s">
        <v>2556</v>
      </c>
      <c r="K81" s="162" t="s">
        <v>831</v>
      </c>
      <c r="L81" s="162" t="s">
        <v>2554</v>
      </c>
      <c r="M81" s="162" t="s">
        <v>2750</v>
      </c>
      <c r="N81" s="162" t="s">
        <v>2874</v>
      </c>
      <c r="O81" s="162" t="s">
        <v>2647</v>
      </c>
      <c r="P81" s="162" t="s">
        <v>2721</v>
      </c>
      <c r="Q81" s="162" t="s">
        <v>2715</v>
      </c>
      <c r="R81" s="162" t="s">
        <v>2713</v>
      </c>
      <c r="S81" s="162">
        <v>4.36E-2</v>
      </c>
      <c r="T81" s="162">
        <v>3.8671999999999984E-2</v>
      </c>
      <c r="U81" s="99">
        <f t="shared" si="5"/>
        <v>4.9280000000000157E-3</v>
      </c>
      <c r="V81" s="162">
        <v>4.5720000000000001</v>
      </c>
      <c r="W81" s="99">
        <f>11.164+4.141</f>
        <v>15.305</v>
      </c>
      <c r="X81" s="162">
        <f t="shared" si="6"/>
        <v>69.974459999999993</v>
      </c>
      <c r="Y81" s="101"/>
    </row>
    <row r="82" spans="1:25" ht="16">
      <c r="A82" s="162" t="s">
        <v>25</v>
      </c>
      <c r="B82" s="100" t="s">
        <v>2261</v>
      </c>
      <c r="C82" s="162" t="s">
        <v>1744</v>
      </c>
      <c r="D82" s="162" t="s">
        <v>3564</v>
      </c>
      <c r="E82" s="162" t="s">
        <v>2429</v>
      </c>
      <c r="F82" s="162">
        <v>-16.911300000000001</v>
      </c>
      <c r="G82" s="162">
        <v>145.4248</v>
      </c>
      <c r="H82" s="162">
        <v>0</v>
      </c>
      <c r="I82" s="164">
        <v>42961</v>
      </c>
      <c r="J82" s="162" t="s">
        <v>2556</v>
      </c>
      <c r="K82" s="162" t="s">
        <v>831</v>
      </c>
      <c r="L82" s="162" t="s">
        <v>2554</v>
      </c>
      <c r="M82" s="162" t="s">
        <v>2750</v>
      </c>
      <c r="N82" s="162" t="s">
        <v>2874</v>
      </c>
      <c r="O82" s="162" t="s">
        <v>2755</v>
      </c>
      <c r="P82" s="131" t="s">
        <v>36</v>
      </c>
      <c r="Q82" s="162" t="s">
        <v>2723</v>
      </c>
      <c r="R82" s="162" t="s">
        <v>2713</v>
      </c>
      <c r="S82" s="162">
        <v>5.21E-2</v>
      </c>
      <c r="T82" s="162">
        <v>3.8671999999999984E-2</v>
      </c>
      <c r="U82" s="99">
        <f t="shared" si="5"/>
        <v>1.3428000000000016E-2</v>
      </c>
      <c r="V82" s="162">
        <v>4.6680000000000001</v>
      </c>
      <c r="W82" s="99">
        <f>12.305+1.862+2.165</f>
        <v>16.332000000000001</v>
      </c>
      <c r="X82" s="162">
        <f t="shared" si="6"/>
        <v>76.237776000000011</v>
      </c>
      <c r="Y82" s="101"/>
    </row>
    <row r="83" spans="1:25" ht="16">
      <c r="A83" s="162" t="s">
        <v>25</v>
      </c>
      <c r="B83" s="100" t="s">
        <v>2262</v>
      </c>
      <c r="C83" s="162" t="s">
        <v>1744</v>
      </c>
      <c r="D83" s="162" t="s">
        <v>3564</v>
      </c>
      <c r="E83" s="162" t="s">
        <v>2430</v>
      </c>
      <c r="F83" s="162">
        <v>-16.992799999999999</v>
      </c>
      <c r="G83" s="162">
        <v>145.46170000000001</v>
      </c>
      <c r="H83" s="162">
        <v>0</v>
      </c>
      <c r="I83" s="164">
        <v>42956</v>
      </c>
      <c r="J83" s="162" t="s">
        <v>2556</v>
      </c>
      <c r="K83" s="162" t="s">
        <v>831</v>
      </c>
      <c r="L83" s="162" t="s">
        <v>2554</v>
      </c>
      <c r="M83" s="162" t="s">
        <v>2750</v>
      </c>
      <c r="N83" s="162" t="s">
        <v>2874</v>
      </c>
      <c r="O83" s="162" t="s">
        <v>2647</v>
      </c>
      <c r="P83" s="162" t="s">
        <v>2721</v>
      </c>
      <c r="Q83" s="162" t="s">
        <v>2716</v>
      </c>
      <c r="R83" s="162" t="s">
        <v>2712</v>
      </c>
      <c r="S83" s="162">
        <v>5.8700000000000002E-2</v>
      </c>
      <c r="T83" s="162">
        <v>3.8671999999999984E-2</v>
      </c>
      <c r="U83" s="99">
        <f t="shared" si="5"/>
        <v>2.0028000000000018E-2</v>
      </c>
      <c r="V83" s="162">
        <v>5.7750000000000004</v>
      </c>
      <c r="W83" s="99">
        <f>14.023+3.417</f>
        <v>17.439999999999998</v>
      </c>
      <c r="X83" s="162">
        <f t="shared" si="6"/>
        <v>100.71599999999999</v>
      </c>
      <c r="Y83" s="101"/>
    </row>
    <row r="84" spans="1:25" ht="16">
      <c r="A84" s="162" t="s">
        <v>25</v>
      </c>
      <c r="B84" s="100" t="s">
        <v>2263</v>
      </c>
      <c r="C84" s="162" t="s">
        <v>1744</v>
      </c>
      <c r="D84" s="162" t="s">
        <v>3564</v>
      </c>
      <c r="E84" s="162" t="s">
        <v>2431</v>
      </c>
      <c r="F84" s="162">
        <v>-17.020199999999999</v>
      </c>
      <c r="G84" s="162">
        <v>145.34039999999999</v>
      </c>
      <c r="H84" s="162">
        <v>0</v>
      </c>
      <c r="I84" s="164">
        <v>42961</v>
      </c>
      <c r="J84" s="162" t="s">
        <v>2556</v>
      </c>
      <c r="K84" s="162" t="s">
        <v>831</v>
      </c>
      <c r="L84" s="162" t="s">
        <v>2554</v>
      </c>
      <c r="M84" s="162" t="s">
        <v>2750</v>
      </c>
      <c r="N84" s="162" t="s">
        <v>2727</v>
      </c>
      <c r="O84" s="162" t="s">
        <v>2648</v>
      </c>
      <c r="P84" s="131" t="s">
        <v>36</v>
      </c>
      <c r="Q84" s="162" t="s">
        <v>2728</v>
      </c>
      <c r="R84" s="162" t="s">
        <v>2713</v>
      </c>
      <c r="S84" s="162">
        <v>4.41E-2</v>
      </c>
      <c r="T84" s="162">
        <v>3.8671999999999984E-2</v>
      </c>
      <c r="U84" s="99">
        <f t="shared" si="5"/>
        <v>5.4280000000000161E-3</v>
      </c>
      <c r="V84" s="162">
        <v>2.7559999999999998</v>
      </c>
      <c r="W84" s="99">
        <f>8.269+1.557+1.842</f>
        <v>11.668000000000001</v>
      </c>
      <c r="X84" s="162">
        <f t="shared" si="6"/>
        <v>32.157007999999998</v>
      </c>
      <c r="Y84" s="101"/>
    </row>
    <row r="85" spans="1:25" ht="16">
      <c r="A85" s="162" t="s">
        <v>25</v>
      </c>
      <c r="B85" s="100" t="s">
        <v>2264</v>
      </c>
      <c r="C85" s="162" t="s">
        <v>1744</v>
      </c>
      <c r="D85" s="162" t="s">
        <v>3564</v>
      </c>
      <c r="E85" s="162" t="s">
        <v>2432</v>
      </c>
      <c r="F85" s="162">
        <v>-16.987500000000001</v>
      </c>
      <c r="G85" s="162">
        <v>145.36689999999999</v>
      </c>
      <c r="H85" s="162">
        <v>0</v>
      </c>
      <c r="I85" s="164">
        <v>42964</v>
      </c>
      <c r="J85" s="162" t="s">
        <v>2556</v>
      </c>
      <c r="K85" s="162" t="s">
        <v>831</v>
      </c>
      <c r="L85" s="162" t="s">
        <v>2554</v>
      </c>
      <c r="M85" s="162" t="s">
        <v>2561</v>
      </c>
      <c r="N85" s="162" t="s">
        <v>2717</v>
      </c>
      <c r="O85" s="162" t="s">
        <v>2646</v>
      </c>
      <c r="P85" s="131" t="s">
        <v>36</v>
      </c>
      <c r="Q85" s="162" t="s">
        <v>2729</v>
      </c>
      <c r="R85" s="162" t="s">
        <v>2713</v>
      </c>
      <c r="S85" s="162">
        <v>4.2099999999999999E-2</v>
      </c>
      <c r="T85" s="162">
        <v>3.8671999999999984E-2</v>
      </c>
      <c r="U85" s="99">
        <f t="shared" si="5"/>
        <v>3.4280000000000144E-3</v>
      </c>
      <c r="V85" s="162">
        <v>2.9</v>
      </c>
      <c r="W85" s="99">
        <f>5.841+4.186+6.505</f>
        <v>16.532</v>
      </c>
      <c r="X85" s="162">
        <f t="shared" si="6"/>
        <v>47.942799999999998</v>
      </c>
      <c r="Y85" s="101"/>
    </row>
    <row r="86" spans="1:25" ht="16">
      <c r="A86" s="162" t="s">
        <v>25</v>
      </c>
      <c r="B86" s="100" t="s">
        <v>2265</v>
      </c>
      <c r="C86" s="162" t="s">
        <v>1744</v>
      </c>
      <c r="D86" s="162" t="s">
        <v>3564</v>
      </c>
      <c r="E86" s="162" t="s">
        <v>2433</v>
      </c>
      <c r="F86" s="162">
        <v>-16.9011</v>
      </c>
      <c r="G86" s="162">
        <v>145.43090000000001</v>
      </c>
      <c r="H86" s="162">
        <v>0</v>
      </c>
      <c r="I86" s="164">
        <v>42956</v>
      </c>
      <c r="J86" s="162" t="s">
        <v>2556</v>
      </c>
      <c r="K86" s="162" t="s">
        <v>831</v>
      </c>
      <c r="L86" s="162" t="s">
        <v>2554</v>
      </c>
      <c r="M86" s="162" t="s">
        <v>2561</v>
      </c>
      <c r="N86" s="162" t="s">
        <v>2717</v>
      </c>
      <c r="O86" s="162" t="s">
        <v>2725</v>
      </c>
      <c r="P86" s="131" t="s">
        <v>36</v>
      </c>
      <c r="Q86" s="162" t="s">
        <v>2726</v>
      </c>
      <c r="R86" s="162" t="s">
        <v>2713</v>
      </c>
      <c r="S86" s="162">
        <v>4.3200000000000002E-2</v>
      </c>
      <c r="T86" s="162">
        <v>3.8671999999999984E-2</v>
      </c>
      <c r="U86" s="99">
        <f t="shared" si="5"/>
        <v>4.5280000000000181E-3</v>
      </c>
      <c r="V86" s="162">
        <v>2.847</v>
      </c>
      <c r="W86" s="99">
        <f>7.571+3.991</f>
        <v>11.561999999999999</v>
      </c>
      <c r="X86" s="162">
        <f t="shared" si="6"/>
        <v>32.917013999999995</v>
      </c>
      <c r="Y86" s="101"/>
    </row>
    <row r="87" spans="1:25" ht="16">
      <c r="A87" s="162" t="s">
        <v>25</v>
      </c>
      <c r="B87" s="100" t="s">
        <v>2266</v>
      </c>
      <c r="C87" s="162" t="s">
        <v>1744</v>
      </c>
      <c r="D87" s="162" t="s">
        <v>3564</v>
      </c>
      <c r="E87" s="162" t="s">
        <v>2434</v>
      </c>
      <c r="F87" s="162">
        <v>-16.992799999999999</v>
      </c>
      <c r="G87" s="162">
        <v>145.46170000000001</v>
      </c>
      <c r="H87" s="162">
        <v>0</v>
      </c>
      <c r="I87" s="164">
        <v>42956</v>
      </c>
      <c r="J87" s="162" t="s">
        <v>2556</v>
      </c>
      <c r="K87" s="162" t="s">
        <v>831</v>
      </c>
      <c r="L87" s="162" t="s">
        <v>2554</v>
      </c>
      <c r="M87" s="162" t="s">
        <v>2561</v>
      </c>
      <c r="N87" s="162" t="s">
        <v>2717</v>
      </c>
      <c r="O87" s="162" t="s">
        <v>2725</v>
      </c>
      <c r="P87" s="131" t="s">
        <v>36</v>
      </c>
      <c r="Q87" s="162" t="s">
        <v>2726</v>
      </c>
      <c r="R87" s="162" t="s">
        <v>2712</v>
      </c>
      <c r="S87" s="162">
        <v>4.4999999999999998E-2</v>
      </c>
      <c r="T87" s="162">
        <v>3.8671999999999984E-2</v>
      </c>
      <c r="U87" s="99">
        <f t="shared" si="5"/>
        <v>6.3280000000000142E-3</v>
      </c>
      <c r="V87" s="162">
        <v>3.6110000000000002</v>
      </c>
      <c r="W87" s="99">
        <f>6.446+9.244</f>
        <v>15.69</v>
      </c>
      <c r="X87" s="162">
        <f t="shared" si="6"/>
        <v>56.656590000000001</v>
      </c>
      <c r="Y87" s="101"/>
    </row>
    <row r="88" spans="1:25" ht="16">
      <c r="A88" s="162" t="s">
        <v>25</v>
      </c>
      <c r="B88" s="100" t="s">
        <v>2267</v>
      </c>
      <c r="C88" s="162" t="s">
        <v>1744</v>
      </c>
      <c r="D88" s="162" t="s">
        <v>3564</v>
      </c>
      <c r="E88" s="162" t="s">
        <v>2435</v>
      </c>
      <c r="F88" s="162">
        <v>-17.020199999999999</v>
      </c>
      <c r="G88" s="162">
        <v>145.34039999999999</v>
      </c>
      <c r="H88" s="162">
        <v>0</v>
      </c>
      <c r="I88" s="164">
        <v>42961</v>
      </c>
      <c r="J88" s="162" t="s">
        <v>2556</v>
      </c>
      <c r="K88" s="162" t="s">
        <v>831</v>
      </c>
      <c r="L88" s="162" t="s">
        <v>2554</v>
      </c>
      <c r="M88" s="162" t="s">
        <v>2750</v>
      </c>
      <c r="N88" s="162" t="s">
        <v>2727</v>
      </c>
      <c r="O88" s="162" t="s">
        <v>2648</v>
      </c>
      <c r="P88" s="131" t="s">
        <v>36</v>
      </c>
      <c r="Q88" s="162" t="s">
        <v>2728</v>
      </c>
      <c r="R88" s="162" t="s">
        <v>2713</v>
      </c>
      <c r="S88" s="162">
        <v>4.41E-2</v>
      </c>
      <c r="T88" s="162">
        <v>3.8671999999999984E-2</v>
      </c>
      <c r="U88" s="99">
        <f t="shared" si="5"/>
        <v>5.4280000000000161E-3</v>
      </c>
      <c r="V88" s="162">
        <v>2.7610000000000001</v>
      </c>
      <c r="W88" s="99">
        <f>8.368+1.664+1.821</f>
        <v>11.853</v>
      </c>
      <c r="X88" s="162">
        <f t="shared" si="6"/>
        <v>32.726132999999997</v>
      </c>
      <c r="Y88" s="101"/>
    </row>
    <row r="89" spans="1:25" ht="16">
      <c r="A89" s="162" t="s">
        <v>25</v>
      </c>
      <c r="B89" s="100" t="s">
        <v>2268</v>
      </c>
      <c r="C89" s="162" t="s">
        <v>1744</v>
      </c>
      <c r="D89" s="162" t="s">
        <v>3564</v>
      </c>
      <c r="E89" s="162" t="s">
        <v>2436</v>
      </c>
      <c r="F89" s="162">
        <v>-16.992799999999999</v>
      </c>
      <c r="G89" s="162">
        <v>145.46170000000001</v>
      </c>
      <c r="H89" s="162">
        <v>0</v>
      </c>
      <c r="I89" s="164">
        <v>42956</v>
      </c>
      <c r="J89" s="162" t="s">
        <v>2556</v>
      </c>
      <c r="K89" s="162" t="s">
        <v>831</v>
      </c>
      <c r="L89" s="162" t="s">
        <v>2554</v>
      </c>
      <c r="M89" s="162" t="s">
        <v>2750</v>
      </c>
      <c r="N89" s="162" t="s">
        <v>2727</v>
      </c>
      <c r="O89" s="162" t="s">
        <v>2648</v>
      </c>
      <c r="P89" s="131" t="s">
        <v>36</v>
      </c>
      <c r="Q89" s="162" t="s">
        <v>2728</v>
      </c>
      <c r="R89" s="162" t="s">
        <v>2712</v>
      </c>
      <c r="S89" s="162">
        <v>4.1099999999999998E-2</v>
      </c>
      <c r="T89" s="162">
        <v>3.8671999999999984E-2</v>
      </c>
      <c r="U89" s="99">
        <f t="shared" si="5"/>
        <v>2.4280000000000135E-3</v>
      </c>
      <c r="V89" s="162">
        <v>2.7269999999999999</v>
      </c>
      <c r="W89" s="99">
        <f>5.337+2.947+1.339+2.247</f>
        <v>11.87</v>
      </c>
      <c r="X89" s="162">
        <f t="shared" si="6"/>
        <v>32.369489999999999</v>
      </c>
      <c r="Y89" s="101"/>
    </row>
    <row r="90" spans="1:25" ht="16">
      <c r="A90" s="162" t="s">
        <v>25</v>
      </c>
      <c r="B90" s="100" t="s">
        <v>2269</v>
      </c>
      <c r="C90" s="162" t="s">
        <v>1744</v>
      </c>
      <c r="D90" s="162" t="s">
        <v>3564</v>
      </c>
      <c r="E90" s="162" t="s">
        <v>2437</v>
      </c>
      <c r="F90" s="162">
        <v>-16.992799999999999</v>
      </c>
      <c r="G90" s="162">
        <v>145.46170000000001</v>
      </c>
      <c r="H90" s="162">
        <v>0</v>
      </c>
      <c r="I90" s="164">
        <v>42961</v>
      </c>
      <c r="J90" s="162" t="s">
        <v>2556</v>
      </c>
      <c r="K90" s="162" t="s">
        <v>831</v>
      </c>
      <c r="L90" s="162" t="s">
        <v>2554</v>
      </c>
      <c r="M90" s="162" t="s">
        <v>2561</v>
      </c>
      <c r="N90" s="162" t="s">
        <v>2717</v>
      </c>
      <c r="O90" s="162" t="s">
        <v>2725</v>
      </c>
      <c r="P90" s="131" t="s">
        <v>36</v>
      </c>
      <c r="Q90" s="162" t="s">
        <v>2726</v>
      </c>
      <c r="R90" s="162" t="s">
        <v>2712</v>
      </c>
      <c r="S90" s="162">
        <v>4.3299999999999998E-2</v>
      </c>
      <c r="T90" s="162">
        <v>3.8671999999999984E-2</v>
      </c>
      <c r="U90" s="99">
        <f t="shared" si="5"/>
        <v>4.628000000000014E-3</v>
      </c>
      <c r="V90" s="162">
        <v>3.5609999999999999</v>
      </c>
      <c r="W90" s="99">
        <v>13.369</v>
      </c>
      <c r="X90" s="162">
        <f t="shared" si="6"/>
        <v>47.607008999999998</v>
      </c>
      <c r="Y90" s="101"/>
    </row>
    <row r="91" spans="1:25" ht="16">
      <c r="A91" s="162" t="s">
        <v>25</v>
      </c>
      <c r="B91" s="100" t="s">
        <v>2270</v>
      </c>
      <c r="C91" s="162" t="s">
        <v>1744</v>
      </c>
      <c r="D91" s="162" t="s">
        <v>3564</v>
      </c>
      <c r="E91" s="162" t="s">
        <v>2438</v>
      </c>
      <c r="F91" s="162">
        <v>-16.992799999999999</v>
      </c>
      <c r="G91" s="162">
        <v>145.46170000000001</v>
      </c>
      <c r="H91" s="162">
        <v>0</v>
      </c>
      <c r="I91" s="164">
        <v>42956</v>
      </c>
      <c r="J91" s="162" t="s">
        <v>2556</v>
      </c>
      <c r="K91" s="162" t="s">
        <v>831</v>
      </c>
      <c r="L91" s="162" t="s">
        <v>2554</v>
      </c>
      <c r="M91" s="162" t="s">
        <v>2561</v>
      </c>
      <c r="N91" s="162" t="s">
        <v>2717</v>
      </c>
      <c r="O91" s="162" t="s">
        <v>2725</v>
      </c>
      <c r="P91" s="131" t="s">
        <v>36</v>
      </c>
      <c r="Q91" s="162" t="s">
        <v>2726</v>
      </c>
      <c r="R91" s="162" t="s">
        <v>2712</v>
      </c>
      <c r="S91" s="162">
        <v>4.2599999999999999E-2</v>
      </c>
      <c r="T91" s="162">
        <v>3.8671999999999984E-2</v>
      </c>
      <c r="U91" s="99">
        <f t="shared" si="5"/>
        <v>3.9280000000000148E-3</v>
      </c>
      <c r="V91" s="162">
        <v>3.456</v>
      </c>
      <c r="W91" s="99">
        <f>8.555+4.381</f>
        <v>12.936</v>
      </c>
      <c r="X91" s="162">
        <f t="shared" si="6"/>
        <v>44.706815999999996</v>
      </c>
      <c r="Y91" s="101"/>
    </row>
    <row r="92" spans="1:25" ht="16">
      <c r="A92" s="162" t="s">
        <v>25</v>
      </c>
      <c r="B92" s="100" t="s">
        <v>2280</v>
      </c>
      <c r="C92" s="162" t="s">
        <v>1744</v>
      </c>
      <c r="D92" s="162" t="s">
        <v>3563</v>
      </c>
      <c r="E92" s="162" t="s">
        <v>2447</v>
      </c>
      <c r="F92" s="162">
        <v>-14.54</v>
      </c>
      <c r="G92" s="162">
        <v>132.131</v>
      </c>
      <c r="H92" s="162">
        <v>0</v>
      </c>
      <c r="I92" s="164">
        <v>42945</v>
      </c>
      <c r="J92" s="162" t="s">
        <v>2557</v>
      </c>
      <c r="K92" s="162" t="s">
        <v>831</v>
      </c>
      <c r="L92" s="162" t="s">
        <v>2554</v>
      </c>
      <c r="M92" s="162" t="s">
        <v>2561</v>
      </c>
      <c r="N92" s="162" t="s">
        <v>2732</v>
      </c>
      <c r="O92" s="162" t="s">
        <v>2730</v>
      </c>
      <c r="P92" s="162" t="s">
        <v>2730</v>
      </c>
      <c r="Q92" s="162" t="s">
        <v>2731</v>
      </c>
      <c r="R92" s="162" t="s">
        <v>2712</v>
      </c>
      <c r="S92" s="162">
        <v>4.1200000000000001E-2</v>
      </c>
      <c r="T92" s="162">
        <v>3.8671999999999984E-2</v>
      </c>
      <c r="U92" s="99">
        <f t="shared" si="5"/>
        <v>2.5280000000000163E-3</v>
      </c>
      <c r="V92" s="162">
        <v>2.44</v>
      </c>
      <c r="W92" s="99">
        <f>4.435+1.96+1.712</f>
        <v>8.1069999999999993</v>
      </c>
      <c r="X92" s="162">
        <f t="shared" si="6"/>
        <v>19.781079999999999</v>
      </c>
      <c r="Y92" s="101"/>
    </row>
    <row r="93" spans="1:25" ht="16">
      <c r="A93" s="162" t="s">
        <v>25</v>
      </c>
      <c r="B93" s="100" t="s">
        <v>2281</v>
      </c>
      <c r="C93" s="162" t="s">
        <v>1744</v>
      </c>
      <c r="D93" s="162" t="s">
        <v>3563</v>
      </c>
      <c r="E93" s="162" t="s">
        <v>2448</v>
      </c>
      <c r="F93" s="162">
        <v>-14.54</v>
      </c>
      <c r="G93" s="162">
        <v>132.131</v>
      </c>
      <c r="H93" s="162">
        <v>0</v>
      </c>
      <c r="I93" s="164">
        <v>42945</v>
      </c>
      <c r="J93" s="162" t="s">
        <v>2557</v>
      </c>
      <c r="K93" s="162" t="s">
        <v>831</v>
      </c>
      <c r="L93" s="162" t="s">
        <v>2554</v>
      </c>
      <c r="M93" s="162" t="s">
        <v>2561</v>
      </c>
      <c r="N93" s="162" t="s">
        <v>2732</v>
      </c>
      <c r="O93" s="162" t="s">
        <v>2730</v>
      </c>
      <c r="P93" s="162" t="s">
        <v>2730</v>
      </c>
      <c r="Q93" s="162" t="s">
        <v>2731</v>
      </c>
      <c r="R93" s="162" t="s">
        <v>2712</v>
      </c>
      <c r="S93" s="162">
        <v>4.1399999999999999E-2</v>
      </c>
      <c r="T93" s="162">
        <v>3.8671999999999984E-2</v>
      </c>
      <c r="U93" s="99">
        <f t="shared" si="5"/>
        <v>2.7280000000000151E-3</v>
      </c>
      <c r="V93" s="162">
        <v>2.6960000000000002</v>
      </c>
      <c r="W93" s="99">
        <f>3.094+1.307+4.445</f>
        <v>8.8460000000000001</v>
      </c>
      <c r="X93" s="162">
        <f t="shared" si="6"/>
        <v>23.848816000000003</v>
      </c>
      <c r="Y93" s="101"/>
    </row>
    <row r="94" spans="1:25" ht="16">
      <c r="A94" s="162" t="s">
        <v>25</v>
      </c>
      <c r="B94" s="100" t="s">
        <v>2282</v>
      </c>
      <c r="C94" s="162" t="s">
        <v>1744</v>
      </c>
      <c r="D94" s="162" t="s">
        <v>3563</v>
      </c>
      <c r="E94" s="162" t="s">
        <v>2449</v>
      </c>
      <c r="F94" s="162">
        <v>-14.54</v>
      </c>
      <c r="G94" s="162">
        <v>132.131</v>
      </c>
      <c r="H94" s="162">
        <v>0</v>
      </c>
      <c r="I94" s="164">
        <v>42945</v>
      </c>
      <c r="J94" s="162" t="s">
        <v>2557</v>
      </c>
      <c r="K94" s="162" t="s">
        <v>831</v>
      </c>
      <c r="L94" s="162" t="s">
        <v>2554</v>
      </c>
      <c r="M94" s="162" t="s">
        <v>2561</v>
      </c>
      <c r="N94" s="162" t="s">
        <v>2717</v>
      </c>
      <c r="O94" s="162" t="s">
        <v>2724</v>
      </c>
      <c r="P94" s="131" t="s">
        <v>36</v>
      </c>
      <c r="Q94" s="162" t="s">
        <v>2555</v>
      </c>
      <c r="R94" s="162" t="s">
        <v>2712</v>
      </c>
      <c r="S94" s="162">
        <v>4.5999999999999999E-2</v>
      </c>
      <c r="T94" s="162">
        <v>3.8671999999999984E-2</v>
      </c>
      <c r="U94" s="99">
        <f t="shared" si="5"/>
        <v>7.3280000000000151E-3</v>
      </c>
      <c r="V94" s="162">
        <v>3.1259999999999999</v>
      </c>
      <c r="W94" s="99">
        <f>9.579+5.631</f>
        <v>15.21</v>
      </c>
      <c r="X94" s="162">
        <f t="shared" si="6"/>
        <v>47.546460000000003</v>
      </c>
      <c r="Y94" s="101"/>
    </row>
    <row r="95" spans="1:25" ht="16">
      <c r="A95" s="162" t="s">
        <v>25</v>
      </c>
      <c r="B95" s="100" t="s">
        <v>2307</v>
      </c>
      <c r="C95" s="162" t="s">
        <v>1744</v>
      </c>
      <c r="D95" s="162" t="s">
        <v>3563</v>
      </c>
      <c r="E95" s="162" t="s">
        <v>2474</v>
      </c>
      <c r="F95" s="162">
        <v>-14.522</v>
      </c>
      <c r="G95" s="162">
        <v>132.45400000000001</v>
      </c>
      <c r="H95" s="162">
        <v>0</v>
      </c>
      <c r="I95" s="164">
        <v>42920</v>
      </c>
      <c r="J95" s="162" t="s">
        <v>2556</v>
      </c>
      <c r="K95" s="162" t="s">
        <v>831</v>
      </c>
      <c r="L95" s="162" t="s">
        <v>2554</v>
      </c>
      <c r="M95" s="162" t="s">
        <v>2561</v>
      </c>
      <c r="N95" s="162" t="s">
        <v>2717</v>
      </c>
      <c r="O95" s="162" t="s">
        <v>2724</v>
      </c>
      <c r="P95" s="131" t="s">
        <v>36</v>
      </c>
      <c r="Q95" s="162" t="s">
        <v>2555</v>
      </c>
      <c r="R95" s="162" t="s">
        <v>2713</v>
      </c>
      <c r="S95" s="162">
        <v>4.2900000000000001E-2</v>
      </c>
      <c r="T95" s="162">
        <v>3.8671999999999984E-2</v>
      </c>
      <c r="U95" s="99">
        <f t="shared" si="5"/>
        <v>4.2280000000000165E-3</v>
      </c>
      <c r="V95" s="162">
        <v>3.2970000000000002</v>
      </c>
      <c r="W95" s="99">
        <f>8.539+4.828</f>
        <v>13.367000000000001</v>
      </c>
      <c r="X95" s="162">
        <f t="shared" si="6"/>
        <v>44.070999000000008</v>
      </c>
      <c r="Y95" s="101"/>
    </row>
    <row r="96" spans="1:25" ht="16">
      <c r="A96" s="162" t="s">
        <v>25</v>
      </c>
      <c r="B96" s="100" t="s">
        <v>2326</v>
      </c>
      <c r="C96" s="162" t="s">
        <v>1744</v>
      </c>
      <c r="D96" s="162" t="s">
        <v>3565</v>
      </c>
      <c r="E96" s="162" t="s">
        <v>2486</v>
      </c>
      <c r="F96" s="162">
        <v>-28.626999999999999</v>
      </c>
      <c r="G96" s="162">
        <v>151.98500000000001</v>
      </c>
      <c r="H96" s="162">
        <v>0</v>
      </c>
      <c r="I96" s="164">
        <v>43011</v>
      </c>
      <c r="J96" s="162" t="s">
        <v>2558</v>
      </c>
      <c r="K96" s="162" t="s">
        <v>831</v>
      </c>
      <c r="L96" s="162" t="s">
        <v>2554</v>
      </c>
      <c r="M96" s="162" t="s">
        <v>2561</v>
      </c>
      <c r="N96" s="162" t="s">
        <v>2717</v>
      </c>
      <c r="O96" s="162" t="s">
        <v>2720</v>
      </c>
      <c r="P96" s="162" t="s">
        <v>2719</v>
      </c>
      <c r="Q96" s="162" t="s">
        <v>2559</v>
      </c>
      <c r="R96" s="162" t="s">
        <v>2713</v>
      </c>
      <c r="S96" s="162">
        <v>7.2800000000000004E-2</v>
      </c>
      <c r="T96" s="162">
        <v>6.7166000000000003E-2</v>
      </c>
      <c r="U96" s="99">
        <f t="shared" si="5"/>
        <v>5.6340000000000001E-3</v>
      </c>
      <c r="V96" s="162">
        <v>3.4860000000000002</v>
      </c>
      <c r="W96" s="99">
        <f>8.34+4.776</f>
        <v>13.116</v>
      </c>
      <c r="X96" s="162">
        <f t="shared" si="6"/>
        <v>45.722376000000004</v>
      </c>
      <c r="Y96" s="101"/>
    </row>
    <row r="97" spans="1:25" ht="16">
      <c r="A97" s="162" t="s">
        <v>25</v>
      </c>
      <c r="B97" s="100" t="s">
        <v>2327</v>
      </c>
      <c r="C97" s="162" t="s">
        <v>1744</v>
      </c>
      <c r="D97" s="162" t="s">
        <v>3565</v>
      </c>
      <c r="E97" s="162" t="s">
        <v>2487</v>
      </c>
      <c r="F97" s="162">
        <v>-28.51</v>
      </c>
      <c r="G97" s="162">
        <v>151.86000000000001</v>
      </c>
      <c r="H97" s="162">
        <v>0</v>
      </c>
      <c r="I97" s="164">
        <v>43005</v>
      </c>
      <c r="J97" s="162" t="s">
        <v>2558</v>
      </c>
      <c r="K97" s="162" t="s">
        <v>831</v>
      </c>
      <c r="L97" s="162" t="s">
        <v>2554</v>
      </c>
      <c r="M97" s="162" t="s">
        <v>2561</v>
      </c>
      <c r="N97" s="162" t="s">
        <v>2717</v>
      </c>
      <c r="O97" s="162" t="s">
        <v>2725</v>
      </c>
      <c r="P97" s="131" t="s">
        <v>36</v>
      </c>
      <c r="Q97" s="162" t="s">
        <v>2726</v>
      </c>
      <c r="R97" s="162" t="s">
        <v>2712</v>
      </c>
      <c r="S97" s="162">
        <v>4.5199999999999997E-2</v>
      </c>
      <c r="T97" s="162">
        <v>3.8671999999999984E-2</v>
      </c>
      <c r="U97" s="99">
        <f t="shared" si="5"/>
        <v>6.528000000000013E-3</v>
      </c>
      <c r="V97" s="162">
        <v>3.718</v>
      </c>
      <c r="W97" s="99">
        <f>8.578+4.941</f>
        <v>13.518999999999998</v>
      </c>
      <c r="X97" s="162">
        <f t="shared" si="6"/>
        <v>50.26364199999999</v>
      </c>
      <c r="Y97" s="101"/>
    </row>
    <row r="98" spans="1:25" ht="16">
      <c r="A98" s="162" t="s">
        <v>25</v>
      </c>
      <c r="B98" s="100" t="s">
        <v>2328</v>
      </c>
      <c r="C98" s="162" t="s">
        <v>1744</v>
      </c>
      <c r="D98" s="162" t="s">
        <v>3565</v>
      </c>
      <c r="E98" s="162" t="s">
        <v>2488</v>
      </c>
      <c r="F98" s="162">
        <v>-28.626999999999999</v>
      </c>
      <c r="G98" s="162">
        <v>151.98500000000001</v>
      </c>
      <c r="H98" s="162">
        <v>0</v>
      </c>
      <c r="I98" s="164">
        <v>43011</v>
      </c>
      <c r="J98" s="162" t="s">
        <v>2558</v>
      </c>
      <c r="K98" s="162" t="s">
        <v>831</v>
      </c>
      <c r="L98" s="162" t="s">
        <v>2554</v>
      </c>
      <c r="M98" s="162" t="s">
        <v>2561</v>
      </c>
      <c r="N98" s="162" t="s">
        <v>2717</v>
      </c>
      <c r="O98" s="162" t="s">
        <v>2720</v>
      </c>
      <c r="P98" s="162" t="s">
        <v>2719</v>
      </c>
      <c r="Q98" s="162" t="s">
        <v>2559</v>
      </c>
      <c r="R98" s="162" t="s">
        <v>2713</v>
      </c>
      <c r="S98" s="162">
        <v>7.2700000000000001E-2</v>
      </c>
      <c r="T98" s="162">
        <v>6.7166000000000003E-2</v>
      </c>
      <c r="U98" s="99">
        <f t="shared" ref="U98:U112" si="8">S98-T98</f>
        <v>5.5339999999999973E-3</v>
      </c>
      <c r="V98" s="162">
        <v>2.871</v>
      </c>
      <c r="W98" s="99">
        <f>7.025+4.344</f>
        <v>11.369</v>
      </c>
      <c r="X98" s="162">
        <f t="shared" ref="X98:X112" si="9">V98*W98</f>
        <v>32.640399000000002</v>
      </c>
      <c r="Y98" s="101"/>
    </row>
    <row r="99" spans="1:25" ht="16">
      <c r="A99" s="162" t="s">
        <v>25</v>
      </c>
      <c r="B99" s="100" t="s">
        <v>2329</v>
      </c>
      <c r="C99" s="162" t="s">
        <v>1744</v>
      </c>
      <c r="D99" s="162" t="s">
        <v>3565</v>
      </c>
      <c r="E99" s="162" t="s">
        <v>2489</v>
      </c>
      <c r="F99" s="162">
        <v>-28.51</v>
      </c>
      <c r="G99" s="162">
        <v>151.86000000000001</v>
      </c>
      <c r="H99" s="162">
        <v>0</v>
      </c>
      <c r="I99" s="164">
        <v>43005</v>
      </c>
      <c r="J99" s="162" t="s">
        <v>2558</v>
      </c>
      <c r="K99" s="162" t="s">
        <v>831</v>
      </c>
      <c r="L99" s="162" t="s">
        <v>2554</v>
      </c>
      <c r="M99" s="162" t="s">
        <v>2561</v>
      </c>
      <c r="N99" s="162" t="s">
        <v>2717</v>
      </c>
      <c r="O99" s="162" t="s">
        <v>2725</v>
      </c>
      <c r="P99" s="131" t="s">
        <v>36</v>
      </c>
      <c r="Q99" s="162" t="s">
        <v>2726</v>
      </c>
      <c r="R99" s="162" t="s">
        <v>2712</v>
      </c>
      <c r="S99" s="162">
        <v>4.53E-2</v>
      </c>
      <c r="T99" s="162">
        <v>3.8671999999999984E-2</v>
      </c>
      <c r="U99" s="99">
        <f t="shared" si="8"/>
        <v>6.6280000000000158E-3</v>
      </c>
      <c r="V99" s="162">
        <v>3.54</v>
      </c>
      <c r="W99" s="99">
        <f>8.404+4.49</f>
        <v>12.894</v>
      </c>
      <c r="X99" s="162">
        <f t="shared" si="9"/>
        <v>45.644759999999998</v>
      </c>
      <c r="Y99" s="101"/>
    </row>
    <row r="100" spans="1:25" ht="16">
      <c r="A100" s="162" t="s">
        <v>25</v>
      </c>
      <c r="B100" s="100" t="s">
        <v>2330</v>
      </c>
      <c r="C100" s="162" t="s">
        <v>1744</v>
      </c>
      <c r="D100" s="162" t="s">
        <v>3565</v>
      </c>
      <c r="E100" s="162" t="s">
        <v>2490</v>
      </c>
      <c r="F100" s="162">
        <v>-28.617000000000001</v>
      </c>
      <c r="G100" s="162">
        <v>151.977</v>
      </c>
      <c r="H100" s="162">
        <v>0</v>
      </c>
      <c r="I100" s="164">
        <v>43019</v>
      </c>
      <c r="J100" s="162" t="s">
        <v>2558</v>
      </c>
      <c r="K100" s="162" t="s">
        <v>831</v>
      </c>
      <c r="L100" s="162" t="s">
        <v>2554</v>
      </c>
      <c r="M100" s="162" t="s">
        <v>2561</v>
      </c>
      <c r="N100" s="162" t="s">
        <v>2717</v>
      </c>
      <c r="O100" s="162" t="s">
        <v>2725</v>
      </c>
      <c r="P100" s="131" t="s">
        <v>36</v>
      </c>
      <c r="Q100" s="162" t="s">
        <v>2726</v>
      </c>
      <c r="R100" s="162" t="s">
        <v>2713</v>
      </c>
      <c r="S100" s="162">
        <v>4.7100000000000003E-2</v>
      </c>
      <c r="T100" s="162">
        <v>3.8671999999999984E-2</v>
      </c>
      <c r="U100" s="99">
        <f t="shared" si="8"/>
        <v>8.4280000000000188E-3</v>
      </c>
      <c r="V100" s="162">
        <v>3.427</v>
      </c>
      <c r="W100" s="99">
        <f>8.66+4.165</f>
        <v>12.824999999999999</v>
      </c>
      <c r="X100" s="162">
        <f t="shared" si="9"/>
        <v>43.951274999999995</v>
      </c>
      <c r="Y100" s="101"/>
    </row>
    <row r="101" spans="1:25" ht="16">
      <c r="A101" s="162" t="s">
        <v>25</v>
      </c>
      <c r="B101" s="100" t="s">
        <v>2332</v>
      </c>
      <c r="C101" s="162" t="s">
        <v>1744</v>
      </c>
      <c r="D101" s="162" t="s">
        <v>3565</v>
      </c>
      <c r="E101" s="162" t="s">
        <v>2491</v>
      </c>
      <c r="F101" s="162">
        <v>-28.521999999999998</v>
      </c>
      <c r="G101" s="162">
        <v>151.9</v>
      </c>
      <c r="H101" s="162">
        <v>0</v>
      </c>
      <c r="I101" s="164">
        <v>43016</v>
      </c>
      <c r="J101" s="162" t="s">
        <v>2558</v>
      </c>
      <c r="K101" s="162" t="s">
        <v>831</v>
      </c>
      <c r="L101" s="162" t="s">
        <v>2554</v>
      </c>
      <c r="M101" s="162" t="s">
        <v>2561</v>
      </c>
      <c r="N101" s="162" t="s">
        <v>2717</v>
      </c>
      <c r="O101" s="162" t="s">
        <v>2720</v>
      </c>
      <c r="P101" s="162" t="s">
        <v>2719</v>
      </c>
      <c r="Q101" s="162" t="s">
        <v>2559</v>
      </c>
      <c r="R101" s="162" t="s">
        <v>2713</v>
      </c>
      <c r="S101" s="162">
        <v>4.5100000000000001E-2</v>
      </c>
      <c r="T101" s="162">
        <v>3.8671999999999984E-2</v>
      </c>
      <c r="U101" s="99">
        <f t="shared" si="8"/>
        <v>6.428000000000017E-3</v>
      </c>
      <c r="V101" s="162">
        <v>3.41</v>
      </c>
      <c r="W101" s="99">
        <f>4.741+8.253</f>
        <v>12.994</v>
      </c>
      <c r="X101" s="162">
        <f t="shared" si="9"/>
        <v>44.309539999999998</v>
      </c>
      <c r="Y101" s="101"/>
    </row>
    <row r="102" spans="1:25" ht="16">
      <c r="A102" s="162" t="s">
        <v>25</v>
      </c>
      <c r="B102" s="100" t="s">
        <v>2333</v>
      </c>
      <c r="C102" s="162" t="s">
        <v>1744</v>
      </c>
      <c r="D102" s="162" t="s">
        <v>3565</v>
      </c>
      <c r="E102" s="162" t="s">
        <v>2492</v>
      </c>
      <c r="F102" s="162">
        <v>-28.512</v>
      </c>
      <c r="G102" s="162">
        <v>151.88</v>
      </c>
      <c r="H102" s="162">
        <v>0</v>
      </c>
      <c r="I102" s="164">
        <v>43004</v>
      </c>
      <c r="J102" s="162" t="s">
        <v>2558</v>
      </c>
      <c r="K102" s="162" t="s">
        <v>831</v>
      </c>
      <c r="L102" s="162" t="s">
        <v>2554</v>
      </c>
      <c r="M102" s="162" t="s">
        <v>2561</v>
      </c>
      <c r="N102" s="162" t="s">
        <v>2717</v>
      </c>
      <c r="O102" s="162" t="s">
        <v>2725</v>
      </c>
      <c r="P102" s="131" t="s">
        <v>36</v>
      </c>
      <c r="Q102" s="162" t="s">
        <v>2726</v>
      </c>
      <c r="R102" s="162" t="s">
        <v>2713</v>
      </c>
      <c r="S102" s="162">
        <v>4.2200000000000001E-2</v>
      </c>
      <c r="T102" s="162">
        <v>3.8671999999999984E-2</v>
      </c>
      <c r="U102" s="99">
        <f t="shared" si="8"/>
        <v>3.5280000000000172E-3</v>
      </c>
      <c r="V102" s="162">
        <v>3.048</v>
      </c>
      <c r="W102" s="99">
        <f>7.416+4.139</f>
        <v>11.555</v>
      </c>
      <c r="X102" s="162">
        <f t="shared" si="9"/>
        <v>35.219639999999998</v>
      </c>
      <c r="Y102" s="101"/>
    </row>
    <row r="103" spans="1:25" ht="16">
      <c r="A103" s="162" t="s">
        <v>25</v>
      </c>
      <c r="B103" s="100" t="s">
        <v>2334</v>
      </c>
      <c r="C103" s="162" t="s">
        <v>1744</v>
      </c>
      <c r="D103" s="162" t="s">
        <v>3565</v>
      </c>
      <c r="E103" s="162" t="s">
        <v>2493</v>
      </c>
      <c r="F103" s="162">
        <v>-28.51</v>
      </c>
      <c r="G103" s="162">
        <v>151.86000000000001</v>
      </c>
      <c r="H103" s="162">
        <v>0</v>
      </c>
      <c r="I103" s="164">
        <v>43001</v>
      </c>
      <c r="J103" s="162" t="s">
        <v>2558</v>
      </c>
      <c r="K103" s="162" t="s">
        <v>831</v>
      </c>
      <c r="L103" s="162" t="s">
        <v>2554</v>
      </c>
      <c r="M103" s="162" t="s">
        <v>2561</v>
      </c>
      <c r="N103" s="162" t="s">
        <v>2717</v>
      </c>
      <c r="O103" s="162" t="s">
        <v>2720</v>
      </c>
      <c r="P103" s="162" t="s">
        <v>2719</v>
      </c>
      <c r="Q103" s="162" t="s">
        <v>2559</v>
      </c>
      <c r="R103" s="162" t="s">
        <v>2712</v>
      </c>
      <c r="S103" s="162">
        <v>6.9599999999999995E-2</v>
      </c>
      <c r="T103" s="162">
        <v>6.7166000000000003E-2</v>
      </c>
      <c r="U103" s="99">
        <f t="shared" si="8"/>
        <v>2.4339999999999917E-3</v>
      </c>
      <c r="V103" s="162">
        <v>3.105</v>
      </c>
      <c r="W103" s="99">
        <f>6.477+4.928</f>
        <v>11.405000000000001</v>
      </c>
      <c r="X103" s="162">
        <f t="shared" si="9"/>
        <v>35.412525000000002</v>
      </c>
      <c r="Y103" s="101"/>
    </row>
    <row r="104" spans="1:25" ht="16">
      <c r="A104" s="162" t="s">
        <v>25</v>
      </c>
      <c r="B104" s="100" t="s">
        <v>2335</v>
      </c>
      <c r="C104" s="162" t="s">
        <v>1744</v>
      </c>
      <c r="D104" s="162" t="s">
        <v>3565</v>
      </c>
      <c r="E104" s="162" t="s">
        <v>2494</v>
      </c>
      <c r="F104" s="162">
        <v>-28.617000000000001</v>
      </c>
      <c r="G104" s="162">
        <v>151.977</v>
      </c>
      <c r="H104" s="162">
        <v>0</v>
      </c>
      <c r="I104" s="164">
        <v>43016</v>
      </c>
      <c r="J104" s="162" t="s">
        <v>2558</v>
      </c>
      <c r="K104" s="162" t="s">
        <v>831</v>
      </c>
      <c r="L104" s="162" t="s">
        <v>2554</v>
      </c>
      <c r="M104" s="162" t="s">
        <v>2561</v>
      </c>
      <c r="N104" s="162" t="s">
        <v>2717</v>
      </c>
      <c r="O104" s="162" t="s">
        <v>2725</v>
      </c>
      <c r="P104" s="131" t="s">
        <v>36</v>
      </c>
      <c r="Q104" s="162" t="s">
        <v>2726</v>
      </c>
      <c r="R104" s="162" t="s">
        <v>2712</v>
      </c>
      <c r="S104" s="162">
        <v>7.4499999999999997E-2</v>
      </c>
      <c r="T104" s="162">
        <v>6.7166000000000003E-2</v>
      </c>
      <c r="U104" s="99">
        <f t="shared" si="8"/>
        <v>7.3339999999999933E-3</v>
      </c>
      <c r="V104" s="162">
        <v>3.625</v>
      </c>
      <c r="W104" s="99">
        <f>4.244+8.547</f>
        <v>12.791</v>
      </c>
      <c r="X104" s="162">
        <f t="shared" si="9"/>
        <v>46.367375000000003</v>
      </c>
      <c r="Y104" s="101"/>
    </row>
    <row r="105" spans="1:25" ht="16">
      <c r="A105" s="162" t="s">
        <v>25</v>
      </c>
      <c r="B105" s="100" t="s">
        <v>2336</v>
      </c>
      <c r="C105" s="162" t="s">
        <v>1744</v>
      </c>
      <c r="D105" s="162" t="s">
        <v>3565</v>
      </c>
      <c r="E105" s="162" t="s">
        <v>2495</v>
      </c>
      <c r="F105" s="162">
        <v>-28.512</v>
      </c>
      <c r="G105" s="162">
        <v>151.88</v>
      </c>
      <c r="H105" s="162">
        <v>0</v>
      </c>
      <c r="I105" s="164">
        <v>43004</v>
      </c>
      <c r="J105" s="162" t="s">
        <v>2558</v>
      </c>
      <c r="K105" s="162" t="s">
        <v>831</v>
      </c>
      <c r="L105" s="162" t="s">
        <v>2554</v>
      </c>
      <c r="M105" s="162" t="s">
        <v>2561</v>
      </c>
      <c r="N105" s="162" t="s">
        <v>2717</v>
      </c>
      <c r="O105" s="162" t="s">
        <v>2720</v>
      </c>
      <c r="P105" s="162" t="s">
        <v>2719</v>
      </c>
      <c r="Q105" s="162" t="s">
        <v>2559</v>
      </c>
      <c r="R105" s="162" t="s">
        <v>2712</v>
      </c>
      <c r="S105" s="162">
        <v>4.5999999999999999E-2</v>
      </c>
      <c r="T105" s="162">
        <v>3.8671999999999984E-2</v>
      </c>
      <c r="U105" s="99">
        <f t="shared" si="8"/>
        <v>7.3280000000000151E-3</v>
      </c>
      <c r="V105" s="162">
        <v>3.3479999999999999</v>
      </c>
      <c r="W105" s="99">
        <f>5.257+9.39</f>
        <v>14.647</v>
      </c>
      <c r="X105" s="162">
        <f t="shared" si="9"/>
        <v>49.038156000000001</v>
      </c>
      <c r="Y105" s="101"/>
    </row>
    <row r="106" spans="1:25" ht="16">
      <c r="A106" s="162" t="s">
        <v>25</v>
      </c>
      <c r="B106" s="100" t="s">
        <v>2337</v>
      </c>
      <c r="C106" s="162" t="s">
        <v>1744</v>
      </c>
      <c r="D106" s="162" t="s">
        <v>3565</v>
      </c>
      <c r="E106" s="162" t="s">
        <v>2496</v>
      </c>
      <c r="F106" s="162">
        <v>-28.553000000000001</v>
      </c>
      <c r="G106" s="162">
        <v>151.893</v>
      </c>
      <c r="H106" s="162">
        <v>0</v>
      </c>
      <c r="I106" s="164">
        <v>43001</v>
      </c>
      <c r="J106" s="162" t="s">
        <v>2558</v>
      </c>
      <c r="K106" s="162" t="s">
        <v>831</v>
      </c>
      <c r="L106" s="162" t="s">
        <v>2554</v>
      </c>
      <c r="M106" s="162" t="s">
        <v>2561</v>
      </c>
      <c r="N106" s="162" t="s">
        <v>2717</v>
      </c>
      <c r="O106" s="162" t="s">
        <v>2720</v>
      </c>
      <c r="P106" s="162" t="s">
        <v>2719</v>
      </c>
      <c r="Q106" s="162" t="s">
        <v>2559</v>
      </c>
      <c r="R106" s="162" t="s">
        <v>2713</v>
      </c>
      <c r="S106" s="162">
        <v>7.3999999999999996E-2</v>
      </c>
      <c r="T106" s="162">
        <v>6.7166000000000003E-2</v>
      </c>
      <c r="U106" s="99">
        <f t="shared" si="8"/>
        <v>6.8339999999999929E-3</v>
      </c>
      <c r="V106" s="162">
        <v>3.1219999999999999</v>
      </c>
      <c r="W106" s="99">
        <f>8.208+4.454</f>
        <v>12.661999999999999</v>
      </c>
      <c r="X106" s="162">
        <f t="shared" si="9"/>
        <v>39.530763999999998</v>
      </c>
      <c r="Y106" s="101"/>
    </row>
    <row r="107" spans="1:25" ht="16">
      <c r="A107" s="162" t="s">
        <v>25</v>
      </c>
      <c r="B107" s="100" t="s">
        <v>2338</v>
      </c>
      <c r="C107" s="162" t="s">
        <v>1744</v>
      </c>
      <c r="D107" s="162" t="s">
        <v>3565</v>
      </c>
      <c r="E107" s="162" t="s">
        <v>2497</v>
      </c>
      <c r="F107" s="162">
        <v>-28.527999999999999</v>
      </c>
      <c r="G107" s="162">
        <v>151.90600000000001</v>
      </c>
      <c r="H107" s="162">
        <v>0</v>
      </c>
      <c r="I107" s="164">
        <v>43016</v>
      </c>
      <c r="J107" s="162" t="s">
        <v>2558</v>
      </c>
      <c r="K107" s="162" t="s">
        <v>831</v>
      </c>
      <c r="L107" s="162" t="s">
        <v>2554</v>
      </c>
      <c r="M107" s="162" t="s">
        <v>2561</v>
      </c>
      <c r="N107" s="162" t="s">
        <v>2717</v>
      </c>
      <c r="O107" s="162" t="s">
        <v>2725</v>
      </c>
      <c r="P107" s="131" t="s">
        <v>36</v>
      </c>
      <c r="Q107" s="162" t="s">
        <v>2726</v>
      </c>
      <c r="R107" s="162" t="s">
        <v>2712</v>
      </c>
      <c r="S107" s="162">
        <v>7.5399999999999995E-2</v>
      </c>
      <c r="T107" s="162">
        <v>6.7166000000000003E-2</v>
      </c>
      <c r="U107" s="99">
        <f t="shared" si="8"/>
        <v>8.2339999999999913E-3</v>
      </c>
      <c r="V107" s="162">
        <v>3.7149999999999999</v>
      </c>
      <c r="W107" s="99">
        <f>9.35+5.287</f>
        <v>14.637</v>
      </c>
      <c r="X107" s="162">
        <f t="shared" si="9"/>
        <v>54.376455</v>
      </c>
      <c r="Y107" s="101"/>
    </row>
    <row r="108" spans="1:25" ht="16">
      <c r="A108" s="162" t="s">
        <v>25</v>
      </c>
      <c r="B108" s="100" t="s">
        <v>2339</v>
      </c>
      <c r="C108" s="162" t="s">
        <v>1744</v>
      </c>
      <c r="D108" s="162" t="s">
        <v>3565</v>
      </c>
      <c r="E108" s="162" t="s">
        <v>2498</v>
      </c>
      <c r="F108" s="162">
        <v>-28.512</v>
      </c>
      <c r="G108" s="162">
        <v>151.88</v>
      </c>
      <c r="H108" s="162">
        <v>0</v>
      </c>
      <c r="I108" s="164">
        <v>43004</v>
      </c>
      <c r="J108" s="162" t="s">
        <v>2558</v>
      </c>
      <c r="K108" s="162" t="s">
        <v>831</v>
      </c>
      <c r="L108" s="162" t="s">
        <v>2554</v>
      </c>
      <c r="M108" s="162" t="s">
        <v>2561</v>
      </c>
      <c r="N108" s="162" t="s">
        <v>2717</v>
      </c>
      <c r="O108" s="162" t="s">
        <v>2720</v>
      </c>
      <c r="P108" s="162" t="s">
        <v>2719</v>
      </c>
      <c r="Q108" s="162" t="s">
        <v>2559</v>
      </c>
      <c r="R108" s="162" t="s">
        <v>2713</v>
      </c>
      <c r="S108" s="162">
        <v>4.3900000000000002E-2</v>
      </c>
      <c r="T108" s="162">
        <v>3.8671999999999984E-2</v>
      </c>
      <c r="U108" s="99">
        <f t="shared" si="8"/>
        <v>5.2280000000000174E-3</v>
      </c>
      <c r="V108" s="162">
        <v>3.2149999999999999</v>
      </c>
      <c r="W108" s="99">
        <f>7.983+1.751+2.618</f>
        <v>12.352</v>
      </c>
      <c r="X108" s="162">
        <f t="shared" si="9"/>
        <v>39.711680000000001</v>
      </c>
      <c r="Y108" s="101"/>
    </row>
    <row r="109" spans="1:25" ht="16">
      <c r="A109" s="162" t="s">
        <v>25</v>
      </c>
      <c r="B109" s="100" t="s">
        <v>2340</v>
      </c>
      <c r="C109" s="162" t="s">
        <v>1744</v>
      </c>
      <c r="D109" s="162" t="s">
        <v>3565</v>
      </c>
      <c r="E109" s="162" t="s">
        <v>2499</v>
      </c>
      <c r="F109" s="162">
        <v>-28.529</v>
      </c>
      <c r="G109" s="162">
        <v>151.90700000000001</v>
      </c>
      <c r="H109" s="162">
        <v>0</v>
      </c>
      <c r="I109" s="164">
        <v>43013</v>
      </c>
      <c r="J109" s="162" t="s">
        <v>2558</v>
      </c>
      <c r="K109" s="162" t="s">
        <v>831</v>
      </c>
      <c r="L109" s="162" t="s">
        <v>2554</v>
      </c>
      <c r="M109" s="162" t="s">
        <v>2561</v>
      </c>
      <c r="N109" s="162" t="s">
        <v>2717</v>
      </c>
      <c r="O109" s="162" t="s">
        <v>2720</v>
      </c>
      <c r="P109" s="162" t="s">
        <v>2719</v>
      </c>
      <c r="Q109" s="162" t="s">
        <v>2559</v>
      </c>
      <c r="R109" s="162" t="s">
        <v>2713</v>
      </c>
      <c r="S109" s="162">
        <v>4.7800000000000002E-2</v>
      </c>
      <c r="T109" s="162">
        <v>3.8671999999999984E-2</v>
      </c>
      <c r="U109" s="99">
        <f t="shared" si="8"/>
        <v>9.128000000000018E-3</v>
      </c>
      <c r="V109" s="162">
        <v>3.4449999999999998</v>
      </c>
      <c r="W109" s="99">
        <f>6.377+2.257+4.786</f>
        <v>13.42</v>
      </c>
      <c r="X109" s="162">
        <f t="shared" si="9"/>
        <v>46.231899999999996</v>
      </c>
      <c r="Y109" s="101"/>
    </row>
    <row r="110" spans="1:25" ht="16">
      <c r="A110" s="162" t="s">
        <v>25</v>
      </c>
      <c r="B110" s="100" t="s">
        <v>2341</v>
      </c>
      <c r="C110" s="162" t="s">
        <v>1744</v>
      </c>
      <c r="D110" s="162" t="s">
        <v>3565</v>
      </c>
      <c r="E110" s="162" t="s">
        <v>2500</v>
      </c>
      <c r="F110" s="162">
        <v>-28.51</v>
      </c>
      <c r="G110" s="162">
        <v>151.86000000000001</v>
      </c>
      <c r="H110" s="162">
        <v>0</v>
      </c>
      <c r="I110" s="164">
        <v>42996</v>
      </c>
      <c r="J110" s="162" t="s">
        <v>2558</v>
      </c>
      <c r="K110" s="162" t="s">
        <v>831</v>
      </c>
      <c r="L110" s="162" t="s">
        <v>2554</v>
      </c>
      <c r="M110" s="162" t="s">
        <v>2561</v>
      </c>
      <c r="N110" s="162" t="s">
        <v>2717</v>
      </c>
      <c r="O110" s="162" t="s">
        <v>2720</v>
      </c>
      <c r="P110" s="162" t="s">
        <v>2719</v>
      </c>
      <c r="Q110" s="162" t="s">
        <v>2559</v>
      </c>
      <c r="R110" s="162" t="s">
        <v>2713</v>
      </c>
      <c r="S110" s="162">
        <v>4.7600000000000003E-2</v>
      </c>
      <c r="T110" s="162">
        <v>3.8671999999999984E-2</v>
      </c>
      <c r="U110" s="99">
        <f t="shared" si="8"/>
        <v>8.9280000000000193E-3</v>
      </c>
      <c r="V110" s="162">
        <v>3.8319999999999999</v>
      </c>
      <c r="W110" s="99">
        <f>5.451+8.709</f>
        <v>14.16</v>
      </c>
      <c r="X110" s="162">
        <f t="shared" si="9"/>
        <v>54.261119999999998</v>
      </c>
      <c r="Y110" s="101"/>
    </row>
    <row r="111" spans="1:25" ht="16">
      <c r="A111" s="162" t="s">
        <v>25</v>
      </c>
      <c r="B111" s="100" t="s">
        <v>2348</v>
      </c>
      <c r="C111" s="162" t="s">
        <v>1744</v>
      </c>
      <c r="D111" s="162" t="s">
        <v>3565</v>
      </c>
      <c r="E111" s="162" t="s">
        <v>2503</v>
      </c>
      <c r="F111" s="162">
        <v>-28.529</v>
      </c>
      <c r="G111" s="162">
        <v>151.90700000000001</v>
      </c>
      <c r="H111" s="162">
        <v>0</v>
      </c>
      <c r="I111" s="164">
        <v>43013</v>
      </c>
      <c r="J111" s="162" t="s">
        <v>2558</v>
      </c>
      <c r="K111" s="162" t="s">
        <v>831</v>
      </c>
      <c r="L111" s="162" t="s">
        <v>2554</v>
      </c>
      <c r="M111" s="162" t="s">
        <v>2561</v>
      </c>
      <c r="N111" s="162" t="s">
        <v>2717</v>
      </c>
      <c r="O111" s="162" t="s">
        <v>2720</v>
      </c>
      <c r="P111" s="162" t="s">
        <v>2719</v>
      </c>
      <c r="Q111" s="162" t="s">
        <v>2559</v>
      </c>
      <c r="R111" s="162" t="s">
        <v>2713</v>
      </c>
      <c r="S111" s="162">
        <v>4.3999999999999997E-2</v>
      </c>
      <c r="T111" s="162">
        <v>3.8671999999999984E-2</v>
      </c>
      <c r="U111" s="99">
        <f t="shared" si="8"/>
        <v>5.3280000000000133E-3</v>
      </c>
      <c r="V111" s="162">
        <v>2.9089999999999998</v>
      </c>
      <c r="W111" s="99">
        <f>8.253+4.772</f>
        <v>13.025</v>
      </c>
      <c r="X111" s="162">
        <f t="shared" si="9"/>
        <v>37.889724999999999</v>
      </c>
      <c r="Y111" s="101"/>
    </row>
    <row r="112" spans="1:25" s="20" customFormat="1" ht="16">
      <c r="A112" s="165" t="s">
        <v>25</v>
      </c>
      <c r="B112" s="106" t="s">
        <v>2350</v>
      </c>
      <c r="C112" s="165" t="s">
        <v>1744</v>
      </c>
      <c r="D112" s="162" t="s">
        <v>3565</v>
      </c>
      <c r="E112" s="165" t="s">
        <v>2504</v>
      </c>
      <c r="F112" s="165">
        <v>-28.626999999999999</v>
      </c>
      <c r="G112" s="165">
        <v>151.98500000000001</v>
      </c>
      <c r="H112" s="165">
        <v>0</v>
      </c>
      <c r="I112" s="166">
        <v>43011</v>
      </c>
      <c r="J112" s="165" t="s">
        <v>2558</v>
      </c>
      <c r="K112" s="162" t="s">
        <v>831</v>
      </c>
      <c r="L112" s="165" t="s">
        <v>2554</v>
      </c>
      <c r="M112" s="165" t="s">
        <v>2561</v>
      </c>
      <c r="N112" s="165" t="s">
        <v>2717</v>
      </c>
      <c r="O112" s="165" t="s">
        <v>2720</v>
      </c>
      <c r="P112" s="165" t="s">
        <v>2719</v>
      </c>
      <c r="Q112" s="165" t="s">
        <v>2559</v>
      </c>
      <c r="R112" s="165" t="s">
        <v>2713</v>
      </c>
      <c r="S112" s="165">
        <v>7.4700000000000003E-2</v>
      </c>
      <c r="T112" s="165">
        <v>6.7166000000000003E-2</v>
      </c>
      <c r="U112" s="103">
        <f t="shared" si="8"/>
        <v>7.533999999999999E-3</v>
      </c>
      <c r="V112" s="165">
        <v>3.968</v>
      </c>
      <c r="W112" s="103">
        <v>15.368</v>
      </c>
      <c r="X112" s="165">
        <f t="shared" si="9"/>
        <v>60.980224</v>
      </c>
      <c r="Y112" s="104"/>
    </row>
    <row r="113" spans="1:25" ht="16">
      <c r="A113" s="162" t="s">
        <v>25</v>
      </c>
      <c r="B113" s="162" t="s">
        <v>2762</v>
      </c>
      <c r="C113" s="162" t="s">
        <v>1744</v>
      </c>
      <c r="D113" s="162" t="s">
        <v>3564</v>
      </c>
      <c r="E113" s="162" t="s">
        <v>2761</v>
      </c>
      <c r="F113" s="162">
        <v>-16.992799999999999</v>
      </c>
      <c r="G113" s="162">
        <v>145.46170000000001</v>
      </c>
      <c r="H113" s="162">
        <v>0</v>
      </c>
      <c r="I113" s="164">
        <v>42583</v>
      </c>
      <c r="J113" s="107" t="s">
        <v>2556</v>
      </c>
      <c r="K113" s="162" t="s">
        <v>831</v>
      </c>
      <c r="L113" s="162" t="s">
        <v>2554</v>
      </c>
      <c r="M113" s="162" t="s">
        <v>2561</v>
      </c>
      <c r="N113" s="162" t="s">
        <v>2717</v>
      </c>
      <c r="O113" s="162" t="s">
        <v>2725</v>
      </c>
      <c r="P113" s="131" t="s">
        <v>36</v>
      </c>
      <c r="Q113" s="162" t="s">
        <v>2726</v>
      </c>
      <c r="R113" s="162" t="s">
        <v>2713</v>
      </c>
      <c r="S113" s="162" t="s">
        <v>36</v>
      </c>
      <c r="T113" s="162" t="s">
        <v>36</v>
      </c>
      <c r="U113" s="162">
        <v>5.0000000000000001E-3</v>
      </c>
      <c r="V113" s="162">
        <v>2.7930000000000001</v>
      </c>
      <c r="W113" s="162">
        <v>11.179</v>
      </c>
      <c r="X113" s="162">
        <f>V113*W113</f>
        <v>31.222947000000001</v>
      </c>
      <c r="Y113" s="101"/>
    </row>
    <row r="114" spans="1:25" ht="16">
      <c r="A114" s="162" t="s">
        <v>25</v>
      </c>
      <c r="B114" s="162" t="s">
        <v>2763</v>
      </c>
      <c r="C114" s="162" t="s">
        <v>1744</v>
      </c>
      <c r="D114" s="162" t="s">
        <v>3564</v>
      </c>
      <c r="E114" s="162" t="s">
        <v>2761</v>
      </c>
      <c r="F114" s="162">
        <v>-16.992799999999999</v>
      </c>
      <c r="G114" s="162">
        <v>145.46170000000001</v>
      </c>
      <c r="H114" s="162">
        <v>0</v>
      </c>
      <c r="I114" s="164">
        <v>42583</v>
      </c>
      <c r="J114" s="107" t="s">
        <v>2556</v>
      </c>
      <c r="K114" s="162" t="s">
        <v>831</v>
      </c>
      <c r="L114" s="162" t="s">
        <v>2554</v>
      </c>
      <c r="M114" s="162" t="s">
        <v>2561</v>
      </c>
      <c r="N114" s="162" t="s">
        <v>2717</v>
      </c>
      <c r="O114" s="162" t="s">
        <v>2725</v>
      </c>
      <c r="P114" s="131" t="s">
        <v>36</v>
      </c>
      <c r="Q114" s="162" t="s">
        <v>2726</v>
      </c>
      <c r="R114" s="162" t="s">
        <v>2713</v>
      </c>
      <c r="S114" s="162" t="s">
        <v>36</v>
      </c>
      <c r="T114" s="162" t="s">
        <v>36</v>
      </c>
      <c r="U114" s="162">
        <v>6.7999999999999996E-3</v>
      </c>
      <c r="V114" s="162">
        <v>3.6840000000000002</v>
      </c>
      <c r="W114" s="162">
        <v>15.353999999999999</v>
      </c>
      <c r="X114" s="162">
        <f t="shared" ref="X114:X124" si="10">V114*W114</f>
        <v>56.564135999999998</v>
      </c>
      <c r="Y114" s="101"/>
    </row>
    <row r="115" spans="1:25" ht="16">
      <c r="A115" s="162" t="s">
        <v>25</v>
      </c>
      <c r="B115" s="162" t="s">
        <v>2764</v>
      </c>
      <c r="C115" s="162" t="s">
        <v>1744</v>
      </c>
      <c r="D115" s="162" t="s">
        <v>3564</v>
      </c>
      <c r="E115" s="162" t="s">
        <v>2761</v>
      </c>
      <c r="F115" s="162">
        <v>-16.992799999999999</v>
      </c>
      <c r="G115" s="162">
        <v>145.46170000000001</v>
      </c>
      <c r="H115" s="162">
        <v>0</v>
      </c>
      <c r="I115" s="164">
        <v>42583</v>
      </c>
      <c r="J115" s="107" t="s">
        <v>2556</v>
      </c>
      <c r="K115" s="162" t="s">
        <v>831</v>
      </c>
      <c r="L115" s="162" t="s">
        <v>2554</v>
      </c>
      <c r="M115" s="162" t="s">
        <v>2750</v>
      </c>
      <c r="N115" s="162" t="s">
        <v>2874</v>
      </c>
      <c r="O115" s="162" t="s">
        <v>2755</v>
      </c>
      <c r="P115" s="131" t="s">
        <v>36</v>
      </c>
      <c r="Q115" s="162" t="s">
        <v>2723</v>
      </c>
      <c r="R115" s="162" t="s">
        <v>2713</v>
      </c>
      <c r="S115" s="162" t="s">
        <v>36</v>
      </c>
      <c r="T115" s="162" t="s">
        <v>36</v>
      </c>
      <c r="U115" s="162">
        <v>1.9599999999999999E-2</v>
      </c>
      <c r="V115" s="162">
        <v>5.266</v>
      </c>
      <c r="W115" s="162">
        <v>17.172999999999998</v>
      </c>
      <c r="X115" s="162">
        <f t="shared" si="10"/>
        <v>90.43301799999999</v>
      </c>
      <c r="Y115" s="101"/>
    </row>
    <row r="116" spans="1:25" ht="16">
      <c r="A116" s="162" t="s">
        <v>25</v>
      </c>
      <c r="B116" s="162" t="s">
        <v>2765</v>
      </c>
      <c r="C116" s="162" t="s">
        <v>1744</v>
      </c>
      <c r="D116" s="162" t="s">
        <v>3564</v>
      </c>
      <c r="E116" s="162" t="s">
        <v>2761</v>
      </c>
      <c r="F116" s="162">
        <v>-16.992799999999999</v>
      </c>
      <c r="G116" s="162">
        <v>145.46170000000001</v>
      </c>
      <c r="H116" s="162">
        <v>0</v>
      </c>
      <c r="I116" s="164">
        <v>42583</v>
      </c>
      <c r="J116" s="107" t="s">
        <v>2556</v>
      </c>
      <c r="K116" s="162" t="s">
        <v>831</v>
      </c>
      <c r="L116" s="162" t="s">
        <v>2554</v>
      </c>
      <c r="M116" s="162" t="s">
        <v>2750</v>
      </c>
      <c r="N116" s="162" t="s">
        <v>2874</v>
      </c>
      <c r="O116" s="162" t="s">
        <v>2647</v>
      </c>
      <c r="P116" s="131" t="s">
        <v>36</v>
      </c>
      <c r="Q116" s="162" t="s">
        <v>2715</v>
      </c>
      <c r="R116" s="162" t="s">
        <v>2712</v>
      </c>
      <c r="S116" s="162" t="s">
        <v>36</v>
      </c>
      <c r="T116" s="162" t="s">
        <v>36</v>
      </c>
      <c r="U116" s="162">
        <v>1.5650000000000001E-2</v>
      </c>
      <c r="V116" s="162">
        <v>6.8630000000000004</v>
      </c>
      <c r="W116" s="162">
        <v>16.965</v>
      </c>
      <c r="X116" s="162">
        <f t="shared" si="10"/>
        <v>116.430795</v>
      </c>
      <c r="Y116" s="101"/>
    </row>
    <row r="117" spans="1:25" ht="16">
      <c r="A117" s="162" t="s">
        <v>25</v>
      </c>
      <c r="B117" s="162" t="s">
        <v>2766</v>
      </c>
      <c r="C117" s="162" t="s">
        <v>1744</v>
      </c>
      <c r="D117" s="162" t="s">
        <v>3564</v>
      </c>
      <c r="E117" s="162" t="s">
        <v>2761</v>
      </c>
      <c r="F117" s="162">
        <v>-16.992799999999999</v>
      </c>
      <c r="G117" s="162">
        <v>145.46170000000001</v>
      </c>
      <c r="H117" s="162">
        <v>0</v>
      </c>
      <c r="I117" s="164">
        <v>42583</v>
      </c>
      <c r="J117" s="107" t="s">
        <v>2556</v>
      </c>
      <c r="K117" s="162" t="s">
        <v>831</v>
      </c>
      <c r="L117" s="162" t="s">
        <v>2554</v>
      </c>
      <c r="M117" s="162" t="s">
        <v>2561</v>
      </c>
      <c r="N117" s="162" t="s">
        <v>2717</v>
      </c>
      <c r="O117" s="162" t="s">
        <v>2725</v>
      </c>
      <c r="P117" s="131" t="s">
        <v>36</v>
      </c>
      <c r="Q117" s="162" t="s">
        <v>2726</v>
      </c>
      <c r="R117" s="162" t="s">
        <v>2712</v>
      </c>
      <c r="S117" s="162" t="s">
        <v>36</v>
      </c>
      <c r="T117" s="162" t="s">
        <v>36</v>
      </c>
      <c r="U117" s="162">
        <v>6.4000000000000003E-3</v>
      </c>
      <c r="V117" s="162">
        <v>4.7539999999999996</v>
      </c>
      <c r="W117" s="162">
        <v>15.79</v>
      </c>
      <c r="X117" s="162">
        <f t="shared" si="10"/>
        <v>75.065659999999994</v>
      </c>
      <c r="Y117" s="101"/>
    </row>
    <row r="118" spans="1:25" ht="16">
      <c r="A118" s="162" t="s">
        <v>25</v>
      </c>
      <c r="B118" s="162" t="s">
        <v>2767</v>
      </c>
      <c r="C118" s="162" t="s">
        <v>1744</v>
      </c>
      <c r="D118" s="162" t="s">
        <v>3564</v>
      </c>
      <c r="E118" s="162" t="s">
        <v>2761</v>
      </c>
      <c r="F118" s="162">
        <v>-16.992799999999999</v>
      </c>
      <c r="G118" s="162">
        <v>145.46170000000001</v>
      </c>
      <c r="H118" s="162">
        <v>0</v>
      </c>
      <c r="I118" s="164">
        <v>42583</v>
      </c>
      <c r="J118" s="107" t="s">
        <v>2556</v>
      </c>
      <c r="K118" s="162" t="s">
        <v>831</v>
      </c>
      <c r="L118" s="162" t="s">
        <v>2554</v>
      </c>
      <c r="M118" s="162" t="s">
        <v>2561</v>
      </c>
      <c r="N118" s="162" t="s">
        <v>2717</v>
      </c>
      <c r="O118" s="162" t="s">
        <v>2646</v>
      </c>
      <c r="P118" s="131" t="s">
        <v>36</v>
      </c>
      <c r="Q118" s="162" t="s">
        <v>2729</v>
      </c>
      <c r="R118" s="162" t="s">
        <v>2712</v>
      </c>
      <c r="S118" s="162" t="s">
        <v>36</v>
      </c>
      <c r="T118" s="162" t="s">
        <v>36</v>
      </c>
      <c r="U118" s="162">
        <v>2.5999999999999999E-3</v>
      </c>
      <c r="V118" s="162">
        <v>2.5409999999999999</v>
      </c>
      <c r="W118" s="162">
        <v>12.989000000000001</v>
      </c>
      <c r="X118" s="162">
        <f t="shared" si="10"/>
        <v>33.005049</v>
      </c>
      <c r="Y118" s="101"/>
    </row>
    <row r="119" spans="1:25" ht="16">
      <c r="A119" s="162" t="s">
        <v>25</v>
      </c>
      <c r="B119" s="162" t="s">
        <v>2768</v>
      </c>
      <c r="C119" s="162" t="s">
        <v>1744</v>
      </c>
      <c r="D119" s="162" t="s">
        <v>3564</v>
      </c>
      <c r="E119" s="162" t="s">
        <v>2761</v>
      </c>
      <c r="F119" s="162">
        <v>-16.992799999999999</v>
      </c>
      <c r="G119" s="162">
        <v>145.46170000000001</v>
      </c>
      <c r="H119" s="162">
        <v>0</v>
      </c>
      <c r="I119" s="164">
        <v>42583</v>
      </c>
      <c r="J119" s="107" t="s">
        <v>2556</v>
      </c>
      <c r="K119" s="162" t="s">
        <v>831</v>
      </c>
      <c r="L119" s="162" t="s">
        <v>2554</v>
      </c>
      <c r="M119" s="162" t="s">
        <v>2750</v>
      </c>
      <c r="N119" s="162" t="s">
        <v>2874</v>
      </c>
      <c r="O119" s="162" t="s">
        <v>2755</v>
      </c>
      <c r="P119" s="131" t="s">
        <v>36</v>
      </c>
      <c r="Q119" s="162" t="s">
        <v>2723</v>
      </c>
      <c r="R119" s="162" t="s">
        <v>2713</v>
      </c>
      <c r="S119" s="162" t="s">
        <v>36</v>
      </c>
      <c r="T119" s="162" t="s">
        <v>36</v>
      </c>
      <c r="U119" s="162">
        <v>1.49E-2</v>
      </c>
      <c r="V119" s="162">
        <v>5.51</v>
      </c>
      <c r="W119" s="162">
        <v>16.417000000000002</v>
      </c>
      <c r="X119" s="162">
        <f t="shared" si="10"/>
        <v>90.457670000000007</v>
      </c>
      <c r="Y119" s="101"/>
    </row>
    <row r="120" spans="1:25" ht="16">
      <c r="A120" s="162" t="s">
        <v>25</v>
      </c>
      <c r="B120" s="162" t="s">
        <v>2769</v>
      </c>
      <c r="C120" s="162" t="s">
        <v>1744</v>
      </c>
      <c r="D120" s="162" t="s">
        <v>3564</v>
      </c>
      <c r="E120" s="162" t="s">
        <v>2761</v>
      </c>
      <c r="F120" s="162">
        <v>-16.992799999999999</v>
      </c>
      <c r="G120" s="162">
        <v>145.46170000000001</v>
      </c>
      <c r="H120" s="162">
        <v>0</v>
      </c>
      <c r="I120" s="164">
        <v>42583</v>
      </c>
      <c r="J120" s="107" t="s">
        <v>2556</v>
      </c>
      <c r="K120" s="162" t="s">
        <v>831</v>
      </c>
      <c r="L120" s="162" t="s">
        <v>2554</v>
      </c>
      <c r="M120" s="162" t="s">
        <v>2750</v>
      </c>
      <c r="N120" s="162" t="s">
        <v>2874</v>
      </c>
      <c r="O120" s="162" t="s">
        <v>2755</v>
      </c>
      <c r="P120" s="131" t="s">
        <v>36</v>
      </c>
      <c r="Q120" s="162" t="s">
        <v>2723</v>
      </c>
      <c r="R120" s="162" t="s">
        <v>2713</v>
      </c>
      <c r="S120" s="162" t="s">
        <v>36</v>
      </c>
      <c r="T120" s="162" t="s">
        <v>36</v>
      </c>
      <c r="U120" s="162">
        <v>1.0800000000000001E-2</v>
      </c>
      <c r="V120" s="162">
        <v>4.4720000000000004</v>
      </c>
      <c r="W120" s="162">
        <v>15.23</v>
      </c>
      <c r="X120" s="162">
        <f t="shared" si="10"/>
        <v>68.108560000000011</v>
      </c>
      <c r="Y120" s="101"/>
    </row>
    <row r="121" spans="1:25" ht="16">
      <c r="A121" s="162" t="s">
        <v>25</v>
      </c>
      <c r="B121" s="162" t="s">
        <v>2770</v>
      </c>
      <c r="C121" s="162" t="s">
        <v>1744</v>
      </c>
      <c r="D121" s="162" t="s">
        <v>3564</v>
      </c>
      <c r="E121" s="162" t="s">
        <v>2761</v>
      </c>
      <c r="F121" s="162">
        <v>-16.992799999999999</v>
      </c>
      <c r="G121" s="162">
        <v>145.46170000000001</v>
      </c>
      <c r="H121" s="162">
        <v>0</v>
      </c>
      <c r="I121" s="164">
        <v>42583</v>
      </c>
      <c r="J121" s="107" t="s">
        <v>2556</v>
      </c>
      <c r="K121" s="162" t="s">
        <v>831</v>
      </c>
      <c r="L121" s="162" t="s">
        <v>2554</v>
      </c>
      <c r="M121" s="162" t="s">
        <v>2750</v>
      </c>
      <c r="N121" s="162" t="s">
        <v>2727</v>
      </c>
      <c r="O121" s="162" t="s">
        <v>2648</v>
      </c>
      <c r="P121" s="131" t="s">
        <v>36</v>
      </c>
      <c r="Q121" s="162" t="s">
        <v>2728</v>
      </c>
      <c r="R121" s="162" t="s">
        <v>2713</v>
      </c>
      <c r="S121" s="162" t="s">
        <v>36</v>
      </c>
      <c r="T121" s="162" t="s">
        <v>36</v>
      </c>
      <c r="U121" s="162">
        <v>3.3999999999999998E-3</v>
      </c>
      <c r="V121" s="162">
        <v>3.0190000000000001</v>
      </c>
      <c r="W121" s="162">
        <v>12.201000000000001</v>
      </c>
      <c r="X121" s="162">
        <f t="shared" si="10"/>
        <v>36.834819000000003</v>
      </c>
      <c r="Y121" s="101"/>
    </row>
    <row r="122" spans="1:25" ht="16">
      <c r="A122" s="162" t="s">
        <v>25</v>
      </c>
      <c r="B122" s="162" t="s">
        <v>2771</v>
      </c>
      <c r="C122" s="162" t="s">
        <v>1744</v>
      </c>
      <c r="D122" s="162" t="s">
        <v>3564</v>
      </c>
      <c r="E122" s="162" t="s">
        <v>2761</v>
      </c>
      <c r="F122" s="162">
        <v>-16.992799999999999</v>
      </c>
      <c r="G122" s="162">
        <v>145.46170000000001</v>
      </c>
      <c r="H122" s="162">
        <v>0</v>
      </c>
      <c r="I122" s="164">
        <v>42583</v>
      </c>
      <c r="J122" s="107" t="s">
        <v>2556</v>
      </c>
      <c r="K122" s="162" t="s">
        <v>831</v>
      </c>
      <c r="L122" s="162" t="s">
        <v>2554</v>
      </c>
      <c r="M122" s="162" t="s">
        <v>2750</v>
      </c>
      <c r="N122" s="162" t="s">
        <v>2874</v>
      </c>
      <c r="O122" s="162" t="s">
        <v>2755</v>
      </c>
      <c r="P122" s="131" t="s">
        <v>36</v>
      </c>
      <c r="Q122" s="162" t="s">
        <v>2723</v>
      </c>
      <c r="R122" s="162" t="s">
        <v>2713</v>
      </c>
      <c r="S122" s="162" t="s">
        <v>36</v>
      </c>
      <c r="T122" s="162" t="s">
        <v>36</v>
      </c>
      <c r="U122" s="162">
        <v>1.4500000000000001E-2</v>
      </c>
      <c r="V122" s="162">
        <v>5.6150000000000002</v>
      </c>
      <c r="W122" s="162">
        <v>16.497</v>
      </c>
      <c r="X122" s="162">
        <f t="shared" si="10"/>
        <v>92.630655000000004</v>
      </c>
      <c r="Y122" s="101"/>
    </row>
    <row r="123" spans="1:25" ht="16">
      <c r="A123" s="162" t="s">
        <v>25</v>
      </c>
      <c r="B123" s="162" t="s">
        <v>2772</v>
      </c>
      <c r="C123" s="162" t="s">
        <v>1744</v>
      </c>
      <c r="D123" s="162" t="s">
        <v>3564</v>
      </c>
      <c r="E123" s="162" t="s">
        <v>2761</v>
      </c>
      <c r="F123" s="162">
        <v>-16.992799999999999</v>
      </c>
      <c r="G123" s="162">
        <v>145.46170000000001</v>
      </c>
      <c r="H123" s="162">
        <v>0</v>
      </c>
      <c r="I123" s="164">
        <v>42583</v>
      </c>
      <c r="J123" s="107" t="s">
        <v>2556</v>
      </c>
      <c r="K123" s="162" t="s">
        <v>831</v>
      </c>
      <c r="L123" s="162" t="s">
        <v>2554</v>
      </c>
      <c r="M123" s="162" t="s">
        <v>2561</v>
      </c>
      <c r="N123" s="162" t="s">
        <v>2717</v>
      </c>
      <c r="O123" s="162" t="s">
        <v>2725</v>
      </c>
      <c r="P123" s="131" t="s">
        <v>36</v>
      </c>
      <c r="Q123" s="162" t="s">
        <v>2726</v>
      </c>
      <c r="R123" s="162" t="s">
        <v>2712</v>
      </c>
      <c r="S123" s="162" t="s">
        <v>36</v>
      </c>
      <c r="T123" s="162" t="s">
        <v>36</v>
      </c>
      <c r="U123" s="162">
        <v>4.4000000000000003E-3</v>
      </c>
      <c r="V123" s="162">
        <v>3.4409999999999998</v>
      </c>
      <c r="W123" s="162">
        <v>15.210599999999999</v>
      </c>
      <c r="X123" s="162">
        <f t="shared" si="10"/>
        <v>52.339674599999995</v>
      </c>
      <c r="Y123" s="101"/>
    </row>
    <row r="124" spans="1:25" ht="16">
      <c r="A124" s="162" t="s">
        <v>25</v>
      </c>
      <c r="B124" s="162" t="s">
        <v>2773</v>
      </c>
      <c r="C124" s="162" t="s">
        <v>1744</v>
      </c>
      <c r="D124" s="162" t="s">
        <v>3564</v>
      </c>
      <c r="E124" s="162" t="s">
        <v>2761</v>
      </c>
      <c r="F124" s="162">
        <v>-16.992799999999999</v>
      </c>
      <c r="G124" s="162">
        <v>145.46170000000001</v>
      </c>
      <c r="H124" s="162">
        <v>0</v>
      </c>
      <c r="I124" s="164">
        <v>42583</v>
      </c>
      <c r="J124" s="107" t="s">
        <v>2556</v>
      </c>
      <c r="K124" s="162" t="s">
        <v>831</v>
      </c>
      <c r="L124" s="162" t="s">
        <v>2554</v>
      </c>
      <c r="M124" s="162" t="s">
        <v>2750</v>
      </c>
      <c r="N124" s="162" t="s">
        <v>2874</v>
      </c>
      <c r="O124" s="162" t="s">
        <v>2755</v>
      </c>
      <c r="P124" s="131" t="s">
        <v>36</v>
      </c>
      <c r="Q124" s="162" t="s">
        <v>2723</v>
      </c>
      <c r="R124" s="162" t="s">
        <v>2713</v>
      </c>
      <c r="S124" s="162" t="s">
        <v>36</v>
      </c>
      <c r="T124" s="162" t="s">
        <v>36</v>
      </c>
      <c r="U124" s="162">
        <v>2.5600000000000001E-2</v>
      </c>
      <c r="V124" s="162">
        <v>6.766</v>
      </c>
      <c r="W124" s="162">
        <v>19.364999999999998</v>
      </c>
      <c r="X124" s="162">
        <f t="shared" si="10"/>
        <v>131.02358999999998</v>
      </c>
      <c r="Y124" s="101"/>
    </row>
    <row r="125" spans="1:25" customFormat="1" ht="16">
      <c r="A125" s="167" t="s">
        <v>25</v>
      </c>
      <c r="B125" s="167" t="s">
        <v>3162</v>
      </c>
      <c r="C125" s="167" t="s">
        <v>2578</v>
      </c>
      <c r="D125" s="162" t="s">
        <v>3566</v>
      </c>
      <c r="E125" s="167" t="s">
        <v>2623</v>
      </c>
      <c r="F125" s="168">
        <v>53.306789999999999</v>
      </c>
      <c r="G125" s="169">
        <v>-6.23339</v>
      </c>
      <c r="H125" s="167">
        <v>0</v>
      </c>
      <c r="I125" s="75">
        <v>42921</v>
      </c>
      <c r="J125" s="76" t="s">
        <v>2628</v>
      </c>
      <c r="K125" s="167" t="s">
        <v>36</v>
      </c>
      <c r="L125" s="167" t="s">
        <v>2554</v>
      </c>
      <c r="M125" s="162" t="s">
        <v>2561</v>
      </c>
      <c r="N125" s="167" t="s">
        <v>3561</v>
      </c>
      <c r="O125" s="167" t="s">
        <v>2657</v>
      </c>
      <c r="P125" s="131" t="s">
        <v>36</v>
      </c>
      <c r="Q125" s="167" t="s">
        <v>2658</v>
      </c>
      <c r="R125" s="167" t="s">
        <v>2712</v>
      </c>
      <c r="S125" s="167">
        <v>4.1500000000000002E-2</v>
      </c>
      <c r="T125" s="167">
        <v>3.7233333E-2</v>
      </c>
      <c r="U125" s="167">
        <v>4.2666670000000018E-3</v>
      </c>
      <c r="V125" s="167">
        <v>1.7</v>
      </c>
      <c r="W125" s="167">
        <v>8.6999999999999993</v>
      </c>
      <c r="X125" s="167">
        <v>14.79</v>
      </c>
    </row>
    <row r="126" spans="1:25" customFormat="1" ht="16">
      <c r="A126" s="167" t="s">
        <v>25</v>
      </c>
      <c r="B126" s="167" t="s">
        <v>3163</v>
      </c>
      <c r="C126" s="167" t="s">
        <v>2578</v>
      </c>
      <c r="D126" s="162" t="s">
        <v>3566</v>
      </c>
      <c r="E126" s="167" t="s">
        <v>2611</v>
      </c>
      <c r="F126" s="168">
        <v>53.29383</v>
      </c>
      <c r="G126" s="169">
        <v>-6.4200999999999997</v>
      </c>
      <c r="H126" s="167">
        <v>0</v>
      </c>
      <c r="I126" s="75">
        <v>42930</v>
      </c>
      <c r="J126" s="76" t="s">
        <v>2626</v>
      </c>
      <c r="K126" s="167" t="s">
        <v>36</v>
      </c>
      <c r="L126" s="167" t="s">
        <v>2554</v>
      </c>
      <c r="M126" s="162" t="s">
        <v>2561</v>
      </c>
      <c r="N126" s="167" t="s">
        <v>3561</v>
      </c>
      <c r="O126" s="167" t="s">
        <v>2657</v>
      </c>
      <c r="P126" s="131" t="s">
        <v>36</v>
      </c>
      <c r="Q126" s="167" t="s">
        <v>2658</v>
      </c>
      <c r="R126" s="167" t="s">
        <v>2712</v>
      </c>
      <c r="S126" s="167">
        <v>4.0599999999999997E-2</v>
      </c>
      <c r="T126" s="167">
        <v>3.7233333E-2</v>
      </c>
      <c r="U126" s="167">
        <v>3.3666669999999968E-3</v>
      </c>
      <c r="V126" s="167">
        <v>1.8</v>
      </c>
      <c r="W126" s="167">
        <v>8.1</v>
      </c>
      <c r="X126" s="167">
        <v>14.58</v>
      </c>
    </row>
    <row r="127" spans="1:25" customFormat="1" ht="16">
      <c r="A127" s="167" t="s">
        <v>25</v>
      </c>
      <c r="B127" s="167" t="s">
        <v>3164</v>
      </c>
      <c r="C127" s="167" t="s">
        <v>2578</v>
      </c>
      <c r="D127" s="162" t="s">
        <v>3566</v>
      </c>
      <c r="E127" s="167" t="s">
        <v>2623</v>
      </c>
      <c r="F127" s="169">
        <v>53.306789999999999</v>
      </c>
      <c r="G127" s="169">
        <v>-6.23339</v>
      </c>
      <c r="H127" s="167">
        <v>0</v>
      </c>
      <c r="I127" s="170">
        <v>42916</v>
      </c>
      <c r="J127" s="76" t="s">
        <v>2628</v>
      </c>
      <c r="K127" s="167" t="s">
        <v>36</v>
      </c>
      <c r="L127" s="167" t="s">
        <v>2554</v>
      </c>
      <c r="M127" s="162" t="s">
        <v>2561</v>
      </c>
      <c r="N127" s="167" t="s">
        <v>3561</v>
      </c>
      <c r="O127" s="167" t="s">
        <v>2657</v>
      </c>
      <c r="P127" s="131" t="s">
        <v>36</v>
      </c>
      <c r="Q127" s="167" t="s">
        <v>2658</v>
      </c>
      <c r="R127" s="167" t="s">
        <v>2712</v>
      </c>
      <c r="S127" s="167">
        <v>4.1200000000000001E-2</v>
      </c>
      <c r="T127" s="167">
        <v>3.7233333E-2</v>
      </c>
      <c r="U127" s="167">
        <v>3.9666670000000001E-3</v>
      </c>
      <c r="V127" s="167">
        <v>1.7</v>
      </c>
      <c r="W127" s="167">
        <v>8.5</v>
      </c>
      <c r="X127" s="167">
        <v>14.45</v>
      </c>
    </row>
    <row r="128" spans="1:25" customFormat="1" ht="16">
      <c r="A128" s="167" t="s">
        <v>25</v>
      </c>
      <c r="B128" s="167" t="s">
        <v>3165</v>
      </c>
      <c r="C128" s="167" t="s">
        <v>2578</v>
      </c>
      <c r="D128" s="162" t="s">
        <v>3566</v>
      </c>
      <c r="E128" s="167" t="s">
        <v>2623</v>
      </c>
      <c r="F128" s="168">
        <v>53.306789999999999</v>
      </c>
      <c r="G128" s="169">
        <v>-6.23339</v>
      </c>
      <c r="H128" s="167">
        <v>0</v>
      </c>
      <c r="I128" s="75">
        <v>42928</v>
      </c>
      <c r="J128" s="76" t="s">
        <v>2628</v>
      </c>
      <c r="K128" s="167" t="s">
        <v>36</v>
      </c>
      <c r="L128" s="167" t="s">
        <v>2554</v>
      </c>
      <c r="M128" s="162" t="s">
        <v>2561</v>
      </c>
      <c r="N128" s="167" t="s">
        <v>2717</v>
      </c>
      <c r="O128" s="167" t="s">
        <v>2604</v>
      </c>
      <c r="P128" s="131" t="s">
        <v>36</v>
      </c>
      <c r="Q128" s="167" t="s">
        <v>2588</v>
      </c>
      <c r="R128" s="167" t="s">
        <v>2713</v>
      </c>
      <c r="S128" s="167">
        <v>3.9699999999999999E-2</v>
      </c>
      <c r="T128" s="167">
        <v>3.7233333E-2</v>
      </c>
      <c r="U128" s="167">
        <v>2.4666669999999988E-3</v>
      </c>
      <c r="V128" s="167">
        <v>2</v>
      </c>
      <c r="W128" s="167">
        <v>8</v>
      </c>
      <c r="X128" s="167">
        <v>16</v>
      </c>
    </row>
    <row r="129" spans="1:24" customFormat="1" ht="16">
      <c r="A129" s="167" t="s">
        <v>25</v>
      </c>
      <c r="B129" s="167" t="s">
        <v>3166</v>
      </c>
      <c r="C129" s="167" t="s">
        <v>2578</v>
      </c>
      <c r="D129" s="162" t="s">
        <v>3566</v>
      </c>
      <c r="E129" s="167" t="s">
        <v>2614</v>
      </c>
      <c r="F129" s="168">
        <v>53.292760000000001</v>
      </c>
      <c r="G129" s="169">
        <v>-6.4189499999999997</v>
      </c>
      <c r="H129" s="167">
        <v>0</v>
      </c>
      <c r="I129" s="75">
        <v>42948</v>
      </c>
      <c r="J129" s="76" t="s">
        <v>2653</v>
      </c>
      <c r="K129" s="167" t="s">
        <v>36</v>
      </c>
      <c r="L129" s="167" t="s">
        <v>2554</v>
      </c>
      <c r="M129" s="163" t="s">
        <v>2750</v>
      </c>
      <c r="N129" s="163" t="s">
        <v>2874</v>
      </c>
      <c r="O129" s="167" t="s">
        <v>2659</v>
      </c>
      <c r="P129" s="131" t="s">
        <v>36</v>
      </c>
      <c r="Q129" s="167" t="s">
        <v>2660</v>
      </c>
      <c r="R129" s="167" t="s">
        <v>2713</v>
      </c>
      <c r="S129" s="167">
        <v>5.3900000000000003E-2</v>
      </c>
      <c r="T129" s="167">
        <v>3.7233333E-2</v>
      </c>
      <c r="U129" s="167">
        <v>1.6666667000000003E-2</v>
      </c>
      <c r="V129" s="167">
        <v>4.0999999999999996</v>
      </c>
      <c r="W129" s="167">
        <v>13.1</v>
      </c>
      <c r="X129" s="167">
        <v>53.709999999999994</v>
      </c>
    </row>
    <row r="130" spans="1:24" customFormat="1" ht="16">
      <c r="A130" s="167" t="s">
        <v>25</v>
      </c>
      <c r="B130" s="167" t="s">
        <v>3167</v>
      </c>
      <c r="C130" s="167" t="s">
        <v>2578</v>
      </c>
      <c r="D130" s="162" t="s">
        <v>3566</v>
      </c>
      <c r="E130" s="167" t="s">
        <v>2624</v>
      </c>
      <c r="F130" s="169">
        <v>53.306629999999998</v>
      </c>
      <c r="G130" s="169">
        <v>-6.2330800000000002</v>
      </c>
      <c r="H130" s="167">
        <v>0</v>
      </c>
      <c r="I130" s="75">
        <v>42941</v>
      </c>
      <c r="J130" s="76" t="s">
        <v>2626</v>
      </c>
      <c r="K130" s="167" t="s">
        <v>36</v>
      </c>
      <c r="L130" s="167" t="s">
        <v>2554</v>
      </c>
      <c r="M130" s="163" t="s">
        <v>2750</v>
      </c>
      <c r="N130" s="163" t="s">
        <v>2874</v>
      </c>
      <c r="O130" s="167" t="s">
        <v>2659</v>
      </c>
      <c r="P130" s="131" t="s">
        <v>36</v>
      </c>
      <c r="Q130" s="167" t="s">
        <v>2660</v>
      </c>
      <c r="R130" s="167" t="s">
        <v>2713</v>
      </c>
      <c r="S130" s="167">
        <v>7.3999999999999996E-2</v>
      </c>
      <c r="T130" s="167">
        <v>3.7233333E-2</v>
      </c>
      <c r="U130" s="167">
        <v>3.6766666999999996E-2</v>
      </c>
      <c r="V130" s="167">
        <v>4.9000000000000004</v>
      </c>
      <c r="W130" s="167">
        <v>13.1</v>
      </c>
      <c r="X130" s="167">
        <v>64.19</v>
      </c>
    </row>
    <row r="131" spans="1:24" customFormat="1" ht="16">
      <c r="A131" s="167" t="s">
        <v>25</v>
      </c>
      <c r="B131" s="167" t="s">
        <v>3168</v>
      </c>
      <c r="C131" s="167" t="s">
        <v>2578</v>
      </c>
      <c r="D131" s="162" t="s">
        <v>3566</v>
      </c>
      <c r="E131" s="167" t="s">
        <v>2613</v>
      </c>
      <c r="F131" s="168">
        <v>53.29316</v>
      </c>
      <c r="G131" s="169">
        <v>-6.4193800000000003</v>
      </c>
      <c r="H131" s="167">
        <v>0</v>
      </c>
      <c r="I131" s="75">
        <v>42906</v>
      </c>
      <c r="J131" s="76" t="s">
        <v>2626</v>
      </c>
      <c r="K131" s="167" t="s">
        <v>36</v>
      </c>
      <c r="L131" s="167" t="s">
        <v>2554</v>
      </c>
      <c r="M131" s="162" t="s">
        <v>2561</v>
      </c>
      <c r="N131" s="167" t="s">
        <v>3561</v>
      </c>
      <c r="O131" s="167" t="s">
        <v>2598</v>
      </c>
      <c r="P131" s="131" t="s">
        <v>36</v>
      </c>
      <c r="Q131" s="167" t="s">
        <v>2581</v>
      </c>
      <c r="R131" s="167" t="s">
        <v>2713</v>
      </c>
      <c r="S131" s="167">
        <v>4.2000000000000003E-2</v>
      </c>
      <c r="T131" s="167">
        <v>3.7233333E-2</v>
      </c>
      <c r="U131" s="167">
        <v>4.7666670000000022E-3</v>
      </c>
      <c r="V131" s="167">
        <v>2</v>
      </c>
      <c r="W131" s="167">
        <v>8.1</v>
      </c>
      <c r="X131" s="167">
        <v>16.2</v>
      </c>
    </row>
    <row r="132" spans="1:24" customFormat="1" ht="16">
      <c r="A132" s="167" t="s">
        <v>25</v>
      </c>
      <c r="B132" s="167" t="s">
        <v>3169</v>
      </c>
      <c r="C132" s="167" t="s">
        <v>2578</v>
      </c>
      <c r="D132" s="162" t="s">
        <v>3566</v>
      </c>
      <c r="E132" s="167" t="s">
        <v>2621</v>
      </c>
      <c r="F132" s="168">
        <v>53.306150000000002</v>
      </c>
      <c r="G132" s="169">
        <v>-6.2338800000000001</v>
      </c>
      <c r="H132" s="167">
        <v>0</v>
      </c>
      <c r="I132" s="75">
        <v>42921</v>
      </c>
      <c r="J132" s="76" t="s">
        <v>2626</v>
      </c>
      <c r="K132" s="167" t="s">
        <v>36</v>
      </c>
      <c r="L132" s="167" t="s">
        <v>2554</v>
      </c>
      <c r="M132" s="162" t="s">
        <v>2561</v>
      </c>
      <c r="N132" s="167" t="s">
        <v>3561</v>
      </c>
      <c r="O132" s="167" t="s">
        <v>2598</v>
      </c>
      <c r="P132" s="131" t="s">
        <v>36</v>
      </c>
      <c r="Q132" s="167" t="s">
        <v>2581</v>
      </c>
      <c r="R132" s="167" t="s">
        <v>2712</v>
      </c>
      <c r="S132" s="167">
        <v>4.0099999999999997E-2</v>
      </c>
      <c r="T132" s="167">
        <v>3.7233333E-2</v>
      </c>
      <c r="U132" s="167">
        <v>2.8666669999999964E-3</v>
      </c>
      <c r="V132" s="167">
        <v>1.8</v>
      </c>
      <c r="W132" s="167">
        <v>8.6</v>
      </c>
      <c r="X132" s="167">
        <v>15.48</v>
      </c>
    </row>
    <row r="133" spans="1:24" customFormat="1" ht="16">
      <c r="A133" s="167" t="s">
        <v>25</v>
      </c>
      <c r="B133" s="167" t="s">
        <v>3170</v>
      </c>
      <c r="C133" s="167" t="s">
        <v>2578</v>
      </c>
      <c r="D133" s="162" t="s">
        <v>3566</v>
      </c>
      <c r="E133" s="167" t="s">
        <v>2624</v>
      </c>
      <c r="F133" s="169">
        <v>53.306629999999998</v>
      </c>
      <c r="G133" s="169">
        <v>-6.2330800000000002</v>
      </c>
      <c r="H133" s="167">
        <v>0</v>
      </c>
      <c r="I133" s="170">
        <v>42916</v>
      </c>
      <c r="J133" s="76" t="s">
        <v>2628</v>
      </c>
      <c r="K133" s="167" t="s">
        <v>36</v>
      </c>
      <c r="L133" s="167" t="s">
        <v>2554</v>
      </c>
      <c r="M133" s="162" t="s">
        <v>2561</v>
      </c>
      <c r="N133" s="167" t="s">
        <v>3561</v>
      </c>
      <c r="O133" s="167" t="s">
        <v>2598</v>
      </c>
      <c r="P133" s="131" t="s">
        <v>36</v>
      </c>
      <c r="Q133" s="167" t="s">
        <v>2581</v>
      </c>
      <c r="R133" s="167" t="s">
        <v>2712</v>
      </c>
      <c r="S133" s="167">
        <v>4.0899999999999999E-2</v>
      </c>
      <c r="T133" s="167">
        <v>3.7233333E-2</v>
      </c>
      <c r="U133" s="167">
        <v>3.6666669999999985E-3</v>
      </c>
      <c r="V133" s="167">
        <v>2</v>
      </c>
      <c r="W133" s="167">
        <v>8.6999999999999993</v>
      </c>
      <c r="X133" s="167">
        <v>17.399999999999999</v>
      </c>
    </row>
    <row r="134" spans="1:24" customFormat="1" ht="16">
      <c r="A134" s="167" t="s">
        <v>25</v>
      </c>
      <c r="B134" s="167" t="s">
        <v>3171</v>
      </c>
      <c r="C134" s="167" t="s">
        <v>2578</v>
      </c>
      <c r="D134" s="162" t="s">
        <v>3566</v>
      </c>
      <c r="E134" s="167" t="s">
        <v>2624</v>
      </c>
      <c r="F134" s="169">
        <v>53.306629999999998</v>
      </c>
      <c r="G134" s="169">
        <v>-6.2330800000000002</v>
      </c>
      <c r="H134" s="167">
        <v>0</v>
      </c>
      <c r="I134" s="170">
        <v>42921</v>
      </c>
      <c r="J134" s="76" t="s">
        <v>2628</v>
      </c>
      <c r="K134" s="167" t="s">
        <v>36</v>
      </c>
      <c r="L134" s="167" t="s">
        <v>2554</v>
      </c>
      <c r="M134" s="162" t="s">
        <v>2561</v>
      </c>
      <c r="N134" s="167" t="s">
        <v>3561</v>
      </c>
      <c r="O134" s="167" t="s">
        <v>2598</v>
      </c>
      <c r="P134" s="131" t="s">
        <v>36</v>
      </c>
      <c r="Q134" s="167" t="s">
        <v>2581</v>
      </c>
      <c r="R134" s="167" t="s">
        <v>2713</v>
      </c>
      <c r="S134" s="167">
        <v>3.9600000000000003E-2</v>
      </c>
      <c r="T134" s="167">
        <v>3.7233333E-2</v>
      </c>
      <c r="U134" s="167">
        <v>2.3666670000000029E-3</v>
      </c>
      <c r="V134" s="167">
        <v>1.8</v>
      </c>
      <c r="W134" s="167">
        <v>7.9</v>
      </c>
      <c r="X134" s="167">
        <v>14.22</v>
      </c>
    </row>
    <row r="135" spans="1:24" customFormat="1" ht="16">
      <c r="A135" s="167" t="s">
        <v>25</v>
      </c>
      <c r="B135" s="167" t="s">
        <v>3172</v>
      </c>
      <c r="C135" s="167" t="s">
        <v>2578</v>
      </c>
      <c r="D135" s="162" t="s">
        <v>3566</v>
      </c>
      <c r="E135" s="167" t="s">
        <v>2622</v>
      </c>
      <c r="F135" s="169">
        <v>53.306449999999998</v>
      </c>
      <c r="G135" s="169">
        <v>-6.2336600000000004</v>
      </c>
      <c r="H135" s="167">
        <v>0</v>
      </c>
      <c r="I135" s="170">
        <v>42916</v>
      </c>
      <c r="J135" s="76" t="s">
        <v>2628</v>
      </c>
      <c r="K135" s="167" t="s">
        <v>36</v>
      </c>
      <c r="L135" s="167" t="s">
        <v>2554</v>
      </c>
      <c r="M135" s="162" t="s">
        <v>2561</v>
      </c>
      <c r="N135" s="167" t="s">
        <v>3561</v>
      </c>
      <c r="O135" s="167" t="s">
        <v>2598</v>
      </c>
      <c r="P135" s="131" t="s">
        <v>36</v>
      </c>
      <c r="Q135" s="167" t="s">
        <v>2581</v>
      </c>
      <c r="R135" s="167" t="s">
        <v>2712</v>
      </c>
      <c r="S135" s="167">
        <v>4.1500000000000002E-2</v>
      </c>
      <c r="T135" s="167">
        <v>3.7233333E-2</v>
      </c>
      <c r="U135" s="167">
        <v>4.2666670000000018E-3</v>
      </c>
      <c r="V135" s="167">
        <v>2.2000000000000002</v>
      </c>
      <c r="W135" s="167">
        <v>8.6</v>
      </c>
      <c r="X135" s="167">
        <v>18.920000000000002</v>
      </c>
    </row>
    <row r="136" spans="1:24" customFormat="1" ht="16">
      <c r="A136" s="167" t="s">
        <v>25</v>
      </c>
      <c r="B136" s="167" t="s">
        <v>3173</v>
      </c>
      <c r="C136" s="167" t="s">
        <v>2578</v>
      </c>
      <c r="D136" s="162" t="s">
        <v>3566</v>
      </c>
      <c r="E136" s="167" t="s">
        <v>2614</v>
      </c>
      <c r="F136" s="169">
        <v>53.292760000000001</v>
      </c>
      <c r="G136" s="169">
        <v>-6.4189499999999997</v>
      </c>
      <c r="H136" s="167">
        <v>0</v>
      </c>
      <c r="I136" s="170">
        <v>42984</v>
      </c>
      <c r="J136" s="76" t="s">
        <v>2626</v>
      </c>
      <c r="K136" s="167" t="s">
        <v>36</v>
      </c>
      <c r="L136" s="167" t="s">
        <v>2554</v>
      </c>
      <c r="M136" s="162" t="s">
        <v>2561</v>
      </c>
      <c r="N136" s="167" t="s">
        <v>3561</v>
      </c>
      <c r="O136" s="167" t="s">
        <v>2598</v>
      </c>
      <c r="P136" s="131" t="s">
        <v>36</v>
      </c>
      <c r="Q136" s="167" t="s">
        <v>2581</v>
      </c>
      <c r="R136" s="167" t="s">
        <v>2713</v>
      </c>
      <c r="S136" s="167">
        <v>4.0300000000000002E-2</v>
      </c>
      <c r="T136" s="167">
        <v>3.7233333E-2</v>
      </c>
      <c r="U136" s="167">
        <v>3.0666670000000021E-3</v>
      </c>
      <c r="V136" s="167">
        <v>1.5</v>
      </c>
      <c r="W136" s="167">
        <v>6.5</v>
      </c>
      <c r="X136" s="167">
        <v>9.75</v>
      </c>
    </row>
    <row r="137" spans="1:24" customFormat="1" ht="16">
      <c r="A137" s="167" t="s">
        <v>25</v>
      </c>
      <c r="B137" s="167" t="s">
        <v>3174</v>
      </c>
      <c r="C137" s="167" t="s">
        <v>2578</v>
      </c>
      <c r="D137" s="162" t="s">
        <v>3566</v>
      </c>
      <c r="E137" s="167" t="s">
        <v>2623</v>
      </c>
      <c r="F137" s="169">
        <v>53.306789999999999</v>
      </c>
      <c r="G137" s="169">
        <v>-6.23339</v>
      </c>
      <c r="H137" s="167">
        <v>0</v>
      </c>
      <c r="I137" s="170">
        <v>42916</v>
      </c>
      <c r="J137" s="76" t="s">
        <v>2628</v>
      </c>
      <c r="K137" s="167" t="s">
        <v>36</v>
      </c>
      <c r="L137" s="167" t="s">
        <v>2554</v>
      </c>
      <c r="M137" s="167" t="s">
        <v>2750</v>
      </c>
      <c r="N137" s="167" t="s">
        <v>3572</v>
      </c>
      <c r="O137" s="167" t="s">
        <v>2599</v>
      </c>
      <c r="P137" s="131" t="s">
        <v>36</v>
      </c>
      <c r="Q137" s="167" t="s">
        <v>2583</v>
      </c>
      <c r="R137" s="167" t="s">
        <v>2713</v>
      </c>
      <c r="S137" s="167">
        <v>4.1300000000000003E-2</v>
      </c>
      <c r="T137" s="167">
        <v>3.7233333E-2</v>
      </c>
      <c r="U137" s="167">
        <v>4.066667000000003E-3</v>
      </c>
      <c r="V137" s="167">
        <v>1.9</v>
      </c>
      <c r="W137" s="167">
        <v>6.5</v>
      </c>
      <c r="X137" s="167">
        <v>12.35</v>
      </c>
    </row>
    <row r="138" spans="1:24" customFormat="1" ht="16">
      <c r="A138" s="167" t="s">
        <v>25</v>
      </c>
      <c r="B138" s="167" t="s">
        <v>3175</v>
      </c>
      <c r="C138" s="167" t="s">
        <v>2578</v>
      </c>
      <c r="D138" s="162" t="s">
        <v>3566</v>
      </c>
      <c r="E138" s="167" t="s">
        <v>2613</v>
      </c>
      <c r="F138" s="168">
        <v>53.29316</v>
      </c>
      <c r="G138" s="169">
        <v>-6.4193800000000003</v>
      </c>
      <c r="H138" s="167">
        <v>0</v>
      </c>
      <c r="I138" s="170">
        <v>42940</v>
      </c>
      <c r="J138" s="76" t="s">
        <v>2627</v>
      </c>
      <c r="K138" s="167" t="s">
        <v>36</v>
      </c>
      <c r="L138" s="167" t="s">
        <v>2554</v>
      </c>
      <c r="M138" s="163" t="s">
        <v>2561</v>
      </c>
      <c r="N138" s="163" t="s">
        <v>2717</v>
      </c>
      <c r="O138" s="167" t="s">
        <v>2607</v>
      </c>
      <c r="P138" s="131" t="s">
        <v>36</v>
      </c>
      <c r="Q138" s="167" t="s">
        <v>2592</v>
      </c>
      <c r="R138" s="167" t="s">
        <v>2713</v>
      </c>
      <c r="S138" s="167">
        <v>6.59E-2</v>
      </c>
      <c r="T138" s="167">
        <v>3.7233333E-2</v>
      </c>
      <c r="U138" s="167">
        <v>2.8666667E-2</v>
      </c>
      <c r="V138" s="167">
        <v>3.1</v>
      </c>
      <c r="W138" s="167">
        <v>12.5</v>
      </c>
      <c r="X138" s="167">
        <v>38.75</v>
      </c>
    </row>
    <row r="139" spans="1:24" customFormat="1" ht="16">
      <c r="A139" s="167" t="s">
        <v>25</v>
      </c>
      <c r="B139" s="167" t="s">
        <v>3176</v>
      </c>
      <c r="C139" s="167" t="s">
        <v>2578</v>
      </c>
      <c r="D139" s="162" t="s">
        <v>3566</v>
      </c>
      <c r="E139" s="167" t="s">
        <v>2611</v>
      </c>
      <c r="F139" s="168">
        <v>53.29383</v>
      </c>
      <c r="G139" s="169">
        <v>-6.4200999999999997</v>
      </c>
      <c r="H139" s="167">
        <v>0</v>
      </c>
      <c r="I139" s="75">
        <v>42922</v>
      </c>
      <c r="J139" s="76" t="s">
        <v>2626</v>
      </c>
      <c r="K139" s="167" t="s">
        <v>36</v>
      </c>
      <c r="L139" s="167" t="s">
        <v>2554</v>
      </c>
      <c r="M139" s="163" t="s">
        <v>2561</v>
      </c>
      <c r="N139" s="163" t="s">
        <v>2717</v>
      </c>
      <c r="O139" s="167" t="s">
        <v>2655</v>
      </c>
      <c r="P139" s="131" t="s">
        <v>36</v>
      </c>
      <c r="Q139" s="167" t="s">
        <v>2656</v>
      </c>
      <c r="R139" s="167" t="s">
        <v>2712</v>
      </c>
      <c r="S139" s="167">
        <v>5.2699999999999997E-2</v>
      </c>
      <c r="T139" s="167">
        <v>3.7233333E-2</v>
      </c>
      <c r="U139" s="167">
        <v>1.5466666999999996E-2</v>
      </c>
      <c r="V139" s="167">
        <v>2.2000000000000002</v>
      </c>
      <c r="W139" s="167">
        <v>13.5</v>
      </c>
      <c r="X139" s="167">
        <v>29.700000000000003</v>
      </c>
    </row>
    <row r="140" spans="1:24" customFormat="1" ht="16">
      <c r="A140" s="167" t="s">
        <v>25</v>
      </c>
      <c r="B140" s="167" t="s">
        <v>3177</v>
      </c>
      <c r="C140" s="167" t="s">
        <v>2578</v>
      </c>
      <c r="D140" s="162" t="s">
        <v>3566</v>
      </c>
      <c r="E140" s="167" t="s">
        <v>2618</v>
      </c>
      <c r="F140" s="168">
        <v>53.312570000000001</v>
      </c>
      <c r="G140" s="169">
        <v>-6.2602500000000001</v>
      </c>
      <c r="H140" s="167">
        <v>0</v>
      </c>
      <c r="I140" s="75">
        <v>42917</v>
      </c>
      <c r="J140" s="76" t="s">
        <v>2626</v>
      </c>
      <c r="K140" s="167" t="s">
        <v>36</v>
      </c>
      <c r="L140" s="167" t="s">
        <v>2554</v>
      </c>
      <c r="M140" s="163" t="s">
        <v>2561</v>
      </c>
      <c r="N140" s="163" t="s">
        <v>2717</v>
      </c>
      <c r="O140" s="167" t="s">
        <v>2655</v>
      </c>
      <c r="P140" s="131" t="s">
        <v>36</v>
      </c>
      <c r="Q140" s="167" t="s">
        <v>2656</v>
      </c>
      <c r="R140" s="167" t="s">
        <v>2712</v>
      </c>
      <c r="S140" s="167">
        <v>4.1399999999999999E-2</v>
      </c>
      <c r="T140" s="167">
        <v>3.7233333E-2</v>
      </c>
      <c r="U140" s="167">
        <v>4.1666669999999989E-3</v>
      </c>
      <c r="V140" s="167">
        <v>1.8</v>
      </c>
      <c r="W140" s="167">
        <v>11.8</v>
      </c>
      <c r="X140" s="167">
        <v>21.240000000000002</v>
      </c>
    </row>
    <row r="141" spans="1:24" customFormat="1" ht="16">
      <c r="A141" s="167" t="s">
        <v>25</v>
      </c>
      <c r="B141" s="167" t="s">
        <v>3178</v>
      </c>
      <c r="C141" s="167" t="s">
        <v>2578</v>
      </c>
      <c r="D141" s="162" t="s">
        <v>3566</v>
      </c>
      <c r="E141" s="167" t="s">
        <v>2622</v>
      </c>
      <c r="F141" s="168">
        <v>53.306449999999998</v>
      </c>
      <c r="G141" s="169">
        <v>-6.2336600000000004</v>
      </c>
      <c r="H141" s="167">
        <v>0</v>
      </c>
      <c r="I141" s="75">
        <v>42940</v>
      </c>
      <c r="J141" s="76" t="s">
        <v>2626</v>
      </c>
      <c r="K141" s="167" t="s">
        <v>36</v>
      </c>
      <c r="L141" s="167" t="s">
        <v>2554</v>
      </c>
      <c r="M141" s="163" t="s">
        <v>2561</v>
      </c>
      <c r="N141" s="163" t="s">
        <v>2717</v>
      </c>
      <c r="O141" s="167" t="s">
        <v>2655</v>
      </c>
      <c r="P141" s="131" t="s">
        <v>36</v>
      </c>
      <c r="Q141" s="167" t="s">
        <v>2656</v>
      </c>
      <c r="R141" s="167" t="s">
        <v>2712</v>
      </c>
      <c r="S141" s="167">
        <v>4.0800000000000003E-2</v>
      </c>
      <c r="T141" s="167">
        <v>3.7233333E-2</v>
      </c>
      <c r="U141" s="167">
        <v>3.5666670000000025E-3</v>
      </c>
      <c r="V141" s="167">
        <v>1.6</v>
      </c>
      <c r="W141" s="167">
        <v>10.1</v>
      </c>
      <c r="X141" s="167">
        <v>16.16</v>
      </c>
    </row>
    <row r="142" spans="1:24" customFormat="1" ht="16">
      <c r="A142" s="167" t="s">
        <v>25</v>
      </c>
      <c r="B142" s="167" t="s">
        <v>3179</v>
      </c>
      <c r="C142" s="167" t="s">
        <v>2578</v>
      </c>
      <c r="D142" s="162" t="s">
        <v>3566</v>
      </c>
      <c r="E142" s="167" t="s">
        <v>2618</v>
      </c>
      <c r="F142" s="169">
        <v>53.312570000000001</v>
      </c>
      <c r="G142" s="169">
        <v>-6.2602500000000001</v>
      </c>
      <c r="H142" s="167">
        <v>0</v>
      </c>
      <c r="I142" s="170">
        <v>42977</v>
      </c>
      <c r="J142" s="76" t="s">
        <v>2630</v>
      </c>
      <c r="K142" s="167" t="s">
        <v>36</v>
      </c>
      <c r="L142" s="167" t="s">
        <v>2554</v>
      </c>
      <c r="M142" s="163" t="s">
        <v>2750</v>
      </c>
      <c r="N142" s="163" t="s">
        <v>2727</v>
      </c>
      <c r="O142" s="167" t="s">
        <v>2609</v>
      </c>
      <c r="P142" s="131" t="s">
        <v>36</v>
      </c>
      <c r="Q142" s="167" t="s">
        <v>2595</v>
      </c>
      <c r="R142" s="167" t="s">
        <v>2713</v>
      </c>
      <c r="S142" s="167">
        <v>4.41E-2</v>
      </c>
      <c r="T142" s="167">
        <v>3.7233333E-2</v>
      </c>
      <c r="U142" s="167">
        <v>6.8666669999999999E-3</v>
      </c>
      <c r="V142" s="167">
        <v>1.9</v>
      </c>
      <c r="W142" s="167">
        <v>9.3000000000000007</v>
      </c>
      <c r="X142" s="167">
        <v>17.670000000000002</v>
      </c>
    </row>
    <row r="143" spans="1:24" customFormat="1" ht="16">
      <c r="A143" s="167" t="s">
        <v>25</v>
      </c>
      <c r="B143" s="167" t="s">
        <v>3180</v>
      </c>
      <c r="C143" s="167" t="s">
        <v>2578</v>
      </c>
      <c r="D143" s="162" t="s">
        <v>3566</v>
      </c>
      <c r="E143" s="167" t="s">
        <v>2613</v>
      </c>
      <c r="F143" s="168">
        <v>53.29316</v>
      </c>
      <c r="G143" s="169">
        <v>-6.4193800000000003</v>
      </c>
      <c r="H143" s="167">
        <v>0</v>
      </c>
      <c r="I143" s="75">
        <v>42920</v>
      </c>
      <c r="J143" s="76" t="s">
        <v>2628</v>
      </c>
      <c r="K143" s="167" t="s">
        <v>36</v>
      </c>
      <c r="L143" s="167" t="s">
        <v>2554</v>
      </c>
      <c r="M143" s="163" t="s">
        <v>2561</v>
      </c>
      <c r="N143" s="163" t="s">
        <v>2717</v>
      </c>
      <c r="O143" s="167" t="s">
        <v>2610</v>
      </c>
      <c r="P143" s="131" t="s">
        <v>36</v>
      </c>
      <c r="Q143" s="167" t="s">
        <v>2596</v>
      </c>
      <c r="R143" s="167" t="s">
        <v>2712</v>
      </c>
      <c r="S143" s="167">
        <v>4.7E-2</v>
      </c>
      <c r="T143" s="167">
        <v>3.7233333E-2</v>
      </c>
      <c r="U143" s="167">
        <v>9.7666669999999997E-3</v>
      </c>
      <c r="V143" s="167">
        <v>2.9</v>
      </c>
      <c r="W143" s="167">
        <v>9.1999999999999993</v>
      </c>
      <c r="X143" s="167">
        <v>26.679999999999996</v>
      </c>
    </row>
    <row r="144" spans="1:24" customFormat="1" ht="16">
      <c r="A144" s="167" t="s">
        <v>25</v>
      </c>
      <c r="B144" s="167" t="s">
        <v>3181</v>
      </c>
      <c r="C144" s="167" t="s">
        <v>2578</v>
      </c>
      <c r="D144" s="162" t="s">
        <v>3566</v>
      </c>
      <c r="E144" s="167" t="s">
        <v>2624</v>
      </c>
      <c r="F144" s="168">
        <v>53.306629999999998</v>
      </c>
      <c r="G144" s="169">
        <v>-6.2330800000000002</v>
      </c>
      <c r="H144" s="167">
        <v>0</v>
      </c>
      <c r="I144" s="75">
        <v>42940</v>
      </c>
      <c r="J144" s="76" t="s">
        <v>2626</v>
      </c>
      <c r="K144" s="167" t="s">
        <v>36</v>
      </c>
      <c r="L144" s="167" t="s">
        <v>2554</v>
      </c>
      <c r="M144" s="163" t="s">
        <v>2561</v>
      </c>
      <c r="N144" s="163" t="s">
        <v>2717</v>
      </c>
      <c r="O144" s="167" t="s">
        <v>2610</v>
      </c>
      <c r="P144" s="131" t="s">
        <v>36</v>
      </c>
      <c r="Q144" s="167" t="s">
        <v>2596</v>
      </c>
      <c r="R144" s="167" t="s">
        <v>2713</v>
      </c>
      <c r="S144" s="167">
        <v>6.3100000000000003E-2</v>
      </c>
      <c r="T144" s="167">
        <v>3.7233333E-2</v>
      </c>
      <c r="U144" s="167">
        <v>2.5866667000000003E-2</v>
      </c>
      <c r="V144" s="167">
        <v>3.6</v>
      </c>
      <c r="W144" s="167">
        <v>12.4</v>
      </c>
      <c r="X144" s="167">
        <v>44.64</v>
      </c>
    </row>
    <row r="145" spans="1:24" customFormat="1" ht="16">
      <c r="A145" s="167" t="s">
        <v>25</v>
      </c>
      <c r="B145" s="167" t="s">
        <v>3182</v>
      </c>
      <c r="C145" s="167" t="s">
        <v>2578</v>
      </c>
      <c r="D145" s="162" t="s">
        <v>3566</v>
      </c>
      <c r="E145" s="167" t="s">
        <v>2624</v>
      </c>
      <c r="F145" s="168">
        <v>53.306629999999998</v>
      </c>
      <c r="G145" s="169">
        <v>-6.2330800000000002</v>
      </c>
      <c r="H145" s="167">
        <v>0</v>
      </c>
      <c r="I145" s="75">
        <v>42940</v>
      </c>
      <c r="J145" s="76" t="s">
        <v>2626</v>
      </c>
      <c r="K145" s="167" t="s">
        <v>36</v>
      </c>
      <c r="L145" s="167" t="s">
        <v>2554</v>
      </c>
      <c r="M145" s="163" t="s">
        <v>2561</v>
      </c>
      <c r="N145" s="163" t="s">
        <v>2717</v>
      </c>
      <c r="O145" s="167" t="s">
        <v>2610</v>
      </c>
      <c r="P145" s="131" t="s">
        <v>36</v>
      </c>
      <c r="Q145" s="167" t="s">
        <v>2596</v>
      </c>
      <c r="R145" s="167" t="s">
        <v>2713</v>
      </c>
      <c r="S145" s="167">
        <v>6.1199999999999997E-2</v>
      </c>
      <c r="T145" s="167">
        <v>3.7233333E-2</v>
      </c>
      <c r="U145" s="167">
        <v>2.3966666999999997E-2</v>
      </c>
      <c r="V145" s="167">
        <v>3.5</v>
      </c>
      <c r="W145" s="167">
        <v>11.5</v>
      </c>
      <c r="X145" s="167">
        <v>40.25</v>
      </c>
    </row>
    <row r="146" spans="1:24" customFormat="1" ht="16">
      <c r="A146" s="167" t="s">
        <v>25</v>
      </c>
      <c r="B146" s="167" t="s">
        <v>3183</v>
      </c>
      <c r="C146" s="167" t="s">
        <v>2578</v>
      </c>
      <c r="D146" s="162" t="s">
        <v>3566</v>
      </c>
      <c r="E146" s="167" t="s">
        <v>2612</v>
      </c>
      <c r="F146" s="168">
        <v>53.293469999999999</v>
      </c>
      <c r="G146" s="169">
        <v>-6.4196900000000001</v>
      </c>
      <c r="H146" s="167">
        <v>0</v>
      </c>
      <c r="I146" s="75">
        <v>42913</v>
      </c>
      <c r="J146" s="76" t="s">
        <v>2628</v>
      </c>
      <c r="K146" s="167" t="s">
        <v>36</v>
      </c>
      <c r="L146" s="167" t="s">
        <v>2554</v>
      </c>
      <c r="M146" s="163" t="s">
        <v>2561</v>
      </c>
      <c r="N146" s="163" t="s">
        <v>2717</v>
      </c>
      <c r="O146" s="167" t="s">
        <v>2610</v>
      </c>
      <c r="P146" s="131" t="s">
        <v>36</v>
      </c>
      <c r="Q146" s="167" t="s">
        <v>2596</v>
      </c>
      <c r="R146" s="167" t="s">
        <v>2712</v>
      </c>
      <c r="S146" s="167">
        <v>5.7500000000000002E-2</v>
      </c>
      <c r="T146" s="167">
        <v>4.6966666999999997E-2</v>
      </c>
      <c r="U146" s="167">
        <v>1.0533333000000006E-2</v>
      </c>
      <c r="V146" s="167">
        <v>3.5</v>
      </c>
      <c r="W146" s="167">
        <v>10.6</v>
      </c>
      <c r="X146" s="167">
        <v>37.1</v>
      </c>
    </row>
    <row r="147" spans="1:24" customFormat="1" ht="16">
      <c r="A147" s="167" t="s">
        <v>25</v>
      </c>
      <c r="B147" s="167" t="s">
        <v>3184</v>
      </c>
      <c r="C147" s="167" t="s">
        <v>2578</v>
      </c>
      <c r="D147" s="162" t="s">
        <v>3566</v>
      </c>
      <c r="E147" s="167" t="s">
        <v>2618</v>
      </c>
      <c r="F147" s="169">
        <v>53.312570000000001</v>
      </c>
      <c r="G147" s="169">
        <v>-6.2602500000000001</v>
      </c>
      <c r="H147" s="167">
        <v>0</v>
      </c>
      <c r="I147" s="170">
        <v>42979</v>
      </c>
      <c r="J147" s="76" t="s">
        <v>2630</v>
      </c>
      <c r="K147" s="167" t="s">
        <v>36</v>
      </c>
      <c r="L147" s="167" t="s">
        <v>2554</v>
      </c>
      <c r="M147" s="163" t="s">
        <v>2561</v>
      </c>
      <c r="N147" s="163" t="s">
        <v>2717</v>
      </c>
      <c r="O147" s="167" t="s">
        <v>2610</v>
      </c>
      <c r="P147" s="131" t="s">
        <v>36</v>
      </c>
      <c r="Q147" s="167" t="s">
        <v>2596</v>
      </c>
      <c r="R147" s="167" t="s">
        <v>2713</v>
      </c>
      <c r="S147" s="167">
        <v>5.7000000000000002E-2</v>
      </c>
      <c r="T147" s="167">
        <v>3.7233333E-2</v>
      </c>
      <c r="U147" s="167">
        <v>1.9766667000000002E-2</v>
      </c>
      <c r="V147" s="167">
        <v>3.4</v>
      </c>
      <c r="W147" s="167">
        <v>12.2</v>
      </c>
      <c r="X147" s="167">
        <v>41.48</v>
      </c>
    </row>
    <row r="148" spans="1:24" customFormat="1" ht="16">
      <c r="A148" s="167" t="s">
        <v>25</v>
      </c>
      <c r="B148" s="167" t="s">
        <v>3185</v>
      </c>
      <c r="C148" s="167" t="s">
        <v>2578</v>
      </c>
      <c r="D148" s="162" t="s">
        <v>3566</v>
      </c>
      <c r="E148" s="167" t="s">
        <v>2623</v>
      </c>
      <c r="F148" s="169">
        <v>53.306789999999999</v>
      </c>
      <c r="G148" s="169">
        <v>-6.23339</v>
      </c>
      <c r="H148" s="167">
        <v>0</v>
      </c>
      <c r="I148" s="170">
        <v>42921</v>
      </c>
      <c r="J148" s="76" t="s">
        <v>2630</v>
      </c>
      <c r="K148" s="167" t="s">
        <v>36</v>
      </c>
      <c r="L148" s="167" t="s">
        <v>2554</v>
      </c>
      <c r="M148" s="163" t="s">
        <v>2561</v>
      </c>
      <c r="N148" s="163" t="s">
        <v>2717</v>
      </c>
      <c r="O148" s="167" t="s">
        <v>2610</v>
      </c>
      <c r="P148" s="131" t="s">
        <v>36</v>
      </c>
      <c r="Q148" s="167" t="s">
        <v>2596</v>
      </c>
      <c r="R148" s="167" t="s">
        <v>2712</v>
      </c>
      <c r="S148" s="167">
        <v>4.5699999999999998E-2</v>
      </c>
      <c r="T148" s="167">
        <v>3.7233333E-2</v>
      </c>
      <c r="U148" s="167">
        <v>8.4666669999999972E-3</v>
      </c>
      <c r="V148" s="167">
        <v>3</v>
      </c>
      <c r="W148" s="167">
        <v>9.6999999999999993</v>
      </c>
      <c r="X148" s="167">
        <v>29.099999999999998</v>
      </c>
    </row>
    <row r="149" spans="1:24" customFormat="1" ht="16">
      <c r="A149" s="167" t="s">
        <v>25</v>
      </c>
      <c r="B149" s="167" t="s">
        <v>3128</v>
      </c>
      <c r="C149" s="167" t="s">
        <v>2578</v>
      </c>
      <c r="D149" s="162" t="s">
        <v>3566</v>
      </c>
      <c r="E149" s="167" t="s">
        <v>2614</v>
      </c>
      <c r="F149" s="169">
        <v>53.292760000000001</v>
      </c>
      <c r="G149" s="169">
        <v>-6.4189499999999997</v>
      </c>
      <c r="H149" s="167">
        <v>0</v>
      </c>
      <c r="I149" s="170">
        <v>42922</v>
      </c>
      <c r="J149" s="76" t="s">
        <v>2626</v>
      </c>
      <c r="K149" s="167" t="s">
        <v>36</v>
      </c>
      <c r="L149" s="167" t="s">
        <v>2554</v>
      </c>
      <c r="M149" s="163" t="s">
        <v>2561</v>
      </c>
      <c r="N149" s="163" t="s">
        <v>2717</v>
      </c>
      <c r="O149" s="167" t="s">
        <v>2608</v>
      </c>
      <c r="P149" s="131" t="s">
        <v>36</v>
      </c>
      <c r="Q149" s="167" t="s">
        <v>2594</v>
      </c>
      <c r="R149" s="167" t="s">
        <v>2713</v>
      </c>
      <c r="S149" s="167">
        <v>5.6500000000000002E-2</v>
      </c>
      <c r="T149" s="167">
        <v>3.7233333E-2</v>
      </c>
      <c r="U149" s="167">
        <v>1.9266667000000001E-2</v>
      </c>
      <c r="V149" s="167">
        <v>3.3</v>
      </c>
      <c r="W149" s="167">
        <v>11.2</v>
      </c>
      <c r="X149" s="167">
        <v>36.959999999999994</v>
      </c>
    </row>
    <row r="150" spans="1:24" customFormat="1" ht="16">
      <c r="A150" s="167" t="s">
        <v>25</v>
      </c>
      <c r="B150" s="167" t="s">
        <v>3129</v>
      </c>
      <c r="C150" s="167" t="s">
        <v>2578</v>
      </c>
      <c r="D150" s="162" t="s">
        <v>3566</v>
      </c>
      <c r="E150" s="167" t="s">
        <v>2623</v>
      </c>
      <c r="F150" s="168">
        <v>53.306789999999999</v>
      </c>
      <c r="G150" s="169">
        <v>-6.23339</v>
      </c>
      <c r="H150" s="167">
        <v>0</v>
      </c>
      <c r="I150" s="75">
        <v>42923</v>
      </c>
      <c r="J150" s="76" t="s">
        <v>2628</v>
      </c>
      <c r="K150" s="167" t="s">
        <v>36</v>
      </c>
      <c r="L150" s="167" t="s">
        <v>2554</v>
      </c>
      <c r="M150" s="163" t="s">
        <v>2561</v>
      </c>
      <c r="N150" s="163" t="s">
        <v>2717</v>
      </c>
      <c r="O150" s="167" t="s">
        <v>2601</v>
      </c>
      <c r="P150" s="131" t="s">
        <v>36</v>
      </c>
      <c r="Q150" s="167" t="s">
        <v>2584</v>
      </c>
      <c r="R150" s="167" t="s">
        <v>2713</v>
      </c>
      <c r="S150" s="167">
        <v>5.4600000000000003E-2</v>
      </c>
      <c r="T150" s="167">
        <v>4.6966666999999997E-2</v>
      </c>
      <c r="U150" s="167">
        <v>7.633333000000006E-3</v>
      </c>
      <c r="V150" s="167">
        <v>2.4</v>
      </c>
      <c r="W150" s="167">
        <v>9.8000000000000007</v>
      </c>
      <c r="X150" s="167">
        <v>23.52</v>
      </c>
    </row>
    <row r="151" spans="1:24" customFormat="1" ht="16">
      <c r="A151" s="167" t="s">
        <v>25</v>
      </c>
      <c r="B151" s="167" t="s">
        <v>3130</v>
      </c>
      <c r="C151" s="167" t="s">
        <v>2578</v>
      </c>
      <c r="D151" s="162" t="s">
        <v>3566</v>
      </c>
      <c r="E151" s="167" t="s">
        <v>2611</v>
      </c>
      <c r="F151" s="168">
        <v>53.29383</v>
      </c>
      <c r="G151" s="169">
        <v>-6.4200999999999997</v>
      </c>
      <c r="H151" s="167">
        <v>0</v>
      </c>
      <c r="I151" s="170">
        <v>42922</v>
      </c>
      <c r="J151" s="76" t="s">
        <v>2626</v>
      </c>
      <c r="K151" s="167" t="s">
        <v>36</v>
      </c>
      <c r="L151" s="167" t="s">
        <v>2554</v>
      </c>
      <c r="M151" s="163" t="s">
        <v>2561</v>
      </c>
      <c r="N151" s="163" t="s">
        <v>2717</v>
      </c>
      <c r="O151" s="167" t="s">
        <v>2601</v>
      </c>
      <c r="P151" s="131" t="s">
        <v>36</v>
      </c>
      <c r="Q151" s="167" t="s">
        <v>2584</v>
      </c>
      <c r="R151" s="167" t="s">
        <v>2713</v>
      </c>
      <c r="S151" s="167">
        <v>5.3100000000000001E-2</v>
      </c>
      <c r="T151" s="167">
        <v>4.6966666999999997E-2</v>
      </c>
      <c r="U151" s="167">
        <v>6.1333330000000047E-3</v>
      </c>
      <c r="V151" s="167">
        <v>2.4</v>
      </c>
      <c r="W151" s="167">
        <v>9.8000000000000007</v>
      </c>
      <c r="X151" s="167">
        <v>23.52</v>
      </c>
    </row>
    <row r="152" spans="1:24" customFormat="1" ht="16">
      <c r="A152" s="167" t="s">
        <v>25</v>
      </c>
      <c r="B152" s="167" t="s">
        <v>3131</v>
      </c>
      <c r="C152" s="167" t="s">
        <v>2578</v>
      </c>
      <c r="D152" s="162" t="s">
        <v>3566</v>
      </c>
      <c r="E152" s="167" t="s">
        <v>2623</v>
      </c>
      <c r="F152" s="168">
        <v>53.306789999999999</v>
      </c>
      <c r="G152" s="169">
        <v>-6.23339</v>
      </c>
      <c r="H152" s="167">
        <v>0</v>
      </c>
      <c r="I152" s="170">
        <v>42950</v>
      </c>
      <c r="J152" s="76" t="s">
        <v>2626</v>
      </c>
      <c r="K152" s="167" t="s">
        <v>36</v>
      </c>
      <c r="L152" s="167" t="s">
        <v>2554</v>
      </c>
      <c r="M152" s="163" t="s">
        <v>2561</v>
      </c>
      <c r="N152" s="163" t="s">
        <v>2717</v>
      </c>
      <c r="O152" s="167" t="s">
        <v>2601</v>
      </c>
      <c r="P152" s="131" t="s">
        <v>36</v>
      </c>
      <c r="Q152" s="167" t="s">
        <v>2584</v>
      </c>
      <c r="R152" s="167" t="s">
        <v>2712</v>
      </c>
      <c r="S152" s="167">
        <v>4.3700000000000003E-2</v>
      </c>
      <c r="T152" s="167">
        <v>3.7233333E-2</v>
      </c>
      <c r="U152" s="167">
        <v>6.4666670000000023E-3</v>
      </c>
      <c r="V152" s="167">
        <v>3</v>
      </c>
      <c r="W152" s="167">
        <v>10</v>
      </c>
      <c r="X152" s="167">
        <v>30</v>
      </c>
    </row>
    <row r="153" spans="1:24" customFormat="1" ht="16">
      <c r="A153" s="167" t="s">
        <v>25</v>
      </c>
      <c r="B153" s="167" t="s">
        <v>3132</v>
      </c>
      <c r="C153" s="167" t="s">
        <v>2578</v>
      </c>
      <c r="D153" s="162" t="s">
        <v>3566</v>
      </c>
      <c r="E153" s="167" t="s">
        <v>2619</v>
      </c>
      <c r="F153" s="168">
        <v>53.312309999999997</v>
      </c>
      <c r="G153" s="169">
        <v>-6.25936</v>
      </c>
      <c r="H153" s="167">
        <v>0</v>
      </c>
      <c r="I153" s="75">
        <v>42934</v>
      </c>
      <c r="J153" s="76" t="s">
        <v>2652</v>
      </c>
      <c r="K153" s="167" t="s">
        <v>36</v>
      </c>
      <c r="L153" s="167" t="s">
        <v>2554</v>
      </c>
      <c r="M153" s="163" t="s">
        <v>2561</v>
      </c>
      <c r="N153" s="163" t="s">
        <v>2717</v>
      </c>
      <c r="O153" s="167" t="s">
        <v>2601</v>
      </c>
      <c r="P153" s="131" t="s">
        <v>36</v>
      </c>
      <c r="Q153" s="167" t="s">
        <v>2584</v>
      </c>
      <c r="R153" s="167" t="s">
        <v>2712</v>
      </c>
      <c r="S153" s="167">
        <v>4.3499999999999997E-2</v>
      </c>
      <c r="T153" s="167">
        <v>3.7233333E-2</v>
      </c>
      <c r="U153" s="167">
        <v>6.2666669999999966E-3</v>
      </c>
      <c r="V153" s="167">
        <v>3.1</v>
      </c>
      <c r="W153" s="167">
        <v>10</v>
      </c>
      <c r="X153" s="167">
        <v>31</v>
      </c>
    </row>
    <row r="154" spans="1:24" customFormat="1" ht="15.75" customHeight="1">
      <c r="A154" s="167" t="s">
        <v>25</v>
      </c>
      <c r="B154" s="167" t="s">
        <v>3133</v>
      </c>
      <c r="C154" s="167" t="s">
        <v>2578</v>
      </c>
      <c r="D154" s="162" t="s">
        <v>3566</v>
      </c>
      <c r="E154" s="167" t="s">
        <v>2623</v>
      </c>
      <c r="F154" s="168">
        <v>53.306789999999999</v>
      </c>
      <c r="G154" s="169">
        <v>-6.23339</v>
      </c>
      <c r="H154" s="167">
        <v>0</v>
      </c>
      <c r="I154" s="170">
        <v>42940</v>
      </c>
      <c r="J154" s="76" t="s">
        <v>2628</v>
      </c>
      <c r="K154" s="167" t="s">
        <v>36</v>
      </c>
      <c r="L154" s="167" t="s">
        <v>2554</v>
      </c>
      <c r="M154" s="163" t="s">
        <v>2561</v>
      </c>
      <c r="N154" s="163" t="s">
        <v>2717</v>
      </c>
      <c r="O154" s="167" t="s">
        <v>2601</v>
      </c>
      <c r="P154" s="131" t="s">
        <v>36</v>
      </c>
      <c r="Q154" s="167" t="s">
        <v>2584</v>
      </c>
      <c r="R154" s="167" t="s">
        <v>2713</v>
      </c>
      <c r="S154" s="167">
        <v>4.7800000000000002E-2</v>
      </c>
      <c r="T154" s="167">
        <v>3.7233333E-2</v>
      </c>
      <c r="U154" s="167">
        <v>1.0566667000000002E-2</v>
      </c>
      <c r="V154" s="167">
        <v>2.2999999999999998</v>
      </c>
      <c r="W154" s="167">
        <v>8.6</v>
      </c>
      <c r="X154" s="167">
        <v>19.779999999999998</v>
      </c>
    </row>
    <row r="155" spans="1:24" customFormat="1" ht="16">
      <c r="A155" s="167" t="s">
        <v>25</v>
      </c>
      <c r="B155" s="167" t="s">
        <v>3134</v>
      </c>
      <c r="C155" s="167" t="s">
        <v>2578</v>
      </c>
      <c r="D155" s="162" t="s">
        <v>3566</v>
      </c>
      <c r="E155" s="167" t="s">
        <v>2618</v>
      </c>
      <c r="F155" s="169">
        <v>53.312570000000001</v>
      </c>
      <c r="G155" s="169">
        <v>-6.2602500000000001</v>
      </c>
      <c r="H155" s="167">
        <v>0</v>
      </c>
      <c r="I155" s="170">
        <v>42979</v>
      </c>
      <c r="J155" s="76" t="s">
        <v>2626</v>
      </c>
      <c r="K155" s="167" t="s">
        <v>36</v>
      </c>
      <c r="L155" s="167" t="s">
        <v>2554</v>
      </c>
      <c r="M155" s="163" t="s">
        <v>2561</v>
      </c>
      <c r="N155" s="163" t="s">
        <v>2717</v>
      </c>
      <c r="O155" s="167" t="s">
        <v>2601</v>
      </c>
      <c r="P155" s="131" t="s">
        <v>36</v>
      </c>
      <c r="Q155" s="167" t="s">
        <v>2584</v>
      </c>
      <c r="R155" s="167" t="s">
        <v>2712</v>
      </c>
      <c r="S155" s="167">
        <v>4.0500000000000001E-2</v>
      </c>
      <c r="T155" s="167">
        <v>3.7233333E-2</v>
      </c>
      <c r="U155" s="167">
        <v>3.2666670000000009E-3</v>
      </c>
      <c r="V155" s="167">
        <v>2.1</v>
      </c>
      <c r="W155" s="167">
        <v>8.4</v>
      </c>
      <c r="X155" s="167">
        <v>17.64</v>
      </c>
    </row>
    <row r="156" spans="1:24" customFormat="1" ht="16">
      <c r="A156" s="167" t="s">
        <v>25</v>
      </c>
      <c r="B156" s="167" t="s">
        <v>3135</v>
      </c>
      <c r="C156" s="167" t="s">
        <v>2578</v>
      </c>
      <c r="D156" s="162" t="s">
        <v>3566</v>
      </c>
      <c r="E156" s="167" t="s">
        <v>2624</v>
      </c>
      <c r="F156" s="169">
        <v>53.306629999999998</v>
      </c>
      <c r="G156" s="169">
        <v>-6.2330800000000002</v>
      </c>
      <c r="H156" s="167">
        <v>0</v>
      </c>
      <c r="I156" s="170">
        <v>42983</v>
      </c>
      <c r="J156" s="76" t="s">
        <v>2626</v>
      </c>
      <c r="K156" s="167" t="s">
        <v>36</v>
      </c>
      <c r="L156" s="167" t="s">
        <v>2554</v>
      </c>
      <c r="M156" s="163" t="s">
        <v>2750</v>
      </c>
      <c r="N156" s="163" t="s">
        <v>2874</v>
      </c>
      <c r="O156" s="167" t="s">
        <v>2605</v>
      </c>
      <c r="P156" s="131" t="s">
        <v>36</v>
      </c>
      <c r="Q156" s="167" t="s">
        <v>2589</v>
      </c>
      <c r="R156" s="167" t="s">
        <v>2712</v>
      </c>
      <c r="S156" s="167">
        <v>6.3799999999999996E-2</v>
      </c>
      <c r="T156" s="167">
        <v>3.7233333E-2</v>
      </c>
      <c r="U156" s="167">
        <v>2.6566666999999995E-2</v>
      </c>
      <c r="V156" s="167">
        <v>4.0999999999999996</v>
      </c>
      <c r="W156" s="167">
        <v>13</v>
      </c>
      <c r="X156" s="167">
        <v>53.3</v>
      </c>
    </row>
    <row r="157" spans="1:24" customFormat="1" ht="16">
      <c r="A157" s="167" t="s">
        <v>25</v>
      </c>
      <c r="B157" s="167" t="s">
        <v>3136</v>
      </c>
      <c r="C157" s="167" t="s">
        <v>2578</v>
      </c>
      <c r="D157" s="162" t="s">
        <v>3566</v>
      </c>
      <c r="E157" s="167" t="s">
        <v>2618</v>
      </c>
      <c r="F157" s="169">
        <v>53.312570000000001</v>
      </c>
      <c r="G157" s="169">
        <v>-6.2602500000000001</v>
      </c>
      <c r="H157" s="167">
        <v>0</v>
      </c>
      <c r="I157" s="170">
        <v>42979</v>
      </c>
      <c r="J157" s="76" t="s">
        <v>2626</v>
      </c>
      <c r="K157" s="167" t="s">
        <v>36</v>
      </c>
      <c r="L157" s="167" t="s">
        <v>2554</v>
      </c>
      <c r="M157" s="163" t="s">
        <v>2750</v>
      </c>
      <c r="N157" s="163" t="s">
        <v>2874</v>
      </c>
      <c r="O157" s="167" t="s">
        <v>2605</v>
      </c>
      <c r="P157" s="131" t="s">
        <v>36</v>
      </c>
      <c r="Q157" s="167" t="s">
        <v>2589</v>
      </c>
      <c r="R157" s="167" t="s">
        <v>2712</v>
      </c>
      <c r="S157" s="167">
        <v>6.8099999999999994E-2</v>
      </c>
      <c r="T157" s="167">
        <v>3.7233333E-2</v>
      </c>
      <c r="U157" s="167">
        <v>3.0866666999999993E-2</v>
      </c>
      <c r="V157" s="167">
        <v>5</v>
      </c>
      <c r="W157" s="167">
        <v>14.5</v>
      </c>
      <c r="X157" s="167">
        <v>72.5</v>
      </c>
    </row>
    <row r="158" spans="1:24" customFormat="1" ht="16">
      <c r="A158" s="167" t="s">
        <v>25</v>
      </c>
      <c r="B158" s="167" t="s">
        <v>3137</v>
      </c>
      <c r="C158" s="167" t="s">
        <v>2578</v>
      </c>
      <c r="D158" s="162" t="s">
        <v>3566</v>
      </c>
      <c r="E158" s="167" t="s">
        <v>2618</v>
      </c>
      <c r="F158" s="169">
        <v>53.312570000000001</v>
      </c>
      <c r="G158" s="169">
        <v>-6.2602500000000001</v>
      </c>
      <c r="H158" s="167">
        <v>0</v>
      </c>
      <c r="I158" s="170">
        <v>42979</v>
      </c>
      <c r="J158" s="76" t="s">
        <v>2626</v>
      </c>
      <c r="K158" s="167" t="s">
        <v>36</v>
      </c>
      <c r="L158" s="167" t="s">
        <v>2554</v>
      </c>
      <c r="M158" s="163" t="s">
        <v>2750</v>
      </c>
      <c r="N158" s="163" t="s">
        <v>2874</v>
      </c>
      <c r="O158" s="167" t="s">
        <v>2605</v>
      </c>
      <c r="P158" s="131" t="s">
        <v>36</v>
      </c>
      <c r="Q158" s="167" t="s">
        <v>2589</v>
      </c>
      <c r="R158" s="167" t="s">
        <v>2713</v>
      </c>
      <c r="S158" s="167">
        <v>6.5699999999999995E-2</v>
      </c>
      <c r="T158" s="167">
        <v>3.7233333E-2</v>
      </c>
      <c r="U158" s="167">
        <v>2.8466666999999994E-2</v>
      </c>
      <c r="V158" s="167">
        <v>4.4000000000000004</v>
      </c>
      <c r="W158" s="167">
        <v>13.3</v>
      </c>
      <c r="X158" s="167">
        <v>58.52000000000001</v>
      </c>
    </row>
    <row r="159" spans="1:24" customFormat="1" ht="16">
      <c r="A159" s="167" t="s">
        <v>25</v>
      </c>
      <c r="B159" s="167" t="s">
        <v>3138</v>
      </c>
      <c r="C159" s="167" t="s">
        <v>2578</v>
      </c>
      <c r="D159" s="162" t="s">
        <v>3566</v>
      </c>
      <c r="E159" s="167" t="s">
        <v>2622</v>
      </c>
      <c r="F159" s="168">
        <v>53.306449999999998</v>
      </c>
      <c r="G159" s="169">
        <v>-6.2336600000000004</v>
      </c>
      <c r="H159" s="167">
        <v>0</v>
      </c>
      <c r="I159" s="75">
        <v>42921</v>
      </c>
      <c r="J159" s="76" t="s">
        <v>2628</v>
      </c>
      <c r="K159" s="167" t="s">
        <v>36</v>
      </c>
      <c r="L159" s="167" t="s">
        <v>2554</v>
      </c>
      <c r="M159" s="163" t="s">
        <v>2561</v>
      </c>
      <c r="N159" s="163" t="s">
        <v>2717</v>
      </c>
      <c r="O159" s="167" t="s">
        <v>2603</v>
      </c>
      <c r="P159" s="131" t="s">
        <v>36</v>
      </c>
      <c r="Q159" s="167" t="s">
        <v>2587</v>
      </c>
      <c r="R159" s="167" t="s">
        <v>2713</v>
      </c>
      <c r="S159" s="167">
        <v>5.9700000000000003E-2</v>
      </c>
      <c r="T159" s="167">
        <v>3.7233333E-2</v>
      </c>
      <c r="U159" s="167">
        <v>2.2466667000000003E-2</v>
      </c>
      <c r="V159" s="167">
        <v>2.2999999999999998</v>
      </c>
      <c r="W159" s="167">
        <v>9.5</v>
      </c>
      <c r="X159" s="167">
        <v>21.849999999999998</v>
      </c>
    </row>
    <row r="160" spans="1:24" customFormat="1" ht="16">
      <c r="A160" s="167" t="s">
        <v>25</v>
      </c>
      <c r="B160" s="167" t="s">
        <v>3139</v>
      </c>
      <c r="C160" s="167" t="s">
        <v>2578</v>
      </c>
      <c r="D160" s="162" t="s">
        <v>3566</v>
      </c>
      <c r="E160" s="167" t="s">
        <v>2621</v>
      </c>
      <c r="F160" s="168">
        <v>53.306150000000002</v>
      </c>
      <c r="G160" s="169">
        <v>-6.2338800000000001</v>
      </c>
      <c r="H160" s="167">
        <v>0</v>
      </c>
      <c r="I160" s="75">
        <v>42902</v>
      </c>
      <c r="J160" s="76" t="s">
        <v>2628</v>
      </c>
      <c r="K160" s="167" t="s">
        <v>36</v>
      </c>
      <c r="L160" s="167" t="s">
        <v>2554</v>
      </c>
      <c r="M160" s="163" t="s">
        <v>2561</v>
      </c>
      <c r="N160" s="163" t="s">
        <v>2717</v>
      </c>
      <c r="O160" s="167" t="s">
        <v>2603</v>
      </c>
      <c r="P160" s="131" t="s">
        <v>36</v>
      </c>
      <c r="Q160" s="167" t="s">
        <v>2587</v>
      </c>
      <c r="R160" s="167" t="s">
        <v>2713</v>
      </c>
      <c r="S160" s="167">
        <v>5.2400000000000002E-2</v>
      </c>
      <c r="T160" s="167">
        <v>3.7233333E-2</v>
      </c>
      <c r="U160" s="167">
        <v>1.5166667000000002E-2</v>
      </c>
      <c r="V160" s="167">
        <v>3</v>
      </c>
      <c r="W160" s="167">
        <v>11.3</v>
      </c>
      <c r="X160" s="167">
        <v>33.900000000000006</v>
      </c>
    </row>
    <row r="161" spans="1:24" customFormat="1" ht="16">
      <c r="A161" s="167" t="s">
        <v>25</v>
      </c>
      <c r="B161" s="167" t="s">
        <v>3140</v>
      </c>
      <c r="C161" s="167" t="s">
        <v>2578</v>
      </c>
      <c r="D161" s="162" t="s">
        <v>3566</v>
      </c>
      <c r="E161" s="167" t="s">
        <v>2612</v>
      </c>
      <c r="F161" s="168">
        <v>53.293469999999999</v>
      </c>
      <c r="G161" s="169">
        <v>-6.4196900000000001</v>
      </c>
      <c r="H161" s="167">
        <v>0</v>
      </c>
      <c r="I161" s="75">
        <v>42913</v>
      </c>
      <c r="J161" s="76" t="s">
        <v>2627</v>
      </c>
      <c r="K161" s="167" t="s">
        <v>36</v>
      </c>
      <c r="L161" s="167" t="s">
        <v>2554</v>
      </c>
      <c r="M161" s="163" t="s">
        <v>2561</v>
      </c>
      <c r="N161" s="163" t="s">
        <v>2717</v>
      </c>
      <c r="O161" s="167" t="s">
        <v>2603</v>
      </c>
      <c r="P161" s="131" t="s">
        <v>36</v>
      </c>
      <c r="Q161" s="167" t="s">
        <v>2633</v>
      </c>
      <c r="R161" s="167" t="s">
        <v>2713</v>
      </c>
      <c r="S161" s="167">
        <v>4.0800000000000003E-2</v>
      </c>
      <c r="T161" s="167">
        <v>3.7233333E-2</v>
      </c>
      <c r="U161" s="167">
        <v>3.5666670000000025E-3</v>
      </c>
      <c r="V161" s="167">
        <v>2.1</v>
      </c>
      <c r="W161" s="167">
        <v>8</v>
      </c>
      <c r="X161" s="167">
        <v>16.8</v>
      </c>
    </row>
    <row r="162" spans="1:24" customFormat="1" ht="16">
      <c r="A162" s="167" t="s">
        <v>25</v>
      </c>
      <c r="B162" s="167" t="s">
        <v>3141</v>
      </c>
      <c r="C162" s="167" t="s">
        <v>2578</v>
      </c>
      <c r="D162" s="162" t="s">
        <v>3566</v>
      </c>
      <c r="E162" s="167" t="s">
        <v>2613</v>
      </c>
      <c r="F162" s="169">
        <v>53.29316</v>
      </c>
      <c r="G162" s="169">
        <v>-6.4193800000000003</v>
      </c>
      <c r="H162" s="167">
        <v>0</v>
      </c>
      <c r="I162" s="170">
        <v>42913</v>
      </c>
      <c r="J162" s="76" t="s">
        <v>2628</v>
      </c>
      <c r="K162" s="167" t="s">
        <v>36</v>
      </c>
      <c r="L162" s="167" t="s">
        <v>2554</v>
      </c>
      <c r="M162" s="163" t="s">
        <v>2561</v>
      </c>
      <c r="N162" s="163" t="s">
        <v>2717</v>
      </c>
      <c r="O162" s="167" t="s">
        <v>2603</v>
      </c>
      <c r="P162" s="131" t="s">
        <v>36</v>
      </c>
      <c r="Q162" s="167" t="s">
        <v>2587</v>
      </c>
      <c r="R162" s="167" t="s">
        <v>2713</v>
      </c>
      <c r="S162" s="167">
        <v>4.6899999999999997E-2</v>
      </c>
      <c r="T162" s="167">
        <v>3.7233333E-2</v>
      </c>
      <c r="U162" s="167">
        <v>9.6666669999999968E-3</v>
      </c>
      <c r="V162" s="167">
        <v>2.9</v>
      </c>
      <c r="W162" s="167">
        <v>10</v>
      </c>
      <c r="X162" s="167">
        <v>29</v>
      </c>
    </row>
    <row r="163" spans="1:24" customFormat="1" ht="16">
      <c r="A163" s="167" t="s">
        <v>25</v>
      </c>
      <c r="B163" s="167" t="s">
        <v>3142</v>
      </c>
      <c r="C163" s="167" t="s">
        <v>2578</v>
      </c>
      <c r="D163" s="162" t="s">
        <v>3566</v>
      </c>
      <c r="E163" s="167" t="s">
        <v>2619</v>
      </c>
      <c r="F163" s="169">
        <v>53.312309999999997</v>
      </c>
      <c r="G163" s="169">
        <v>-6.25936</v>
      </c>
      <c r="H163" s="167">
        <v>0</v>
      </c>
      <c r="I163" s="170">
        <v>42932</v>
      </c>
      <c r="J163" s="76" t="s">
        <v>2626</v>
      </c>
      <c r="K163" s="167" t="s">
        <v>36</v>
      </c>
      <c r="L163" s="167" t="s">
        <v>2554</v>
      </c>
      <c r="M163" s="163" t="s">
        <v>2750</v>
      </c>
      <c r="N163" s="167" t="s">
        <v>3571</v>
      </c>
      <c r="O163" s="167" t="s">
        <v>2597</v>
      </c>
      <c r="P163" s="131" t="s">
        <v>36</v>
      </c>
      <c r="Q163" s="167" t="s">
        <v>2579</v>
      </c>
      <c r="R163" s="167" t="s">
        <v>2713</v>
      </c>
      <c r="S163" s="167">
        <v>5.2499999999999998E-2</v>
      </c>
      <c r="T163" s="167">
        <v>3.7233333E-2</v>
      </c>
      <c r="U163" s="167">
        <v>1.5266666999999998E-2</v>
      </c>
      <c r="V163" s="167">
        <v>3.5</v>
      </c>
      <c r="W163" s="167">
        <v>10.1</v>
      </c>
      <c r="X163" s="167">
        <v>35.35</v>
      </c>
    </row>
    <row r="164" spans="1:24" ht="16">
      <c r="A164" s="163" t="s">
        <v>25</v>
      </c>
      <c r="B164" s="163" t="s">
        <v>2997</v>
      </c>
      <c r="C164" s="163" t="s">
        <v>2789</v>
      </c>
      <c r="D164" s="162" t="s">
        <v>3567</v>
      </c>
      <c r="E164" s="163" t="s">
        <v>36</v>
      </c>
      <c r="F164" s="163" t="s">
        <v>36</v>
      </c>
      <c r="G164" s="163" t="s">
        <v>36</v>
      </c>
      <c r="H164" s="163" t="s">
        <v>36</v>
      </c>
      <c r="I164" s="163" t="s">
        <v>36</v>
      </c>
      <c r="J164" s="163" t="s">
        <v>36</v>
      </c>
      <c r="K164" s="162" t="s">
        <v>36</v>
      </c>
      <c r="L164" s="163" t="s">
        <v>2554</v>
      </c>
      <c r="M164" s="163" t="s">
        <v>2750</v>
      </c>
      <c r="N164" s="163" t="s">
        <v>2870</v>
      </c>
      <c r="O164" s="131" t="s">
        <v>3070</v>
      </c>
      <c r="P164" s="131" t="s">
        <v>36</v>
      </c>
      <c r="Q164" s="163" t="s">
        <v>2871</v>
      </c>
      <c r="R164" s="163" t="s">
        <v>2713</v>
      </c>
      <c r="S164" s="163" t="s">
        <v>36</v>
      </c>
      <c r="T164" s="163" t="s">
        <v>36</v>
      </c>
      <c r="U164" s="163">
        <v>5.8099999999999999E-2</v>
      </c>
      <c r="V164" s="163">
        <v>4.55</v>
      </c>
      <c r="W164" s="163">
        <v>13.74</v>
      </c>
      <c r="X164" s="163">
        <f t="shared" ref="X164:X171" si="11">V164*W164</f>
        <v>62.516999999999996</v>
      </c>
    </row>
    <row r="165" spans="1:24" ht="16">
      <c r="A165" s="163" t="s">
        <v>25</v>
      </c>
      <c r="B165" s="163" t="s">
        <v>2998</v>
      </c>
      <c r="C165" s="163" t="s">
        <v>2789</v>
      </c>
      <c r="D165" s="162" t="s">
        <v>3567</v>
      </c>
      <c r="E165" s="163" t="s">
        <v>36</v>
      </c>
      <c r="F165" s="163" t="s">
        <v>36</v>
      </c>
      <c r="G165" s="163" t="s">
        <v>36</v>
      </c>
      <c r="H165" s="163" t="s">
        <v>36</v>
      </c>
      <c r="I165" s="163" t="s">
        <v>36</v>
      </c>
      <c r="J165" s="163" t="s">
        <v>36</v>
      </c>
      <c r="K165" s="162" t="s">
        <v>36</v>
      </c>
      <c r="L165" s="163" t="s">
        <v>2554</v>
      </c>
      <c r="M165" s="163" t="s">
        <v>2561</v>
      </c>
      <c r="N165" s="163" t="s">
        <v>2717</v>
      </c>
      <c r="O165" s="131" t="s">
        <v>2601</v>
      </c>
      <c r="P165" s="131" t="s">
        <v>36</v>
      </c>
      <c r="Q165" s="163" t="s">
        <v>2872</v>
      </c>
      <c r="R165" s="163" t="s">
        <v>2713</v>
      </c>
      <c r="S165" s="163" t="s">
        <v>36</v>
      </c>
      <c r="T165" s="163" t="s">
        <v>36</v>
      </c>
      <c r="U165" s="163">
        <v>1.3299999999999999E-2</v>
      </c>
      <c r="V165" s="163">
        <v>2.8</v>
      </c>
      <c r="W165" s="163">
        <v>13.85</v>
      </c>
      <c r="X165" s="163">
        <f t="shared" si="11"/>
        <v>38.779999999999994</v>
      </c>
    </row>
    <row r="166" spans="1:24" ht="16">
      <c r="A166" s="163" t="s">
        <v>25</v>
      </c>
      <c r="B166" s="163" t="s">
        <v>2999</v>
      </c>
      <c r="C166" s="163" t="s">
        <v>2789</v>
      </c>
      <c r="D166" s="162" t="s">
        <v>3567</v>
      </c>
      <c r="E166" s="163" t="s">
        <v>36</v>
      </c>
      <c r="F166" s="163" t="s">
        <v>36</v>
      </c>
      <c r="G166" s="163" t="s">
        <v>36</v>
      </c>
      <c r="H166" s="163" t="s">
        <v>36</v>
      </c>
      <c r="I166" s="163" t="s">
        <v>36</v>
      </c>
      <c r="J166" s="163" t="s">
        <v>36</v>
      </c>
      <c r="K166" s="162" t="s">
        <v>36</v>
      </c>
      <c r="L166" s="163" t="s">
        <v>2554</v>
      </c>
      <c r="M166" s="163" t="s">
        <v>2750</v>
      </c>
      <c r="N166" s="163" t="s">
        <v>2873</v>
      </c>
      <c r="O166" s="131" t="s">
        <v>3071</v>
      </c>
      <c r="P166" s="131" t="s">
        <v>36</v>
      </c>
      <c r="Q166" s="163" t="s">
        <v>2378</v>
      </c>
      <c r="R166" s="163" t="s">
        <v>2713</v>
      </c>
      <c r="S166" s="163" t="s">
        <v>36</v>
      </c>
      <c r="T166" s="163" t="s">
        <v>36</v>
      </c>
      <c r="U166" s="163">
        <v>4.3200000000000002E-2</v>
      </c>
      <c r="V166" s="163">
        <v>5.99</v>
      </c>
      <c r="W166" s="163">
        <v>18.829999999999998</v>
      </c>
      <c r="X166" s="163">
        <f t="shared" si="11"/>
        <v>112.79169999999999</v>
      </c>
    </row>
    <row r="167" spans="1:24" ht="16">
      <c r="A167" s="163" t="s">
        <v>25</v>
      </c>
      <c r="B167" s="163" t="s">
        <v>3000</v>
      </c>
      <c r="C167" s="163" t="s">
        <v>2789</v>
      </c>
      <c r="D167" s="162" t="s">
        <v>3567</v>
      </c>
      <c r="E167" s="163" t="s">
        <v>36</v>
      </c>
      <c r="F167" s="163" t="s">
        <v>36</v>
      </c>
      <c r="G167" s="163" t="s">
        <v>36</v>
      </c>
      <c r="H167" s="163" t="s">
        <v>36</v>
      </c>
      <c r="I167" s="163" t="s">
        <v>36</v>
      </c>
      <c r="J167" s="163" t="s">
        <v>36</v>
      </c>
      <c r="K167" s="162" t="s">
        <v>36</v>
      </c>
      <c r="L167" s="163" t="s">
        <v>2554</v>
      </c>
      <c r="M167" s="163" t="s">
        <v>2750</v>
      </c>
      <c r="N167" s="163" t="s">
        <v>2874</v>
      </c>
      <c r="O167" s="131" t="s">
        <v>2647</v>
      </c>
      <c r="P167" s="131" t="s">
        <v>36</v>
      </c>
      <c r="Q167" s="163" t="s">
        <v>2875</v>
      </c>
      <c r="R167" s="163" t="s">
        <v>2713</v>
      </c>
      <c r="S167" s="163" t="s">
        <v>36</v>
      </c>
      <c r="T167" s="163" t="s">
        <v>36</v>
      </c>
      <c r="U167" s="163">
        <v>3.4799999999999998E-2</v>
      </c>
      <c r="V167" s="163">
        <v>3.53</v>
      </c>
      <c r="W167" s="163">
        <v>13.58</v>
      </c>
      <c r="X167" s="163">
        <f t="shared" si="11"/>
        <v>47.937399999999997</v>
      </c>
    </row>
    <row r="168" spans="1:24" ht="16">
      <c r="A168" s="163" t="s">
        <v>25</v>
      </c>
      <c r="B168" s="163" t="s">
        <v>3001</v>
      </c>
      <c r="C168" s="163" t="s">
        <v>2789</v>
      </c>
      <c r="D168" s="162" t="s">
        <v>3567</v>
      </c>
      <c r="E168" s="163" t="s">
        <v>36</v>
      </c>
      <c r="F168" s="163" t="s">
        <v>36</v>
      </c>
      <c r="G168" s="163" t="s">
        <v>36</v>
      </c>
      <c r="H168" s="163" t="s">
        <v>36</v>
      </c>
      <c r="I168" s="163" t="s">
        <v>36</v>
      </c>
      <c r="J168" s="163" t="s">
        <v>36</v>
      </c>
      <c r="K168" s="162" t="s">
        <v>36</v>
      </c>
      <c r="L168" s="163" t="s">
        <v>2554</v>
      </c>
      <c r="M168" s="163" t="s">
        <v>2561</v>
      </c>
      <c r="N168" s="163" t="s">
        <v>2717</v>
      </c>
      <c r="O168" s="131" t="s">
        <v>2655</v>
      </c>
      <c r="P168" s="131" t="s">
        <v>36</v>
      </c>
      <c r="Q168" s="163" t="s">
        <v>2656</v>
      </c>
      <c r="R168" s="163" t="s">
        <v>2712</v>
      </c>
      <c r="S168" s="163" t="s">
        <v>36</v>
      </c>
      <c r="T168" s="163" t="s">
        <v>36</v>
      </c>
      <c r="U168" s="163">
        <v>4.7000000000000002E-3</v>
      </c>
      <c r="V168" s="163">
        <v>1.58</v>
      </c>
      <c r="W168" s="163">
        <v>10.35</v>
      </c>
      <c r="X168" s="163">
        <f t="shared" si="11"/>
        <v>16.353000000000002</v>
      </c>
    </row>
    <row r="169" spans="1:24" ht="16">
      <c r="A169" s="163" t="s">
        <v>25</v>
      </c>
      <c r="B169" s="163" t="s">
        <v>3002</v>
      </c>
      <c r="C169" s="163" t="s">
        <v>2789</v>
      </c>
      <c r="D169" s="162" t="s">
        <v>3567</v>
      </c>
      <c r="E169" s="163" t="s">
        <v>36</v>
      </c>
      <c r="F169" s="163" t="s">
        <v>36</v>
      </c>
      <c r="G169" s="163" t="s">
        <v>36</v>
      </c>
      <c r="H169" s="163" t="s">
        <v>36</v>
      </c>
      <c r="I169" s="163" t="s">
        <v>36</v>
      </c>
      <c r="J169" s="163" t="s">
        <v>36</v>
      </c>
      <c r="K169" s="162" t="s">
        <v>36</v>
      </c>
      <c r="L169" s="163" t="s">
        <v>2554</v>
      </c>
      <c r="M169" s="163" t="s">
        <v>2750</v>
      </c>
      <c r="N169" s="163" t="s">
        <v>2874</v>
      </c>
      <c r="O169" s="131" t="s">
        <v>2659</v>
      </c>
      <c r="P169" s="131" t="s">
        <v>36</v>
      </c>
      <c r="Q169" s="163" t="s">
        <v>2660</v>
      </c>
      <c r="R169" s="163" t="s">
        <v>2712</v>
      </c>
      <c r="S169" s="163" t="s">
        <v>36</v>
      </c>
      <c r="T169" s="163" t="s">
        <v>36</v>
      </c>
      <c r="U169" s="163">
        <v>1.6999999999999999E-3</v>
      </c>
      <c r="V169" s="163">
        <v>3.46</v>
      </c>
      <c r="W169" s="163">
        <v>12.68</v>
      </c>
      <c r="X169" s="163">
        <f t="shared" si="11"/>
        <v>43.872799999999998</v>
      </c>
    </row>
    <row r="170" spans="1:24" ht="16">
      <c r="A170" s="163" t="s">
        <v>25</v>
      </c>
      <c r="B170" s="163" t="s">
        <v>3005</v>
      </c>
      <c r="C170" s="163" t="s">
        <v>2789</v>
      </c>
      <c r="D170" s="162" t="s">
        <v>3567</v>
      </c>
      <c r="E170" s="163" t="s">
        <v>36</v>
      </c>
      <c r="F170" s="163" t="s">
        <v>36</v>
      </c>
      <c r="G170" s="163" t="s">
        <v>36</v>
      </c>
      <c r="H170" s="163" t="s">
        <v>36</v>
      </c>
      <c r="I170" s="163" t="s">
        <v>36</v>
      </c>
      <c r="J170" s="163" t="s">
        <v>36</v>
      </c>
      <c r="K170" s="162" t="s">
        <v>36</v>
      </c>
      <c r="L170" s="163" t="s">
        <v>2554</v>
      </c>
      <c r="M170" s="163" t="s">
        <v>2750</v>
      </c>
      <c r="N170" s="163" t="s">
        <v>2727</v>
      </c>
      <c r="O170" s="131" t="s">
        <v>2609</v>
      </c>
      <c r="P170" s="131" t="s">
        <v>36</v>
      </c>
      <c r="Q170" s="163" t="s">
        <v>2595</v>
      </c>
      <c r="R170" s="163" t="s">
        <v>2712</v>
      </c>
      <c r="S170" s="163" t="s">
        <v>36</v>
      </c>
      <c r="T170" s="163" t="s">
        <v>36</v>
      </c>
      <c r="U170" s="163">
        <v>5.4999999999999997E-3</v>
      </c>
      <c r="V170" s="163">
        <v>1.85</v>
      </c>
      <c r="W170" s="163">
        <v>9.94</v>
      </c>
      <c r="X170" s="163">
        <f t="shared" si="11"/>
        <v>18.388999999999999</v>
      </c>
    </row>
    <row r="171" spans="1:24" ht="16">
      <c r="A171" s="163" t="s">
        <v>25</v>
      </c>
      <c r="B171" s="163" t="s">
        <v>3006</v>
      </c>
      <c r="C171" s="163" t="s">
        <v>2789</v>
      </c>
      <c r="D171" s="162" t="s">
        <v>3567</v>
      </c>
      <c r="E171" s="163" t="s">
        <v>36</v>
      </c>
      <c r="F171" s="163" t="s">
        <v>36</v>
      </c>
      <c r="G171" s="163" t="s">
        <v>36</v>
      </c>
      <c r="H171" s="163" t="s">
        <v>36</v>
      </c>
      <c r="I171" s="163" t="s">
        <v>36</v>
      </c>
      <c r="J171" s="163" t="s">
        <v>36</v>
      </c>
      <c r="K171" s="162" t="s">
        <v>36</v>
      </c>
      <c r="L171" s="163" t="s">
        <v>2554</v>
      </c>
      <c r="M171" s="163" t="s">
        <v>2750</v>
      </c>
      <c r="N171" s="163" t="s">
        <v>2874</v>
      </c>
      <c r="O171" s="131" t="s">
        <v>2647</v>
      </c>
      <c r="P171" s="131" t="s">
        <v>36</v>
      </c>
      <c r="Q171" s="163" t="s">
        <v>2877</v>
      </c>
      <c r="R171" s="163" t="s">
        <v>2712</v>
      </c>
      <c r="S171" s="163" t="s">
        <v>36</v>
      </c>
      <c r="T171" s="163" t="s">
        <v>36</v>
      </c>
      <c r="U171" s="163">
        <v>7.1000000000000004E-3</v>
      </c>
      <c r="V171" s="163">
        <v>2.99</v>
      </c>
      <c r="W171" s="163">
        <v>10.050000000000001</v>
      </c>
      <c r="X171" s="163">
        <f t="shared" si="11"/>
        <v>30.049500000000005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40"/>
  <sheetViews>
    <sheetView topLeftCell="A4" workbookViewId="0">
      <selection activeCell="C40" sqref="C40"/>
    </sheetView>
  </sheetViews>
  <sheetFormatPr baseColWidth="10" defaultColWidth="10.6640625" defaultRowHeight="15"/>
  <cols>
    <col min="10" max="10" width="12" bestFit="1" customWidth="1"/>
    <col min="12" max="12" width="11.6640625" bestFit="1" customWidth="1"/>
    <col min="13" max="13" width="11.5" bestFit="1" customWidth="1"/>
    <col min="14" max="14" width="15.33203125" bestFit="1" customWidth="1"/>
  </cols>
  <sheetData>
    <row r="1" spans="1:24" s="9" customFormat="1" ht="15" customHeight="1">
      <c r="A1" s="88" t="s">
        <v>2411</v>
      </c>
      <c r="B1" s="68" t="s">
        <v>0</v>
      </c>
      <c r="C1" s="88" t="s">
        <v>2225</v>
      </c>
      <c r="D1" s="88" t="s">
        <v>413</v>
      </c>
      <c r="E1" s="88" t="s">
        <v>345</v>
      </c>
      <c r="F1" s="88" t="s">
        <v>344</v>
      </c>
      <c r="G1" s="88" t="s">
        <v>349</v>
      </c>
      <c r="H1" s="89" t="s">
        <v>409</v>
      </c>
      <c r="I1" s="88" t="s">
        <v>3</v>
      </c>
      <c r="J1" s="88" t="s">
        <v>4</v>
      </c>
      <c r="K1" s="88" t="s">
        <v>346</v>
      </c>
      <c r="L1" s="88" t="s">
        <v>2560</v>
      </c>
      <c r="M1" s="88" t="s">
        <v>347</v>
      </c>
      <c r="N1" s="88" t="s">
        <v>348</v>
      </c>
      <c r="O1" s="88" t="s">
        <v>2718</v>
      </c>
      <c r="P1" s="88" t="s">
        <v>5</v>
      </c>
      <c r="Q1" s="88" t="s">
        <v>2101</v>
      </c>
      <c r="R1" s="88" t="s">
        <v>7</v>
      </c>
      <c r="S1" s="88" t="s">
        <v>1748</v>
      </c>
      <c r="T1" t="s">
        <v>1749</v>
      </c>
      <c r="U1" t="s">
        <v>9</v>
      </c>
      <c r="V1" t="s">
        <v>10</v>
      </c>
      <c r="W1" s="88" t="s">
        <v>2553</v>
      </c>
    </row>
    <row r="2" spans="1:24" ht="16">
      <c r="A2" t="s">
        <v>12</v>
      </c>
      <c r="B2" t="s">
        <v>2899</v>
      </c>
      <c r="C2" t="s">
        <v>2789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2566</v>
      </c>
      <c r="L2" t="s">
        <v>2790</v>
      </c>
      <c r="M2" t="s">
        <v>2791</v>
      </c>
      <c r="N2" s="98" t="s">
        <v>3035</v>
      </c>
      <c r="O2" s="98" t="s">
        <v>36</v>
      </c>
      <c r="P2" t="s">
        <v>2792</v>
      </c>
      <c r="Q2" t="s">
        <v>2712</v>
      </c>
      <c r="R2" t="s">
        <v>36</v>
      </c>
      <c r="S2" t="s">
        <v>36</v>
      </c>
      <c r="T2">
        <v>1.89E-2</v>
      </c>
      <c r="U2">
        <v>2.34</v>
      </c>
      <c r="V2">
        <v>10.87</v>
      </c>
      <c r="W2">
        <f>U2*V2</f>
        <v>25.435799999999997</v>
      </c>
      <c r="X2" t="s">
        <v>36</v>
      </c>
    </row>
    <row r="3" spans="1:24" ht="16">
      <c r="A3" t="s">
        <v>12</v>
      </c>
      <c r="B3" t="s">
        <v>2900</v>
      </c>
      <c r="C3" t="s">
        <v>2789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2566</v>
      </c>
      <c r="L3" t="s">
        <v>2567</v>
      </c>
      <c r="M3" t="s">
        <v>2668</v>
      </c>
      <c r="N3" s="98" t="s">
        <v>892</v>
      </c>
      <c r="O3" s="98" t="s">
        <v>36</v>
      </c>
      <c r="P3" t="s">
        <v>2793</v>
      </c>
      <c r="Q3" t="s">
        <v>2713</v>
      </c>
      <c r="R3" t="s">
        <v>36</v>
      </c>
      <c r="S3" t="s">
        <v>36</v>
      </c>
      <c r="T3">
        <v>2.23E-2</v>
      </c>
      <c r="U3">
        <v>2.4700000000000002</v>
      </c>
      <c r="V3">
        <v>13.33</v>
      </c>
      <c r="W3">
        <f t="shared" ref="W3:W65" si="0">U3*V3</f>
        <v>32.9251</v>
      </c>
      <c r="X3" t="s">
        <v>36</v>
      </c>
    </row>
    <row r="4" spans="1:24" ht="16">
      <c r="A4" t="s">
        <v>12</v>
      </c>
      <c r="B4" t="s">
        <v>2901</v>
      </c>
      <c r="C4" t="s">
        <v>2789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2566</v>
      </c>
      <c r="L4" t="s">
        <v>2567</v>
      </c>
      <c r="M4" t="s">
        <v>2668</v>
      </c>
      <c r="N4" s="98" t="s">
        <v>892</v>
      </c>
      <c r="O4" s="98" t="s">
        <v>36</v>
      </c>
      <c r="P4" t="s">
        <v>2793</v>
      </c>
      <c r="Q4" t="s">
        <v>2713</v>
      </c>
      <c r="R4" t="s">
        <v>36</v>
      </c>
      <c r="S4" t="s">
        <v>36</v>
      </c>
      <c r="T4">
        <v>2.1399999999999999E-2</v>
      </c>
      <c r="U4">
        <v>2.2200000000000002</v>
      </c>
      <c r="V4">
        <v>12.03</v>
      </c>
      <c r="W4">
        <f t="shared" si="0"/>
        <v>26.706600000000002</v>
      </c>
      <c r="X4" t="s">
        <v>36</v>
      </c>
    </row>
    <row r="5" spans="1:24" ht="16">
      <c r="A5" t="s">
        <v>12</v>
      </c>
      <c r="B5" t="s">
        <v>2902</v>
      </c>
      <c r="C5" t="s">
        <v>2789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36</v>
      </c>
      <c r="K5" t="s">
        <v>2566</v>
      </c>
      <c r="L5" t="s">
        <v>2567</v>
      </c>
      <c r="M5" t="s">
        <v>2668</v>
      </c>
      <c r="N5" s="98" t="s">
        <v>3036</v>
      </c>
      <c r="O5" s="98" t="s">
        <v>36</v>
      </c>
      <c r="P5" t="s">
        <v>2368</v>
      </c>
      <c r="Q5" t="s">
        <v>2713</v>
      </c>
      <c r="R5" t="s">
        <v>36</v>
      </c>
      <c r="S5" t="s">
        <v>36</v>
      </c>
      <c r="T5">
        <v>6.3E-3</v>
      </c>
      <c r="U5">
        <v>1.57</v>
      </c>
      <c r="V5">
        <v>8.2799999999999994</v>
      </c>
      <c r="W5">
        <f t="shared" si="0"/>
        <v>12.999599999999999</v>
      </c>
      <c r="X5" t="s">
        <v>36</v>
      </c>
    </row>
    <row r="6" spans="1:24" ht="16">
      <c r="A6" t="s">
        <v>12</v>
      </c>
      <c r="B6" t="s">
        <v>2902</v>
      </c>
      <c r="C6" t="s">
        <v>2789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2794</v>
      </c>
      <c r="L6" t="s">
        <v>2795</v>
      </c>
      <c r="M6" t="s">
        <v>2796</v>
      </c>
      <c r="N6" s="98" t="s">
        <v>3037</v>
      </c>
      <c r="O6" s="98" t="s">
        <v>36</v>
      </c>
      <c r="P6" t="s">
        <v>2390</v>
      </c>
      <c r="Q6" t="s">
        <v>2713</v>
      </c>
      <c r="R6" t="s">
        <v>36</v>
      </c>
      <c r="S6" t="s">
        <v>36</v>
      </c>
      <c r="T6">
        <v>6.3E-3</v>
      </c>
      <c r="U6">
        <v>1.57</v>
      </c>
      <c r="V6">
        <v>8.2799999999999994</v>
      </c>
      <c r="W6">
        <f t="shared" si="0"/>
        <v>12.999599999999999</v>
      </c>
      <c r="X6" t="s">
        <v>36</v>
      </c>
    </row>
    <row r="7" spans="1:24" ht="16">
      <c r="A7" t="s">
        <v>12</v>
      </c>
      <c r="B7" t="s">
        <v>2903</v>
      </c>
      <c r="C7" t="s">
        <v>2789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2794</v>
      </c>
      <c r="L7" t="s">
        <v>2795</v>
      </c>
      <c r="M7" t="s">
        <v>2796</v>
      </c>
      <c r="N7" s="98" t="s">
        <v>3037</v>
      </c>
      <c r="O7" s="98" t="s">
        <v>36</v>
      </c>
      <c r="P7" t="s">
        <v>2390</v>
      </c>
      <c r="Q7" t="s">
        <v>2712</v>
      </c>
      <c r="R7" t="s">
        <v>36</v>
      </c>
      <c r="S7" t="s">
        <v>36</v>
      </c>
      <c r="T7">
        <v>1.32E-2</v>
      </c>
      <c r="U7">
        <v>2.66</v>
      </c>
      <c r="V7">
        <v>12.35</v>
      </c>
      <c r="W7">
        <f t="shared" si="0"/>
        <v>32.850999999999999</v>
      </c>
      <c r="X7" t="s">
        <v>36</v>
      </c>
    </row>
    <row r="8" spans="1:24" ht="16">
      <c r="A8" t="s">
        <v>12</v>
      </c>
      <c r="B8" t="s">
        <v>2904</v>
      </c>
      <c r="C8" t="s">
        <v>2789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2794</v>
      </c>
      <c r="L8" t="s">
        <v>2795</v>
      </c>
      <c r="M8" t="s">
        <v>2796</v>
      </c>
      <c r="N8" s="98" t="s">
        <v>3037</v>
      </c>
      <c r="O8" s="98" t="s">
        <v>36</v>
      </c>
      <c r="P8" t="s">
        <v>2390</v>
      </c>
      <c r="Q8" t="s">
        <v>2712</v>
      </c>
      <c r="R8" t="s">
        <v>36</v>
      </c>
      <c r="S8" t="s">
        <v>36</v>
      </c>
      <c r="T8">
        <v>2.6800000000000001E-2</v>
      </c>
      <c r="U8">
        <v>3.05</v>
      </c>
      <c r="V8">
        <v>14.83</v>
      </c>
      <c r="W8">
        <f t="shared" si="0"/>
        <v>45.231499999999997</v>
      </c>
      <c r="X8" t="s">
        <v>36</v>
      </c>
    </row>
    <row r="9" spans="1:24" ht="16">
      <c r="A9" t="s">
        <v>12</v>
      </c>
      <c r="B9" t="s">
        <v>2905</v>
      </c>
      <c r="C9" t="s">
        <v>2789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2794</v>
      </c>
      <c r="L9" t="s">
        <v>2795</v>
      </c>
      <c r="M9" t="s">
        <v>2796</v>
      </c>
      <c r="N9" s="98" t="s">
        <v>3037</v>
      </c>
      <c r="O9" s="98" t="s">
        <v>36</v>
      </c>
      <c r="P9" t="s">
        <v>2797</v>
      </c>
      <c r="Q9" t="s">
        <v>2713</v>
      </c>
      <c r="R9" t="s">
        <v>36</v>
      </c>
      <c r="S9" t="s">
        <v>36</v>
      </c>
      <c r="T9">
        <v>2.3699999999999999E-2</v>
      </c>
      <c r="U9">
        <v>2.52</v>
      </c>
      <c r="V9">
        <v>13.08</v>
      </c>
      <c r="W9">
        <f t="shared" si="0"/>
        <v>32.961599999999997</v>
      </c>
      <c r="X9" t="s">
        <v>36</v>
      </c>
    </row>
    <row r="10" spans="1:24" ht="16">
      <c r="A10" t="s">
        <v>12</v>
      </c>
      <c r="B10" t="s">
        <v>2906</v>
      </c>
      <c r="C10" t="s">
        <v>2789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2794</v>
      </c>
      <c r="L10" t="s">
        <v>2795</v>
      </c>
      <c r="M10" t="s">
        <v>2796</v>
      </c>
      <c r="N10" s="98" t="s">
        <v>3037</v>
      </c>
      <c r="O10" s="98" t="s">
        <v>36</v>
      </c>
      <c r="P10" t="s">
        <v>2390</v>
      </c>
      <c r="Q10" t="s">
        <v>2713</v>
      </c>
      <c r="R10" t="s">
        <v>36</v>
      </c>
      <c r="S10" t="s">
        <v>36</v>
      </c>
      <c r="T10">
        <v>1.01E-2</v>
      </c>
      <c r="U10">
        <v>2.77</v>
      </c>
      <c r="V10">
        <v>11.02</v>
      </c>
      <c r="W10">
        <f t="shared" si="0"/>
        <v>30.525399999999998</v>
      </c>
      <c r="X10" t="s">
        <v>36</v>
      </c>
    </row>
    <row r="11" spans="1:24" ht="16">
      <c r="A11" t="s">
        <v>12</v>
      </c>
      <c r="B11" t="s">
        <v>2907</v>
      </c>
      <c r="C11" t="s">
        <v>2789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2794</v>
      </c>
      <c r="L11" t="s">
        <v>2795</v>
      </c>
      <c r="M11" t="s">
        <v>2796</v>
      </c>
      <c r="N11" s="98" t="s">
        <v>3037</v>
      </c>
      <c r="O11" s="98" t="s">
        <v>36</v>
      </c>
      <c r="P11" t="s">
        <v>2797</v>
      </c>
      <c r="Q11" t="s">
        <v>2713</v>
      </c>
      <c r="R11" t="s">
        <v>36</v>
      </c>
      <c r="S11" t="s">
        <v>36</v>
      </c>
      <c r="T11">
        <v>1.18E-2</v>
      </c>
      <c r="U11">
        <v>2.39</v>
      </c>
      <c r="V11">
        <v>9.86</v>
      </c>
      <c r="W11">
        <f t="shared" si="0"/>
        <v>23.5654</v>
      </c>
      <c r="X11" t="s">
        <v>36</v>
      </c>
    </row>
    <row r="12" spans="1:24" ht="16">
      <c r="A12" t="s">
        <v>12</v>
      </c>
      <c r="B12" t="s">
        <v>2908</v>
      </c>
      <c r="C12" t="s">
        <v>2789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2566</v>
      </c>
      <c r="L12" t="s">
        <v>2567</v>
      </c>
      <c r="M12" t="s">
        <v>2668</v>
      </c>
      <c r="N12" s="98" t="s">
        <v>2600</v>
      </c>
      <c r="O12" s="98" t="s">
        <v>36</v>
      </c>
      <c r="P12" t="s">
        <v>2798</v>
      </c>
      <c r="Q12" t="s">
        <v>2713</v>
      </c>
      <c r="R12" t="s">
        <v>36</v>
      </c>
      <c r="S12" t="s">
        <v>36</v>
      </c>
      <c r="T12">
        <v>8.2000000000000007E-3</v>
      </c>
      <c r="U12">
        <v>1.69</v>
      </c>
      <c r="V12">
        <v>7.03</v>
      </c>
      <c r="W12">
        <f t="shared" si="0"/>
        <v>11.880700000000001</v>
      </c>
      <c r="X12" t="s">
        <v>36</v>
      </c>
    </row>
    <row r="13" spans="1:24" ht="16">
      <c r="A13" t="s">
        <v>12</v>
      </c>
      <c r="B13" t="s">
        <v>2909</v>
      </c>
      <c r="C13" t="s">
        <v>2789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2794</v>
      </c>
      <c r="L13" t="s">
        <v>2795</v>
      </c>
      <c r="M13" t="s">
        <v>2796</v>
      </c>
      <c r="N13" s="98" t="s">
        <v>3037</v>
      </c>
      <c r="O13" s="98" t="s">
        <v>36</v>
      </c>
      <c r="P13" t="s">
        <v>2390</v>
      </c>
      <c r="Q13" t="s">
        <v>2712</v>
      </c>
      <c r="R13" t="s">
        <v>36</v>
      </c>
      <c r="S13" t="s">
        <v>36</v>
      </c>
      <c r="T13">
        <v>3.1E-2</v>
      </c>
      <c r="U13">
        <v>3.32</v>
      </c>
      <c r="V13">
        <v>12.36</v>
      </c>
      <c r="W13">
        <f t="shared" si="0"/>
        <v>41.035199999999996</v>
      </c>
      <c r="X13" t="s">
        <v>36</v>
      </c>
    </row>
    <row r="14" spans="1:24" ht="16">
      <c r="A14" t="s">
        <v>12</v>
      </c>
      <c r="B14" t="s">
        <v>2910</v>
      </c>
      <c r="C14" t="s">
        <v>2789</v>
      </c>
      <c r="D14" t="s">
        <v>36</v>
      </c>
      <c r="E14" t="s">
        <v>36</v>
      </c>
      <c r="F14" t="s">
        <v>36</v>
      </c>
      <c r="G14" t="s">
        <v>36</v>
      </c>
      <c r="H14" t="s">
        <v>36</v>
      </c>
      <c r="I14" t="s">
        <v>36</v>
      </c>
      <c r="J14" t="s">
        <v>36</v>
      </c>
      <c r="K14" t="s">
        <v>2572</v>
      </c>
      <c r="L14" t="s">
        <v>2576</v>
      </c>
      <c r="M14" t="s">
        <v>2799</v>
      </c>
      <c r="N14" s="98" t="s">
        <v>3038</v>
      </c>
      <c r="O14" s="98" t="s">
        <v>36</v>
      </c>
      <c r="P14" t="s">
        <v>2800</v>
      </c>
      <c r="Q14" t="s">
        <v>2713</v>
      </c>
      <c r="R14" t="s">
        <v>36</v>
      </c>
      <c r="S14" t="s">
        <v>36</v>
      </c>
      <c r="T14">
        <v>8.0999999999999996E-3</v>
      </c>
      <c r="U14">
        <v>1.93</v>
      </c>
      <c r="V14">
        <v>8.85</v>
      </c>
      <c r="W14">
        <f t="shared" si="0"/>
        <v>17.080499999999997</v>
      </c>
      <c r="X14" t="s">
        <v>36</v>
      </c>
    </row>
    <row r="15" spans="1:24" ht="16">
      <c r="A15" t="s">
        <v>12</v>
      </c>
      <c r="B15" t="s">
        <v>2911</v>
      </c>
      <c r="C15" t="s">
        <v>2789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2572</v>
      </c>
      <c r="L15" t="s">
        <v>2576</v>
      </c>
      <c r="M15" t="s">
        <v>2799</v>
      </c>
      <c r="N15" s="98" t="s">
        <v>3038</v>
      </c>
      <c r="O15" s="98" t="s">
        <v>36</v>
      </c>
      <c r="P15" t="s">
        <v>2801</v>
      </c>
      <c r="Q15" t="s">
        <v>2712</v>
      </c>
      <c r="R15" t="s">
        <v>36</v>
      </c>
      <c r="S15" t="s">
        <v>36</v>
      </c>
      <c r="T15">
        <v>7.4999999999999997E-3</v>
      </c>
      <c r="U15">
        <v>1.85</v>
      </c>
      <c r="V15">
        <v>9.23</v>
      </c>
      <c r="W15">
        <f t="shared" si="0"/>
        <v>17.075500000000002</v>
      </c>
      <c r="X15" t="s">
        <v>36</v>
      </c>
    </row>
    <row r="16" spans="1:24" ht="16">
      <c r="A16" t="s">
        <v>12</v>
      </c>
      <c r="B16" t="s">
        <v>2912</v>
      </c>
      <c r="C16" t="s">
        <v>2789</v>
      </c>
      <c r="D16" t="s">
        <v>36</v>
      </c>
      <c r="E16" t="s">
        <v>36</v>
      </c>
      <c r="F16" t="s">
        <v>36</v>
      </c>
      <c r="G16" t="s">
        <v>36</v>
      </c>
      <c r="H16" t="s">
        <v>36</v>
      </c>
      <c r="I16" t="s">
        <v>36</v>
      </c>
      <c r="J16" t="s">
        <v>36</v>
      </c>
      <c r="K16" t="s">
        <v>2572</v>
      </c>
      <c r="L16" t="s">
        <v>2576</v>
      </c>
      <c r="M16" t="s">
        <v>2799</v>
      </c>
      <c r="N16" s="98" t="s">
        <v>3038</v>
      </c>
      <c r="O16" s="98" t="s">
        <v>36</v>
      </c>
      <c r="P16" t="s">
        <v>2800</v>
      </c>
      <c r="Q16" t="s">
        <v>2712</v>
      </c>
      <c r="R16" t="s">
        <v>36</v>
      </c>
      <c r="S16" t="s">
        <v>36</v>
      </c>
      <c r="T16">
        <v>1.04E-2</v>
      </c>
      <c r="U16">
        <v>2.23</v>
      </c>
      <c r="V16">
        <v>9.4600000000000009</v>
      </c>
      <c r="W16">
        <f t="shared" si="0"/>
        <v>21.095800000000001</v>
      </c>
      <c r="X16" t="s">
        <v>36</v>
      </c>
    </row>
    <row r="17" spans="1:24" ht="16">
      <c r="A17" t="s">
        <v>12</v>
      </c>
      <c r="B17" t="s">
        <v>2913</v>
      </c>
      <c r="C17" t="s">
        <v>2789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2569</v>
      </c>
      <c r="L17" t="s">
        <v>2570</v>
      </c>
      <c r="M17" t="s">
        <v>2802</v>
      </c>
      <c r="N17" s="98" t="s">
        <v>3039</v>
      </c>
      <c r="O17" s="98" t="s">
        <v>36</v>
      </c>
      <c r="P17" t="s">
        <v>2803</v>
      </c>
      <c r="Q17" t="s">
        <v>2713</v>
      </c>
      <c r="R17" t="s">
        <v>36</v>
      </c>
      <c r="S17" t="s">
        <v>36</v>
      </c>
      <c r="T17">
        <v>1.0500000000000001E-2</v>
      </c>
      <c r="U17">
        <v>2.23</v>
      </c>
      <c r="V17">
        <v>7.79</v>
      </c>
      <c r="W17">
        <f t="shared" si="0"/>
        <v>17.371700000000001</v>
      </c>
      <c r="X17" t="s">
        <v>36</v>
      </c>
    </row>
    <row r="18" spans="1:24" ht="16">
      <c r="A18" t="s">
        <v>12</v>
      </c>
      <c r="B18" t="s">
        <v>2914</v>
      </c>
      <c r="C18" t="s">
        <v>2789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2572</v>
      </c>
      <c r="L18" t="s">
        <v>2576</v>
      </c>
      <c r="M18" t="s">
        <v>2799</v>
      </c>
      <c r="N18" s="98" t="s">
        <v>3038</v>
      </c>
      <c r="O18" s="98" t="s">
        <v>36</v>
      </c>
      <c r="P18" t="s">
        <v>2800</v>
      </c>
      <c r="Q18" t="s">
        <v>2713</v>
      </c>
      <c r="R18" t="s">
        <v>36</v>
      </c>
      <c r="S18" t="s">
        <v>36</v>
      </c>
      <c r="T18">
        <v>2.2100000000000002E-2</v>
      </c>
      <c r="U18">
        <v>3.21</v>
      </c>
      <c r="V18">
        <v>11.81</v>
      </c>
      <c r="W18">
        <f t="shared" si="0"/>
        <v>37.9101</v>
      </c>
      <c r="X18" t="s">
        <v>36</v>
      </c>
    </row>
    <row r="19" spans="1:24" ht="16">
      <c r="A19" t="s">
        <v>12</v>
      </c>
      <c r="B19" t="s">
        <v>2915</v>
      </c>
      <c r="C19" t="s">
        <v>2789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1687</v>
      </c>
      <c r="L19" t="s">
        <v>2564</v>
      </c>
      <c r="M19" t="s">
        <v>2804</v>
      </c>
      <c r="N19" s="98" t="s">
        <v>3040</v>
      </c>
      <c r="O19" s="98" t="s">
        <v>36</v>
      </c>
      <c r="P19" t="s">
        <v>2805</v>
      </c>
      <c r="Q19" t="s">
        <v>2712</v>
      </c>
      <c r="R19" t="s">
        <v>36</v>
      </c>
      <c r="S19" t="s">
        <v>36</v>
      </c>
      <c r="T19">
        <v>5.7999999999999996E-3</v>
      </c>
      <c r="U19">
        <v>0.85</v>
      </c>
      <c r="V19">
        <v>3.92</v>
      </c>
      <c r="W19">
        <f t="shared" si="0"/>
        <v>3.3319999999999999</v>
      </c>
      <c r="X19" t="s">
        <v>36</v>
      </c>
    </row>
    <row r="20" spans="1:24" ht="16">
      <c r="A20" t="s">
        <v>12</v>
      </c>
      <c r="B20" t="s">
        <v>2916</v>
      </c>
      <c r="C20" t="s">
        <v>2789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1687</v>
      </c>
      <c r="L20" t="s">
        <v>2564</v>
      </c>
      <c r="M20" t="s">
        <v>2804</v>
      </c>
      <c r="N20" s="98" t="s">
        <v>3040</v>
      </c>
      <c r="O20" s="98" t="s">
        <v>36</v>
      </c>
      <c r="P20" t="s">
        <v>2805</v>
      </c>
      <c r="Q20" t="s">
        <v>2713</v>
      </c>
      <c r="R20" t="s">
        <v>36</v>
      </c>
      <c r="S20" t="s">
        <v>36</v>
      </c>
      <c r="T20">
        <v>6.4000000000000003E-3</v>
      </c>
      <c r="U20">
        <v>1.1200000000000001</v>
      </c>
      <c r="V20">
        <v>5.04</v>
      </c>
      <c r="W20">
        <f t="shared" si="0"/>
        <v>5.6448000000000009</v>
      </c>
      <c r="X20" t="s">
        <v>36</v>
      </c>
    </row>
    <row r="21" spans="1:24" ht="16">
      <c r="A21" t="s">
        <v>12</v>
      </c>
      <c r="B21" t="s">
        <v>2917</v>
      </c>
      <c r="C21" t="s">
        <v>2789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2625</v>
      </c>
      <c r="L21" t="s">
        <v>2806</v>
      </c>
      <c r="M21" t="s">
        <v>2807</v>
      </c>
      <c r="N21" s="98" t="s">
        <v>2602</v>
      </c>
      <c r="O21" s="98" t="s">
        <v>36</v>
      </c>
      <c r="P21" t="s">
        <v>2808</v>
      </c>
      <c r="Q21" t="s">
        <v>2712</v>
      </c>
      <c r="R21" t="s">
        <v>36</v>
      </c>
      <c r="S21" t="s">
        <v>36</v>
      </c>
      <c r="T21">
        <v>3.8999999999999998E-3</v>
      </c>
      <c r="U21">
        <v>1.3</v>
      </c>
      <c r="V21">
        <v>7.6</v>
      </c>
      <c r="W21">
        <f t="shared" si="0"/>
        <v>9.879999999999999</v>
      </c>
      <c r="X21" t="s">
        <v>36</v>
      </c>
    </row>
    <row r="22" spans="1:24" ht="16">
      <c r="A22" t="s">
        <v>12</v>
      </c>
      <c r="B22" t="s">
        <v>2918</v>
      </c>
      <c r="C22" t="s">
        <v>2789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1687</v>
      </c>
      <c r="L22" t="s">
        <v>2564</v>
      </c>
      <c r="M22" t="s">
        <v>2809</v>
      </c>
      <c r="N22" s="98" t="s">
        <v>2742</v>
      </c>
      <c r="O22" s="98" t="s">
        <v>36</v>
      </c>
      <c r="P22" t="s">
        <v>2810</v>
      </c>
      <c r="Q22" t="s">
        <v>2713</v>
      </c>
      <c r="R22" t="s">
        <v>36</v>
      </c>
      <c r="S22" t="s">
        <v>36</v>
      </c>
      <c r="T22">
        <v>0.1948</v>
      </c>
      <c r="U22">
        <v>8.02</v>
      </c>
      <c r="V22">
        <v>21</v>
      </c>
      <c r="W22">
        <f t="shared" si="0"/>
        <v>168.42</v>
      </c>
      <c r="X22" t="s">
        <v>36</v>
      </c>
    </row>
    <row r="23" spans="1:24" ht="16">
      <c r="A23" t="s">
        <v>12</v>
      </c>
      <c r="B23" t="s">
        <v>2919</v>
      </c>
      <c r="C23" t="s">
        <v>2789</v>
      </c>
      <c r="D23" t="s">
        <v>36</v>
      </c>
      <c r="E23" t="s">
        <v>36</v>
      </c>
      <c r="F23" t="s">
        <v>36</v>
      </c>
      <c r="G23" t="s">
        <v>36</v>
      </c>
      <c r="H23" t="s">
        <v>36</v>
      </c>
      <c r="I23" t="s">
        <v>36</v>
      </c>
      <c r="J23" t="s">
        <v>36</v>
      </c>
      <c r="K23" t="s">
        <v>1687</v>
      </c>
      <c r="L23" t="s">
        <v>2564</v>
      </c>
      <c r="M23" t="s">
        <v>2809</v>
      </c>
      <c r="N23" s="98" t="s">
        <v>2742</v>
      </c>
      <c r="O23" s="98" t="s">
        <v>36</v>
      </c>
      <c r="P23" t="s">
        <v>2811</v>
      </c>
      <c r="Q23" t="s">
        <v>2712</v>
      </c>
      <c r="R23" t="s">
        <v>36</v>
      </c>
      <c r="S23" t="s">
        <v>36</v>
      </c>
      <c r="T23">
        <v>9.5600000000000004E-2</v>
      </c>
      <c r="U23">
        <v>5.91</v>
      </c>
      <c r="V23">
        <v>16.05</v>
      </c>
      <c r="W23">
        <f t="shared" si="0"/>
        <v>94.855500000000006</v>
      </c>
      <c r="X23" t="s">
        <v>36</v>
      </c>
    </row>
    <row r="24" spans="1:24" ht="16">
      <c r="A24" t="s">
        <v>12</v>
      </c>
      <c r="B24" t="s">
        <v>2920</v>
      </c>
      <c r="C24" t="s">
        <v>2789</v>
      </c>
      <c r="D24" t="s">
        <v>36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1687</v>
      </c>
      <c r="L24" t="s">
        <v>2564</v>
      </c>
      <c r="M24" t="s">
        <v>2809</v>
      </c>
      <c r="N24" s="98" t="s">
        <v>2742</v>
      </c>
      <c r="O24" s="98" t="s">
        <v>36</v>
      </c>
      <c r="P24" t="s">
        <v>2811</v>
      </c>
      <c r="Q24" t="s">
        <v>2713</v>
      </c>
      <c r="R24" t="s">
        <v>36</v>
      </c>
      <c r="S24" t="s">
        <v>36</v>
      </c>
      <c r="T24">
        <v>0.1002</v>
      </c>
      <c r="U24">
        <v>5.71</v>
      </c>
      <c r="V24">
        <v>17.03</v>
      </c>
      <c r="W24">
        <f t="shared" si="0"/>
        <v>97.24130000000001</v>
      </c>
      <c r="X24" t="s">
        <v>36</v>
      </c>
    </row>
    <row r="25" spans="1:24" ht="16">
      <c r="A25" t="s">
        <v>12</v>
      </c>
      <c r="B25" t="s">
        <v>2921</v>
      </c>
      <c r="C25" t="s">
        <v>2789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1687</v>
      </c>
      <c r="L25" t="s">
        <v>2563</v>
      </c>
      <c r="M25" t="s">
        <v>2568</v>
      </c>
      <c r="N25" s="98" t="s">
        <v>3041</v>
      </c>
      <c r="O25" s="98" t="s">
        <v>36</v>
      </c>
      <c r="P25" t="s">
        <v>2812</v>
      </c>
      <c r="Q25" t="s">
        <v>2712</v>
      </c>
      <c r="R25" t="s">
        <v>36</v>
      </c>
      <c r="S25" t="s">
        <v>36</v>
      </c>
      <c r="T25">
        <v>5.0299999999999997E-2</v>
      </c>
      <c r="U25">
        <v>3.76</v>
      </c>
      <c r="V25">
        <v>13.04</v>
      </c>
      <c r="W25">
        <f t="shared" si="0"/>
        <v>49.030399999999993</v>
      </c>
      <c r="X25" t="s">
        <v>36</v>
      </c>
    </row>
    <row r="26" spans="1:24" ht="16">
      <c r="A26" t="s">
        <v>12</v>
      </c>
      <c r="B26" t="s">
        <v>2922</v>
      </c>
      <c r="C26" t="s">
        <v>2789</v>
      </c>
      <c r="D26" t="s">
        <v>36</v>
      </c>
      <c r="E26" t="s">
        <v>36</v>
      </c>
      <c r="F26" t="s">
        <v>36</v>
      </c>
      <c r="G26" t="s">
        <v>36</v>
      </c>
      <c r="H26" t="s">
        <v>36</v>
      </c>
      <c r="I26" t="s">
        <v>36</v>
      </c>
      <c r="J26" t="s">
        <v>36</v>
      </c>
      <c r="K26" t="s">
        <v>1687</v>
      </c>
      <c r="L26" t="s">
        <v>2563</v>
      </c>
      <c r="M26" t="s">
        <v>2814</v>
      </c>
      <c r="N26" s="98" t="s">
        <v>907</v>
      </c>
      <c r="O26" s="98" t="s">
        <v>36</v>
      </c>
      <c r="P26" t="s">
        <v>1722</v>
      </c>
      <c r="Q26" t="s">
        <v>2813</v>
      </c>
      <c r="R26" t="s">
        <v>36</v>
      </c>
      <c r="S26" t="s">
        <v>36</v>
      </c>
      <c r="T26">
        <v>6.4600000000000005E-2</v>
      </c>
      <c r="U26">
        <v>5.04</v>
      </c>
      <c r="V26">
        <v>17.260000000000002</v>
      </c>
      <c r="W26">
        <f t="shared" si="0"/>
        <v>86.990400000000008</v>
      </c>
      <c r="X26" t="s">
        <v>36</v>
      </c>
    </row>
    <row r="27" spans="1:24" ht="16">
      <c r="A27" t="s">
        <v>12</v>
      </c>
      <c r="B27" t="s">
        <v>2923</v>
      </c>
      <c r="C27" t="s">
        <v>2789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1687</v>
      </c>
      <c r="L27" t="s">
        <v>2563</v>
      </c>
      <c r="M27" t="s">
        <v>2814</v>
      </c>
      <c r="N27" s="98" t="s">
        <v>907</v>
      </c>
      <c r="O27" s="98" t="s">
        <v>36</v>
      </c>
      <c r="P27" t="s">
        <v>1722</v>
      </c>
      <c r="Q27" t="s">
        <v>2813</v>
      </c>
      <c r="R27" t="s">
        <v>36</v>
      </c>
      <c r="S27" t="s">
        <v>36</v>
      </c>
      <c r="T27">
        <v>6.4600000000000005E-2</v>
      </c>
      <c r="U27">
        <v>5.25</v>
      </c>
      <c r="V27">
        <v>16.7</v>
      </c>
      <c r="W27">
        <f t="shared" si="0"/>
        <v>87.674999999999997</v>
      </c>
      <c r="X27" t="s">
        <v>36</v>
      </c>
    </row>
    <row r="28" spans="1:24" ht="16">
      <c r="A28" t="s">
        <v>12</v>
      </c>
      <c r="B28" t="s">
        <v>2924</v>
      </c>
      <c r="C28" t="s">
        <v>2789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1687</v>
      </c>
      <c r="L28" t="s">
        <v>2563</v>
      </c>
      <c r="M28" t="s">
        <v>2710</v>
      </c>
      <c r="N28" s="98" t="s">
        <v>2403</v>
      </c>
      <c r="O28" s="98" t="s">
        <v>36</v>
      </c>
      <c r="P28" t="s">
        <v>2404</v>
      </c>
      <c r="Q28" t="s">
        <v>2813</v>
      </c>
      <c r="R28" t="s">
        <v>36</v>
      </c>
      <c r="S28" t="s">
        <v>36</v>
      </c>
      <c r="T28">
        <v>2.63E-2</v>
      </c>
      <c r="U28">
        <v>3.08</v>
      </c>
      <c r="V28">
        <v>11.17</v>
      </c>
      <c r="W28">
        <f t="shared" si="0"/>
        <v>34.403599999999997</v>
      </c>
      <c r="X28" t="s">
        <v>36</v>
      </c>
    </row>
    <row r="29" spans="1:24" ht="16">
      <c r="A29" t="s">
        <v>12</v>
      </c>
      <c r="B29" t="s">
        <v>2925</v>
      </c>
      <c r="C29" t="s">
        <v>2789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1687</v>
      </c>
      <c r="L29" t="s">
        <v>2563</v>
      </c>
      <c r="M29" t="s">
        <v>2710</v>
      </c>
      <c r="N29" s="98" t="s">
        <v>2403</v>
      </c>
      <c r="O29" s="98" t="s">
        <v>36</v>
      </c>
      <c r="P29" t="s">
        <v>2404</v>
      </c>
      <c r="Q29" t="s">
        <v>2813</v>
      </c>
      <c r="R29" t="s">
        <v>36</v>
      </c>
      <c r="S29" t="s">
        <v>36</v>
      </c>
      <c r="T29">
        <v>2.52E-2</v>
      </c>
      <c r="U29">
        <v>3.15</v>
      </c>
      <c r="V29">
        <v>11.98</v>
      </c>
      <c r="W29">
        <f t="shared" si="0"/>
        <v>37.737000000000002</v>
      </c>
      <c r="X29" t="s">
        <v>36</v>
      </c>
    </row>
    <row r="30" spans="1:24" ht="16">
      <c r="A30" t="s">
        <v>12</v>
      </c>
      <c r="B30" t="s">
        <v>2926</v>
      </c>
      <c r="C30" t="s">
        <v>2789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2625</v>
      </c>
      <c r="L30" t="s">
        <v>2815</v>
      </c>
      <c r="M30" t="s">
        <v>2816</v>
      </c>
      <c r="N30" s="98" t="s">
        <v>3042</v>
      </c>
      <c r="O30" s="98" t="s">
        <v>36</v>
      </c>
      <c r="P30" t="s">
        <v>2817</v>
      </c>
      <c r="Q30" t="s">
        <v>2712</v>
      </c>
      <c r="R30" t="s">
        <v>36</v>
      </c>
      <c r="S30" t="s">
        <v>36</v>
      </c>
      <c r="T30">
        <v>1.49E-2</v>
      </c>
      <c r="U30">
        <v>2.16</v>
      </c>
      <c r="V30">
        <v>13.01</v>
      </c>
      <c r="W30">
        <f t="shared" si="0"/>
        <v>28.101600000000001</v>
      </c>
      <c r="X30" t="s">
        <v>36</v>
      </c>
    </row>
    <row r="31" spans="1:24" ht="16">
      <c r="A31" t="s">
        <v>12</v>
      </c>
      <c r="B31" t="s">
        <v>2927</v>
      </c>
      <c r="C31" t="s">
        <v>2789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2625</v>
      </c>
      <c r="L31" t="s">
        <v>2806</v>
      </c>
      <c r="M31" t="s">
        <v>2807</v>
      </c>
      <c r="N31" s="98" t="s">
        <v>2602</v>
      </c>
      <c r="O31" s="98" t="s">
        <v>36</v>
      </c>
      <c r="P31" t="s">
        <v>2818</v>
      </c>
      <c r="Q31" t="s">
        <v>2713</v>
      </c>
      <c r="R31" t="s">
        <v>36</v>
      </c>
      <c r="S31" t="s">
        <v>36</v>
      </c>
      <c r="T31">
        <v>7.7999999999999996E-3</v>
      </c>
      <c r="U31">
        <v>1.51</v>
      </c>
      <c r="V31">
        <v>7.28</v>
      </c>
      <c r="W31">
        <f t="shared" si="0"/>
        <v>10.992800000000001</v>
      </c>
      <c r="X31" t="s">
        <v>36</v>
      </c>
    </row>
    <row r="32" spans="1:24" ht="16">
      <c r="A32" t="s">
        <v>12</v>
      </c>
      <c r="B32" t="s">
        <v>2928</v>
      </c>
      <c r="C32" t="s">
        <v>2789</v>
      </c>
      <c r="D32" t="s">
        <v>36</v>
      </c>
      <c r="E32" t="s">
        <v>36</v>
      </c>
      <c r="F32" t="s">
        <v>36</v>
      </c>
      <c r="G32" t="s">
        <v>36</v>
      </c>
      <c r="H32" t="s">
        <v>36</v>
      </c>
      <c r="I32" t="s">
        <v>36</v>
      </c>
      <c r="J32" t="s">
        <v>36</v>
      </c>
      <c r="K32" t="s">
        <v>2625</v>
      </c>
      <c r="L32" t="s">
        <v>2815</v>
      </c>
      <c r="M32" t="s">
        <v>2816</v>
      </c>
      <c r="N32" s="98" t="s">
        <v>3043</v>
      </c>
      <c r="O32" s="98" t="s">
        <v>36</v>
      </c>
      <c r="P32" t="s">
        <v>2819</v>
      </c>
      <c r="Q32" t="s">
        <v>2712</v>
      </c>
      <c r="R32" t="s">
        <v>36</v>
      </c>
      <c r="S32" t="s">
        <v>36</v>
      </c>
      <c r="T32">
        <v>9.6000000000000002E-2</v>
      </c>
      <c r="U32">
        <v>1.85</v>
      </c>
      <c r="V32">
        <v>9.66</v>
      </c>
      <c r="W32">
        <f t="shared" si="0"/>
        <v>17.871000000000002</v>
      </c>
      <c r="X32" t="s">
        <v>36</v>
      </c>
    </row>
    <row r="33" spans="1:24" ht="16">
      <c r="A33" t="s">
        <v>12</v>
      </c>
      <c r="B33" t="s">
        <v>2929</v>
      </c>
      <c r="C33" t="s">
        <v>2789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2625</v>
      </c>
      <c r="L33" t="s">
        <v>2815</v>
      </c>
      <c r="M33" t="s">
        <v>2816</v>
      </c>
      <c r="N33" s="98" t="s">
        <v>3043</v>
      </c>
      <c r="O33" s="98" t="s">
        <v>36</v>
      </c>
      <c r="P33" t="s">
        <v>2819</v>
      </c>
      <c r="Q33" t="s">
        <v>2713</v>
      </c>
      <c r="R33" t="s">
        <v>36</v>
      </c>
      <c r="S33" t="s">
        <v>36</v>
      </c>
      <c r="T33">
        <v>9.2999999999999992E-3</v>
      </c>
      <c r="U33">
        <v>1.81</v>
      </c>
      <c r="V33">
        <v>7.37</v>
      </c>
      <c r="W33">
        <f t="shared" si="0"/>
        <v>13.339700000000001</v>
      </c>
      <c r="X33" t="s">
        <v>36</v>
      </c>
    </row>
    <row r="34" spans="1:24" ht="16">
      <c r="A34" t="s">
        <v>12</v>
      </c>
      <c r="B34" t="s">
        <v>2930</v>
      </c>
      <c r="C34" t="s">
        <v>2789</v>
      </c>
      <c r="D34" t="s">
        <v>36</v>
      </c>
      <c r="E34" t="s">
        <v>36</v>
      </c>
      <c r="F34" t="s">
        <v>36</v>
      </c>
      <c r="G34" t="s">
        <v>36</v>
      </c>
      <c r="H34" t="s">
        <v>36</v>
      </c>
      <c r="I34" t="s">
        <v>36</v>
      </c>
      <c r="J34" t="s">
        <v>36</v>
      </c>
      <c r="K34" t="s">
        <v>2625</v>
      </c>
      <c r="L34" t="s">
        <v>2815</v>
      </c>
      <c r="M34" t="s">
        <v>2816</v>
      </c>
      <c r="N34" s="98" t="s">
        <v>3042</v>
      </c>
      <c r="O34" s="98" t="s">
        <v>36</v>
      </c>
      <c r="P34" t="s">
        <v>2820</v>
      </c>
      <c r="Q34" t="s">
        <v>2712</v>
      </c>
      <c r="R34" t="s">
        <v>36</v>
      </c>
      <c r="S34" t="s">
        <v>36</v>
      </c>
      <c r="T34">
        <v>9.1999999999999998E-3</v>
      </c>
      <c r="U34">
        <v>1.98</v>
      </c>
      <c r="V34">
        <v>9.27</v>
      </c>
      <c r="W34">
        <f t="shared" si="0"/>
        <v>18.354599999999998</v>
      </c>
      <c r="X34" t="s">
        <v>36</v>
      </c>
    </row>
    <row r="35" spans="1:24" ht="16">
      <c r="A35" t="s">
        <v>12</v>
      </c>
      <c r="B35" t="s">
        <v>2931</v>
      </c>
      <c r="C35" t="s">
        <v>2789</v>
      </c>
      <c r="D35" t="s">
        <v>36</v>
      </c>
      <c r="E35" t="s">
        <v>36</v>
      </c>
      <c r="F35" t="s">
        <v>36</v>
      </c>
      <c r="G35" t="s">
        <v>36</v>
      </c>
      <c r="H35" t="s">
        <v>36</v>
      </c>
      <c r="I35" t="s">
        <v>36</v>
      </c>
      <c r="J35" t="s">
        <v>36</v>
      </c>
      <c r="K35" t="s">
        <v>2625</v>
      </c>
      <c r="L35" t="s">
        <v>2815</v>
      </c>
      <c r="M35" t="s">
        <v>2816</v>
      </c>
      <c r="N35" s="98" t="s">
        <v>3042</v>
      </c>
      <c r="O35" s="98" t="s">
        <v>36</v>
      </c>
      <c r="P35" t="s">
        <v>2821</v>
      </c>
      <c r="Q35" t="s">
        <v>2712</v>
      </c>
      <c r="R35" t="s">
        <v>36</v>
      </c>
      <c r="S35" t="s">
        <v>36</v>
      </c>
      <c r="T35">
        <v>9.7000000000000003E-3</v>
      </c>
      <c r="U35">
        <v>1.81</v>
      </c>
      <c r="V35">
        <v>8.82</v>
      </c>
      <c r="W35">
        <f t="shared" si="0"/>
        <v>15.964200000000002</v>
      </c>
      <c r="X35" t="s">
        <v>36</v>
      </c>
    </row>
    <row r="36" spans="1:24" ht="16">
      <c r="A36" t="s">
        <v>12</v>
      </c>
      <c r="B36" t="s">
        <v>2932</v>
      </c>
      <c r="C36" t="s">
        <v>2789</v>
      </c>
      <c r="D36" t="s">
        <v>36</v>
      </c>
      <c r="E36" t="s">
        <v>36</v>
      </c>
      <c r="F36" t="s">
        <v>36</v>
      </c>
      <c r="G36" t="s">
        <v>36</v>
      </c>
      <c r="H36" t="s">
        <v>36</v>
      </c>
      <c r="I36" t="s">
        <v>36</v>
      </c>
      <c r="J36" t="s">
        <v>36</v>
      </c>
      <c r="K36" t="s">
        <v>2625</v>
      </c>
      <c r="L36" t="s">
        <v>2815</v>
      </c>
      <c r="M36" t="s">
        <v>2816</v>
      </c>
      <c r="N36" s="98" t="s">
        <v>3042</v>
      </c>
      <c r="O36" s="98" t="s">
        <v>36</v>
      </c>
      <c r="P36" t="s">
        <v>2820</v>
      </c>
      <c r="Q36" t="s">
        <v>2712</v>
      </c>
      <c r="R36" t="s">
        <v>36</v>
      </c>
      <c r="S36" t="s">
        <v>36</v>
      </c>
      <c r="T36">
        <v>6.1999999999999998E-3</v>
      </c>
      <c r="U36">
        <v>1.51</v>
      </c>
      <c r="V36">
        <v>7.54</v>
      </c>
      <c r="W36">
        <f t="shared" si="0"/>
        <v>11.385400000000001</v>
      </c>
      <c r="X36" t="s">
        <v>36</v>
      </c>
    </row>
    <row r="37" spans="1:24" ht="16">
      <c r="A37" t="s">
        <v>12</v>
      </c>
      <c r="B37" t="s">
        <v>2933</v>
      </c>
      <c r="C37" t="s">
        <v>2789</v>
      </c>
      <c r="D37" t="s">
        <v>36</v>
      </c>
      <c r="E37" t="s">
        <v>36</v>
      </c>
      <c r="F37" t="s">
        <v>36</v>
      </c>
      <c r="G37" t="s">
        <v>36</v>
      </c>
      <c r="H37" t="s">
        <v>36</v>
      </c>
      <c r="I37" t="s">
        <v>36</v>
      </c>
      <c r="J37" t="s">
        <v>36</v>
      </c>
      <c r="K37" t="s">
        <v>2625</v>
      </c>
      <c r="L37" t="s">
        <v>2806</v>
      </c>
      <c r="M37" t="s">
        <v>2807</v>
      </c>
      <c r="N37" s="98" t="s">
        <v>2602</v>
      </c>
      <c r="O37" s="98" t="s">
        <v>36</v>
      </c>
      <c r="P37" t="s">
        <v>2822</v>
      </c>
      <c r="Q37" t="s">
        <v>2713</v>
      </c>
      <c r="R37" t="s">
        <v>36</v>
      </c>
      <c r="S37" t="s">
        <v>36</v>
      </c>
      <c r="T37">
        <v>1.11E-2</v>
      </c>
      <c r="U37">
        <v>1.93</v>
      </c>
      <c r="V37">
        <v>9.2799999999999994</v>
      </c>
      <c r="W37">
        <f t="shared" si="0"/>
        <v>17.910399999999999</v>
      </c>
      <c r="X37" t="s">
        <v>36</v>
      </c>
    </row>
    <row r="38" spans="1:24" ht="16">
      <c r="A38" t="s">
        <v>12</v>
      </c>
      <c r="B38" t="s">
        <v>2934</v>
      </c>
      <c r="C38" t="s">
        <v>2789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2625</v>
      </c>
      <c r="L38" t="s">
        <v>2806</v>
      </c>
      <c r="M38" t="s">
        <v>2807</v>
      </c>
      <c r="N38" s="98" t="s">
        <v>2602</v>
      </c>
      <c r="O38" s="98" t="s">
        <v>36</v>
      </c>
      <c r="P38" t="s">
        <v>2808</v>
      </c>
      <c r="Q38" t="s">
        <v>2713</v>
      </c>
      <c r="R38" t="s">
        <v>36</v>
      </c>
      <c r="S38" t="s">
        <v>36</v>
      </c>
      <c r="T38">
        <v>1.72E-2</v>
      </c>
      <c r="U38">
        <v>2.56</v>
      </c>
      <c r="V38">
        <v>12.66</v>
      </c>
      <c r="W38">
        <f t="shared" si="0"/>
        <v>32.409599999999998</v>
      </c>
      <c r="X38" t="s">
        <v>36</v>
      </c>
    </row>
    <row r="39" spans="1:24" ht="16">
      <c r="A39" t="s">
        <v>12</v>
      </c>
      <c r="B39" t="s">
        <v>2935</v>
      </c>
      <c r="C39" t="s">
        <v>2789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2625</v>
      </c>
      <c r="L39" t="s">
        <v>2806</v>
      </c>
      <c r="M39" t="s">
        <v>2807</v>
      </c>
      <c r="N39" s="98" t="s">
        <v>2602</v>
      </c>
      <c r="O39" s="98" t="s">
        <v>36</v>
      </c>
      <c r="P39" t="s">
        <v>2823</v>
      </c>
      <c r="Q39" t="s">
        <v>2712</v>
      </c>
      <c r="R39" t="s">
        <v>36</v>
      </c>
      <c r="S39" t="s">
        <v>36</v>
      </c>
      <c r="T39">
        <v>1.0800000000000001E-2</v>
      </c>
      <c r="U39">
        <v>1.94</v>
      </c>
      <c r="V39">
        <v>9.7100000000000009</v>
      </c>
      <c r="W39">
        <f t="shared" si="0"/>
        <v>18.837400000000002</v>
      </c>
      <c r="X39" t="s">
        <v>36</v>
      </c>
    </row>
    <row r="40" spans="1:24" ht="16">
      <c r="A40" t="s">
        <v>12</v>
      </c>
      <c r="B40" t="s">
        <v>2936</v>
      </c>
      <c r="C40" t="s">
        <v>2789</v>
      </c>
      <c r="D40" t="s">
        <v>36</v>
      </c>
      <c r="E40" t="s">
        <v>36</v>
      </c>
      <c r="F40" t="s">
        <v>36</v>
      </c>
      <c r="G40" t="s">
        <v>36</v>
      </c>
      <c r="H40" t="s">
        <v>36</v>
      </c>
      <c r="I40" t="s">
        <v>36</v>
      </c>
      <c r="J40" t="s">
        <v>36</v>
      </c>
      <c r="K40" t="s">
        <v>2625</v>
      </c>
      <c r="L40" t="s">
        <v>2806</v>
      </c>
      <c r="M40" t="s">
        <v>2807</v>
      </c>
      <c r="N40" s="98" t="s">
        <v>2602</v>
      </c>
      <c r="O40" s="98" t="s">
        <v>36</v>
      </c>
      <c r="P40" t="s">
        <v>2824</v>
      </c>
      <c r="Q40" t="s">
        <v>2713</v>
      </c>
      <c r="R40" t="s">
        <v>36</v>
      </c>
      <c r="S40" t="s">
        <v>36</v>
      </c>
      <c r="T40">
        <v>4.36E-2</v>
      </c>
      <c r="U40">
        <v>3.21</v>
      </c>
      <c r="V40">
        <v>15.8</v>
      </c>
      <c r="W40">
        <f t="shared" si="0"/>
        <v>50.718000000000004</v>
      </c>
      <c r="X40" t="s">
        <v>36</v>
      </c>
    </row>
    <row r="41" spans="1:24" ht="16">
      <c r="A41" t="s">
        <v>12</v>
      </c>
      <c r="B41" t="s">
        <v>2937</v>
      </c>
      <c r="C41" t="s">
        <v>2789</v>
      </c>
      <c r="D41" t="s">
        <v>36</v>
      </c>
      <c r="E41" t="s">
        <v>36</v>
      </c>
      <c r="F41" t="s">
        <v>36</v>
      </c>
      <c r="G41" t="s">
        <v>36</v>
      </c>
      <c r="H41" t="s">
        <v>36</v>
      </c>
      <c r="I41" t="s">
        <v>36</v>
      </c>
      <c r="J41" t="s">
        <v>36</v>
      </c>
      <c r="K41" t="s">
        <v>2625</v>
      </c>
      <c r="L41" t="s">
        <v>2806</v>
      </c>
      <c r="M41" t="s">
        <v>2807</v>
      </c>
      <c r="N41" s="98" t="s">
        <v>2602</v>
      </c>
      <c r="O41" s="98" t="s">
        <v>36</v>
      </c>
      <c r="P41" t="s">
        <v>2825</v>
      </c>
      <c r="Q41" t="s">
        <v>2713</v>
      </c>
      <c r="R41" t="s">
        <v>36</v>
      </c>
      <c r="S41" t="s">
        <v>36</v>
      </c>
      <c r="T41">
        <v>7.1000000000000004E-3</v>
      </c>
      <c r="U41">
        <v>1.52</v>
      </c>
      <c r="V41">
        <v>8.35</v>
      </c>
      <c r="W41">
        <f t="shared" si="0"/>
        <v>12.692</v>
      </c>
      <c r="X41" t="s">
        <v>36</v>
      </c>
    </row>
    <row r="42" spans="1:24" ht="16">
      <c r="A42" t="s">
        <v>12</v>
      </c>
      <c r="B42" t="s">
        <v>2938</v>
      </c>
      <c r="C42" t="s">
        <v>2789</v>
      </c>
      <c r="D42" t="s">
        <v>36</v>
      </c>
      <c r="E42" t="s">
        <v>36</v>
      </c>
      <c r="F42" t="s">
        <v>36</v>
      </c>
      <c r="G42" t="s">
        <v>36</v>
      </c>
      <c r="H42" t="s">
        <v>36</v>
      </c>
      <c r="I42" t="s">
        <v>36</v>
      </c>
      <c r="J42" t="s">
        <v>36</v>
      </c>
      <c r="K42" t="s">
        <v>2625</v>
      </c>
      <c r="L42" t="s">
        <v>2806</v>
      </c>
      <c r="M42" t="s">
        <v>2807</v>
      </c>
      <c r="N42" s="98" t="s">
        <v>2602</v>
      </c>
      <c r="O42" s="98" t="s">
        <v>36</v>
      </c>
      <c r="P42" t="s">
        <v>2660</v>
      </c>
      <c r="Q42" t="s">
        <v>2713</v>
      </c>
      <c r="R42" t="s">
        <v>36</v>
      </c>
      <c r="S42" t="s">
        <v>36</v>
      </c>
      <c r="T42">
        <v>8.5000000000000006E-3</v>
      </c>
      <c r="U42">
        <v>2.75</v>
      </c>
      <c r="V42">
        <v>13.43</v>
      </c>
      <c r="W42">
        <f t="shared" si="0"/>
        <v>36.932499999999997</v>
      </c>
      <c r="X42" t="s">
        <v>36</v>
      </c>
    </row>
    <row r="43" spans="1:24" ht="16">
      <c r="A43" t="s">
        <v>12</v>
      </c>
      <c r="B43" t="s">
        <v>2939</v>
      </c>
      <c r="C43" t="s">
        <v>2789</v>
      </c>
      <c r="D43" t="s">
        <v>36</v>
      </c>
      <c r="E43" t="s">
        <v>36</v>
      </c>
      <c r="F43" t="s">
        <v>36</v>
      </c>
      <c r="G43" t="s">
        <v>36</v>
      </c>
      <c r="H43" t="s">
        <v>36</v>
      </c>
      <c r="I43" t="s">
        <v>36</v>
      </c>
      <c r="J43" t="s">
        <v>36</v>
      </c>
      <c r="K43" t="s">
        <v>2625</v>
      </c>
      <c r="L43" t="s">
        <v>2806</v>
      </c>
      <c r="M43" t="s">
        <v>2807</v>
      </c>
      <c r="N43" s="98" t="s">
        <v>2602</v>
      </c>
      <c r="O43" s="98" t="s">
        <v>36</v>
      </c>
      <c r="P43" t="s">
        <v>2826</v>
      </c>
      <c r="Q43" t="s">
        <v>2712</v>
      </c>
      <c r="R43" t="s">
        <v>36</v>
      </c>
      <c r="S43" t="s">
        <v>36</v>
      </c>
      <c r="T43">
        <v>9.9000000000000008E-3</v>
      </c>
      <c r="U43">
        <v>2.33</v>
      </c>
      <c r="V43">
        <v>12.98</v>
      </c>
      <c r="W43">
        <f t="shared" si="0"/>
        <v>30.243400000000001</v>
      </c>
      <c r="X43" t="s">
        <v>36</v>
      </c>
    </row>
    <row r="44" spans="1:24" ht="16">
      <c r="A44" t="s">
        <v>12</v>
      </c>
      <c r="B44" t="s">
        <v>2940</v>
      </c>
      <c r="C44" t="s">
        <v>2789</v>
      </c>
      <c r="D44" t="s">
        <v>36</v>
      </c>
      <c r="E44" t="s">
        <v>36</v>
      </c>
      <c r="F44" t="s">
        <v>36</v>
      </c>
      <c r="G44" t="s">
        <v>36</v>
      </c>
      <c r="H44" t="s">
        <v>36</v>
      </c>
      <c r="I44" t="s">
        <v>36</v>
      </c>
      <c r="J44" t="s">
        <v>36</v>
      </c>
      <c r="K44" t="s">
        <v>2625</v>
      </c>
      <c r="L44" t="s">
        <v>2806</v>
      </c>
      <c r="M44" t="s">
        <v>2807</v>
      </c>
      <c r="N44" s="98" t="s">
        <v>2602</v>
      </c>
      <c r="O44" s="98" t="s">
        <v>36</v>
      </c>
      <c r="P44" t="s">
        <v>2826</v>
      </c>
      <c r="Q44" t="s">
        <v>2713</v>
      </c>
      <c r="R44" t="s">
        <v>36</v>
      </c>
      <c r="S44" t="s">
        <v>36</v>
      </c>
      <c r="T44">
        <v>4.5699999999999998E-2</v>
      </c>
      <c r="U44">
        <v>2.95</v>
      </c>
      <c r="V44">
        <v>15.73</v>
      </c>
      <c r="W44">
        <f t="shared" si="0"/>
        <v>46.403500000000001</v>
      </c>
      <c r="X44" t="s">
        <v>36</v>
      </c>
    </row>
    <row r="45" spans="1:24" ht="16">
      <c r="A45" t="s">
        <v>12</v>
      </c>
      <c r="B45" t="s">
        <v>2941</v>
      </c>
      <c r="C45" t="s">
        <v>2789</v>
      </c>
      <c r="D45" t="s">
        <v>36</v>
      </c>
      <c r="E45" t="s">
        <v>36</v>
      </c>
      <c r="F45" t="s">
        <v>36</v>
      </c>
      <c r="G45" t="s">
        <v>36</v>
      </c>
      <c r="H45" t="s">
        <v>36</v>
      </c>
      <c r="I45" t="s">
        <v>36</v>
      </c>
      <c r="J45" t="s">
        <v>36</v>
      </c>
      <c r="K45" t="s">
        <v>2566</v>
      </c>
      <c r="L45" t="s">
        <v>2567</v>
      </c>
      <c r="M45" t="s">
        <v>2668</v>
      </c>
      <c r="N45" s="98" t="s">
        <v>2600</v>
      </c>
      <c r="O45" s="98" t="s">
        <v>36</v>
      </c>
      <c r="P45" t="s">
        <v>2827</v>
      </c>
      <c r="Q45" t="s">
        <v>2712</v>
      </c>
      <c r="R45" t="s">
        <v>36</v>
      </c>
      <c r="S45" t="s">
        <v>36</v>
      </c>
      <c r="T45">
        <v>5.8999999999999999E-3</v>
      </c>
      <c r="U45">
        <v>1.36</v>
      </c>
      <c r="V45">
        <v>6.82</v>
      </c>
      <c r="W45">
        <f t="shared" si="0"/>
        <v>9.2752000000000017</v>
      </c>
      <c r="X45" t="s">
        <v>36</v>
      </c>
    </row>
    <row r="46" spans="1:24" ht="16">
      <c r="A46" t="s">
        <v>12</v>
      </c>
      <c r="B46" t="s">
        <v>2942</v>
      </c>
      <c r="C46" t="s">
        <v>2789</v>
      </c>
      <c r="D46" t="s">
        <v>36</v>
      </c>
      <c r="E46" t="s">
        <v>36</v>
      </c>
      <c r="F46" t="s">
        <v>36</v>
      </c>
      <c r="G46" t="s">
        <v>36</v>
      </c>
      <c r="H46" t="s">
        <v>36</v>
      </c>
      <c r="I46" t="s">
        <v>36</v>
      </c>
      <c r="J46" t="s">
        <v>36</v>
      </c>
      <c r="K46" t="s">
        <v>2625</v>
      </c>
      <c r="L46" t="s">
        <v>2815</v>
      </c>
      <c r="M46" t="s">
        <v>2816</v>
      </c>
      <c r="N46" s="98" t="s">
        <v>3042</v>
      </c>
      <c r="O46" s="98" t="s">
        <v>36</v>
      </c>
      <c r="P46" t="s">
        <v>2820</v>
      </c>
      <c r="Q46" t="s">
        <v>2713</v>
      </c>
      <c r="R46" t="s">
        <v>36</v>
      </c>
      <c r="S46" t="s">
        <v>36</v>
      </c>
      <c r="T46">
        <v>9.4999999999999998E-3</v>
      </c>
      <c r="U46">
        <v>2.06</v>
      </c>
      <c r="V46">
        <v>9.98</v>
      </c>
      <c r="W46">
        <f t="shared" si="0"/>
        <v>20.558800000000002</v>
      </c>
      <c r="X46" t="s">
        <v>36</v>
      </c>
    </row>
    <row r="47" spans="1:24" ht="16">
      <c r="A47" t="s">
        <v>12</v>
      </c>
      <c r="B47" t="s">
        <v>2943</v>
      </c>
      <c r="C47" t="s">
        <v>2789</v>
      </c>
      <c r="D47" t="s">
        <v>36</v>
      </c>
      <c r="E47" t="s">
        <v>36</v>
      </c>
      <c r="F47" t="s">
        <v>36</v>
      </c>
      <c r="G47" t="s">
        <v>36</v>
      </c>
      <c r="H47" t="s">
        <v>36</v>
      </c>
      <c r="I47" t="s">
        <v>36</v>
      </c>
      <c r="J47" t="s">
        <v>36</v>
      </c>
      <c r="K47" t="s">
        <v>1687</v>
      </c>
      <c r="L47" t="s">
        <v>2828</v>
      </c>
      <c r="M47" t="s">
        <v>2829</v>
      </c>
      <c r="N47" s="98" t="s">
        <v>3044</v>
      </c>
      <c r="O47" s="98" t="s">
        <v>36</v>
      </c>
      <c r="P47" t="s">
        <v>2830</v>
      </c>
      <c r="Q47" t="s">
        <v>2712</v>
      </c>
      <c r="R47" t="s">
        <v>36</v>
      </c>
      <c r="S47" t="s">
        <v>36</v>
      </c>
      <c r="T47">
        <v>8.6E-3</v>
      </c>
      <c r="U47">
        <v>0.94</v>
      </c>
      <c r="V47">
        <v>4.68</v>
      </c>
      <c r="W47">
        <f t="shared" si="0"/>
        <v>4.3991999999999996</v>
      </c>
      <c r="X47" t="s">
        <v>36</v>
      </c>
    </row>
    <row r="48" spans="1:24" ht="16">
      <c r="A48" t="s">
        <v>12</v>
      </c>
      <c r="B48" t="s">
        <v>2944</v>
      </c>
      <c r="C48" t="s">
        <v>2789</v>
      </c>
      <c r="D48" t="s">
        <v>36</v>
      </c>
      <c r="E48" t="s">
        <v>36</v>
      </c>
      <c r="F48" t="s">
        <v>36</v>
      </c>
      <c r="G48" t="s">
        <v>36</v>
      </c>
      <c r="H48" t="s">
        <v>36</v>
      </c>
      <c r="I48" t="s">
        <v>36</v>
      </c>
      <c r="J48" t="s">
        <v>36</v>
      </c>
      <c r="K48" t="s">
        <v>1687</v>
      </c>
      <c r="L48" t="s">
        <v>2828</v>
      </c>
      <c r="M48" t="s">
        <v>2829</v>
      </c>
      <c r="N48" s="98" t="s">
        <v>3044</v>
      </c>
      <c r="O48" s="98" t="s">
        <v>36</v>
      </c>
      <c r="P48" t="s">
        <v>2830</v>
      </c>
      <c r="Q48" t="s">
        <v>2713</v>
      </c>
      <c r="R48" t="s">
        <v>36</v>
      </c>
      <c r="S48" t="s">
        <v>36</v>
      </c>
      <c r="T48">
        <v>6.8999999999999999E-3</v>
      </c>
      <c r="U48">
        <v>0.91</v>
      </c>
      <c r="V48">
        <v>4.8099999999999996</v>
      </c>
      <c r="W48">
        <f t="shared" si="0"/>
        <v>4.3770999999999995</v>
      </c>
      <c r="X48" t="s">
        <v>36</v>
      </c>
    </row>
    <row r="49" spans="1:24" ht="16">
      <c r="A49" t="s">
        <v>12</v>
      </c>
      <c r="B49" t="s">
        <v>2945</v>
      </c>
      <c r="C49" t="s">
        <v>2789</v>
      </c>
      <c r="D49" t="s">
        <v>36</v>
      </c>
      <c r="E49" t="s">
        <v>36</v>
      </c>
      <c r="F49" t="s">
        <v>36</v>
      </c>
      <c r="G49" t="s">
        <v>36</v>
      </c>
      <c r="H49" t="s">
        <v>36</v>
      </c>
      <c r="I49" t="s">
        <v>36</v>
      </c>
      <c r="J49" t="s">
        <v>36</v>
      </c>
      <c r="K49" t="s">
        <v>2566</v>
      </c>
      <c r="L49" t="s">
        <v>2567</v>
      </c>
      <c r="M49" t="s">
        <v>2668</v>
      </c>
      <c r="N49" s="98" t="s">
        <v>2600</v>
      </c>
      <c r="O49" s="98" t="s">
        <v>36</v>
      </c>
      <c r="P49" t="s">
        <v>2827</v>
      </c>
      <c r="Q49" t="s">
        <v>2712</v>
      </c>
      <c r="R49" t="s">
        <v>36</v>
      </c>
      <c r="S49" t="s">
        <v>36</v>
      </c>
      <c r="T49">
        <v>5.4999999999999997E-3</v>
      </c>
      <c r="U49">
        <v>1.27</v>
      </c>
      <c r="V49">
        <v>6.91</v>
      </c>
      <c r="W49">
        <f t="shared" si="0"/>
        <v>8.7757000000000005</v>
      </c>
      <c r="X49" t="s">
        <v>36</v>
      </c>
    </row>
    <row r="50" spans="1:24" ht="16">
      <c r="A50" t="s">
        <v>12</v>
      </c>
      <c r="B50" t="s">
        <v>2946</v>
      </c>
      <c r="C50" t="s">
        <v>2789</v>
      </c>
      <c r="D50" t="s">
        <v>36</v>
      </c>
      <c r="E50" t="s">
        <v>36</v>
      </c>
      <c r="F50" t="s">
        <v>36</v>
      </c>
      <c r="G50" t="s">
        <v>36</v>
      </c>
      <c r="H50" t="s">
        <v>36</v>
      </c>
      <c r="I50" t="s">
        <v>36</v>
      </c>
      <c r="J50" t="s">
        <v>36</v>
      </c>
      <c r="K50" t="s">
        <v>1687</v>
      </c>
      <c r="L50" t="s">
        <v>2828</v>
      </c>
      <c r="M50" t="s">
        <v>2829</v>
      </c>
      <c r="N50" s="98" t="s">
        <v>3044</v>
      </c>
      <c r="O50" s="98" t="s">
        <v>36</v>
      </c>
      <c r="P50" t="s">
        <v>2831</v>
      </c>
      <c r="Q50" t="s">
        <v>2713</v>
      </c>
      <c r="R50" t="s">
        <v>36</v>
      </c>
      <c r="S50" t="s">
        <v>36</v>
      </c>
      <c r="T50">
        <v>2.7300000000000001E-2</v>
      </c>
      <c r="U50">
        <v>2.76</v>
      </c>
      <c r="V50">
        <v>12.61</v>
      </c>
      <c r="W50">
        <f t="shared" si="0"/>
        <v>34.803599999999996</v>
      </c>
      <c r="X50" t="s">
        <v>36</v>
      </c>
    </row>
    <row r="51" spans="1:24" ht="16">
      <c r="A51" t="s">
        <v>12</v>
      </c>
      <c r="B51" t="s">
        <v>2947</v>
      </c>
      <c r="C51" t="s">
        <v>2789</v>
      </c>
      <c r="D51" t="s">
        <v>36</v>
      </c>
      <c r="E51" t="s">
        <v>36</v>
      </c>
      <c r="F51" t="s">
        <v>36</v>
      </c>
      <c r="G51" t="s">
        <v>36</v>
      </c>
      <c r="H51" t="s">
        <v>36</v>
      </c>
      <c r="I51" t="s">
        <v>36</v>
      </c>
      <c r="J51" t="s">
        <v>36</v>
      </c>
      <c r="K51" t="s">
        <v>1687</v>
      </c>
      <c r="L51" t="s">
        <v>2828</v>
      </c>
      <c r="M51" t="s">
        <v>2829</v>
      </c>
      <c r="N51" s="98" t="s">
        <v>3044</v>
      </c>
      <c r="O51" s="98" t="s">
        <v>36</v>
      </c>
      <c r="P51" t="s">
        <v>2832</v>
      </c>
      <c r="Q51" t="s">
        <v>2713</v>
      </c>
      <c r="R51" t="s">
        <v>36</v>
      </c>
      <c r="S51" t="s">
        <v>36</v>
      </c>
      <c r="T51">
        <v>2.5499999999999998E-2</v>
      </c>
      <c r="U51">
        <v>2.68</v>
      </c>
      <c r="V51">
        <v>11.57</v>
      </c>
      <c r="W51">
        <f t="shared" si="0"/>
        <v>31.007600000000004</v>
      </c>
      <c r="X51" t="s">
        <v>36</v>
      </c>
    </row>
    <row r="52" spans="1:24" ht="16">
      <c r="A52" t="s">
        <v>12</v>
      </c>
      <c r="B52" t="s">
        <v>2948</v>
      </c>
      <c r="C52" t="s">
        <v>2789</v>
      </c>
      <c r="D52" t="s">
        <v>36</v>
      </c>
      <c r="E52" t="s">
        <v>36</v>
      </c>
      <c r="F52" t="s">
        <v>36</v>
      </c>
      <c r="G52" t="s">
        <v>36</v>
      </c>
      <c r="H52" t="s">
        <v>36</v>
      </c>
      <c r="I52" t="s">
        <v>36</v>
      </c>
      <c r="J52" t="s">
        <v>36</v>
      </c>
      <c r="K52" t="s">
        <v>1687</v>
      </c>
      <c r="L52" t="s">
        <v>2828</v>
      </c>
      <c r="M52" t="s">
        <v>2829</v>
      </c>
      <c r="N52" s="98" t="s">
        <v>3044</v>
      </c>
      <c r="O52" s="98" t="s">
        <v>36</v>
      </c>
      <c r="P52" t="s">
        <v>2832</v>
      </c>
      <c r="Q52" t="s">
        <v>2712</v>
      </c>
      <c r="R52" t="s">
        <v>36</v>
      </c>
      <c r="S52" t="s">
        <v>36</v>
      </c>
      <c r="T52">
        <v>1.46E-2</v>
      </c>
      <c r="U52">
        <v>2.76</v>
      </c>
      <c r="V52">
        <v>12.26</v>
      </c>
      <c r="W52">
        <f t="shared" si="0"/>
        <v>33.837599999999995</v>
      </c>
      <c r="X52" t="s">
        <v>36</v>
      </c>
    </row>
    <row r="53" spans="1:24" ht="16">
      <c r="A53" t="s">
        <v>12</v>
      </c>
      <c r="B53" t="s">
        <v>2949</v>
      </c>
      <c r="C53" t="s">
        <v>2789</v>
      </c>
      <c r="D53" t="s">
        <v>36</v>
      </c>
      <c r="E53" t="s">
        <v>36</v>
      </c>
      <c r="F53" t="s">
        <v>36</v>
      </c>
      <c r="G53" t="s">
        <v>36</v>
      </c>
      <c r="H53" t="s">
        <v>36</v>
      </c>
      <c r="I53" t="s">
        <v>36</v>
      </c>
      <c r="J53" t="s">
        <v>36</v>
      </c>
      <c r="K53" t="s">
        <v>1687</v>
      </c>
      <c r="L53" t="s">
        <v>2828</v>
      </c>
      <c r="M53" t="s">
        <v>2829</v>
      </c>
      <c r="N53" s="98" t="s">
        <v>3044</v>
      </c>
      <c r="O53" s="98" t="s">
        <v>36</v>
      </c>
      <c r="P53" t="s">
        <v>2833</v>
      </c>
      <c r="Q53" t="s">
        <v>2713</v>
      </c>
      <c r="R53" t="s">
        <v>36</v>
      </c>
      <c r="S53" t="s">
        <v>36</v>
      </c>
      <c r="T53">
        <v>1.2999999999999999E-2</v>
      </c>
      <c r="U53">
        <v>2.08</v>
      </c>
      <c r="V53">
        <v>9.7100000000000009</v>
      </c>
      <c r="W53">
        <f t="shared" si="0"/>
        <v>20.196800000000003</v>
      </c>
      <c r="X53" t="s">
        <v>36</v>
      </c>
    </row>
    <row r="54" spans="1:24" ht="16">
      <c r="A54" t="s">
        <v>12</v>
      </c>
      <c r="B54" t="s">
        <v>2950</v>
      </c>
      <c r="C54" t="s">
        <v>2789</v>
      </c>
      <c r="D54" t="s">
        <v>36</v>
      </c>
      <c r="E54" t="s">
        <v>36</v>
      </c>
      <c r="F54" t="s">
        <v>36</v>
      </c>
      <c r="G54" t="s">
        <v>36</v>
      </c>
      <c r="H54" t="s">
        <v>36</v>
      </c>
      <c r="I54" t="s">
        <v>36</v>
      </c>
      <c r="J54" t="s">
        <v>36</v>
      </c>
      <c r="K54" t="s">
        <v>2566</v>
      </c>
      <c r="L54" t="s">
        <v>2567</v>
      </c>
      <c r="M54" t="s">
        <v>2668</v>
      </c>
      <c r="N54" s="98" t="s">
        <v>2600</v>
      </c>
      <c r="O54" s="98" t="s">
        <v>36</v>
      </c>
      <c r="P54" t="s">
        <v>2834</v>
      </c>
      <c r="Q54" t="s">
        <v>2713</v>
      </c>
      <c r="R54" t="s">
        <v>36</v>
      </c>
      <c r="S54" t="s">
        <v>36</v>
      </c>
      <c r="T54">
        <v>1.78E-2</v>
      </c>
      <c r="U54">
        <v>2.2799999999999998</v>
      </c>
      <c r="V54">
        <v>9.9700000000000006</v>
      </c>
      <c r="W54">
        <f t="shared" si="0"/>
        <v>22.7316</v>
      </c>
      <c r="X54" t="s">
        <v>36</v>
      </c>
    </row>
    <row r="55" spans="1:24" ht="16">
      <c r="A55" t="s">
        <v>12</v>
      </c>
      <c r="B55" t="s">
        <v>2951</v>
      </c>
      <c r="C55" t="s">
        <v>2789</v>
      </c>
      <c r="D55" t="s">
        <v>36</v>
      </c>
      <c r="E55" t="s">
        <v>36</v>
      </c>
      <c r="F55" t="s">
        <v>36</v>
      </c>
      <c r="G55" t="s">
        <v>36</v>
      </c>
      <c r="H55" t="s">
        <v>36</v>
      </c>
      <c r="I55" t="s">
        <v>36</v>
      </c>
      <c r="J55" t="s">
        <v>36</v>
      </c>
      <c r="K55" t="s">
        <v>1687</v>
      </c>
      <c r="L55" t="s">
        <v>2563</v>
      </c>
      <c r="M55" t="s">
        <v>2835</v>
      </c>
      <c r="N55" s="98" t="s">
        <v>3045</v>
      </c>
      <c r="O55" s="98" t="s">
        <v>36</v>
      </c>
      <c r="P55" t="s">
        <v>2836</v>
      </c>
      <c r="Q55" t="s">
        <v>2712</v>
      </c>
      <c r="R55" t="s">
        <v>36</v>
      </c>
      <c r="S55" t="s">
        <v>36</v>
      </c>
      <c r="T55">
        <v>2.1000000000000001E-2</v>
      </c>
      <c r="U55">
        <v>2.9</v>
      </c>
      <c r="V55">
        <v>11.11</v>
      </c>
      <c r="W55">
        <f t="shared" si="0"/>
        <v>32.218999999999994</v>
      </c>
      <c r="X55" t="s">
        <v>36</v>
      </c>
    </row>
    <row r="56" spans="1:24" ht="16">
      <c r="A56" t="s">
        <v>12</v>
      </c>
      <c r="B56" t="s">
        <v>2952</v>
      </c>
      <c r="C56" t="s">
        <v>2789</v>
      </c>
      <c r="D56" t="s">
        <v>36</v>
      </c>
      <c r="E56" t="s">
        <v>36</v>
      </c>
      <c r="F56" t="s">
        <v>36</v>
      </c>
      <c r="G56" t="s">
        <v>36</v>
      </c>
      <c r="H56" t="s">
        <v>36</v>
      </c>
      <c r="I56" t="s">
        <v>36</v>
      </c>
      <c r="J56" t="s">
        <v>36</v>
      </c>
      <c r="K56" t="s">
        <v>1687</v>
      </c>
      <c r="L56" t="s">
        <v>2563</v>
      </c>
      <c r="M56" t="s">
        <v>2835</v>
      </c>
      <c r="N56" s="98" t="s">
        <v>3045</v>
      </c>
      <c r="O56" s="98" t="s">
        <v>36</v>
      </c>
      <c r="P56" t="s">
        <v>2837</v>
      </c>
      <c r="Q56" t="s">
        <v>2712</v>
      </c>
      <c r="R56" t="s">
        <v>36</v>
      </c>
      <c r="S56" t="s">
        <v>36</v>
      </c>
      <c r="T56">
        <v>3.2000000000000001E-2</v>
      </c>
      <c r="U56">
        <v>3.46</v>
      </c>
      <c r="V56">
        <v>14.66</v>
      </c>
      <c r="W56">
        <f t="shared" si="0"/>
        <v>50.723599999999998</v>
      </c>
      <c r="X56" t="s">
        <v>36</v>
      </c>
    </row>
    <row r="57" spans="1:24" ht="16">
      <c r="A57" t="s">
        <v>12</v>
      </c>
      <c r="B57" t="s">
        <v>2953</v>
      </c>
      <c r="C57" t="s">
        <v>2789</v>
      </c>
      <c r="D57" t="s">
        <v>36</v>
      </c>
      <c r="E57" t="s">
        <v>36</v>
      </c>
      <c r="F57" t="s">
        <v>36</v>
      </c>
      <c r="G57" t="s">
        <v>36</v>
      </c>
      <c r="H57" t="s">
        <v>36</v>
      </c>
      <c r="I57" t="s">
        <v>36</v>
      </c>
      <c r="J57" t="s">
        <v>36</v>
      </c>
      <c r="K57" t="s">
        <v>1687</v>
      </c>
      <c r="L57" t="s">
        <v>2563</v>
      </c>
      <c r="M57" t="s">
        <v>2835</v>
      </c>
      <c r="N57" s="98" t="s">
        <v>3045</v>
      </c>
      <c r="O57" s="98" t="s">
        <v>36</v>
      </c>
      <c r="P57" t="s">
        <v>2836</v>
      </c>
      <c r="Q57" t="s">
        <v>36</v>
      </c>
      <c r="R57" t="s">
        <v>36</v>
      </c>
      <c r="S57" t="s">
        <v>36</v>
      </c>
      <c r="T57">
        <v>3.5299999999999998E-2</v>
      </c>
      <c r="U57">
        <v>2.86</v>
      </c>
      <c r="V57">
        <v>10.87</v>
      </c>
      <c r="W57">
        <f t="shared" si="0"/>
        <v>31.088199999999997</v>
      </c>
      <c r="X57" t="s">
        <v>36</v>
      </c>
    </row>
    <row r="58" spans="1:24" ht="16">
      <c r="A58" t="s">
        <v>12</v>
      </c>
      <c r="B58" t="s">
        <v>2954</v>
      </c>
      <c r="C58" t="s">
        <v>2789</v>
      </c>
      <c r="D58" t="s">
        <v>36</v>
      </c>
      <c r="E58" t="s">
        <v>36</v>
      </c>
      <c r="F58" t="s">
        <v>36</v>
      </c>
      <c r="G58" t="s">
        <v>36</v>
      </c>
      <c r="H58" t="s">
        <v>36</v>
      </c>
      <c r="I58" t="s">
        <v>36</v>
      </c>
      <c r="J58" t="s">
        <v>36</v>
      </c>
      <c r="K58" t="s">
        <v>1687</v>
      </c>
      <c r="L58" t="s">
        <v>2563</v>
      </c>
      <c r="M58" t="s">
        <v>2835</v>
      </c>
      <c r="N58" s="98" t="s">
        <v>3045</v>
      </c>
      <c r="O58" s="98" t="s">
        <v>36</v>
      </c>
      <c r="P58" t="s">
        <v>2838</v>
      </c>
      <c r="Q58" t="s">
        <v>2713</v>
      </c>
      <c r="R58" t="s">
        <v>36</v>
      </c>
      <c r="S58" t="s">
        <v>36</v>
      </c>
      <c r="T58">
        <v>2.75E-2</v>
      </c>
      <c r="U58">
        <v>3.38</v>
      </c>
      <c r="V58">
        <v>12.22</v>
      </c>
      <c r="W58">
        <f t="shared" si="0"/>
        <v>41.303600000000003</v>
      </c>
      <c r="X58" t="s">
        <v>36</v>
      </c>
    </row>
    <row r="59" spans="1:24" ht="16">
      <c r="A59" t="s">
        <v>12</v>
      </c>
      <c r="B59" t="s">
        <v>2955</v>
      </c>
      <c r="C59" t="s">
        <v>2789</v>
      </c>
      <c r="D59" t="s">
        <v>36</v>
      </c>
      <c r="E59" t="s">
        <v>36</v>
      </c>
      <c r="F59" t="s">
        <v>36</v>
      </c>
      <c r="G59" t="s">
        <v>36</v>
      </c>
      <c r="H59" t="s">
        <v>36</v>
      </c>
      <c r="I59" t="s">
        <v>36</v>
      </c>
      <c r="J59" t="s">
        <v>36</v>
      </c>
      <c r="K59" t="s">
        <v>1687</v>
      </c>
      <c r="L59" t="s">
        <v>2563</v>
      </c>
      <c r="M59" t="s">
        <v>2835</v>
      </c>
      <c r="N59" s="98" t="s">
        <v>3045</v>
      </c>
      <c r="O59" s="98" t="s">
        <v>36</v>
      </c>
      <c r="P59" t="s">
        <v>2838</v>
      </c>
      <c r="Q59" t="s">
        <v>2713</v>
      </c>
      <c r="R59" t="s">
        <v>36</v>
      </c>
      <c r="S59" t="s">
        <v>36</v>
      </c>
      <c r="T59">
        <v>3.0099999999999998E-2</v>
      </c>
      <c r="U59">
        <v>3.71</v>
      </c>
      <c r="V59">
        <v>12.03</v>
      </c>
      <c r="W59">
        <f t="shared" si="0"/>
        <v>44.631299999999996</v>
      </c>
      <c r="X59" t="s">
        <v>36</v>
      </c>
    </row>
    <row r="60" spans="1:24" ht="16">
      <c r="A60" t="s">
        <v>12</v>
      </c>
      <c r="B60" t="s">
        <v>2956</v>
      </c>
      <c r="C60" t="s">
        <v>2789</v>
      </c>
      <c r="D60" t="s">
        <v>36</v>
      </c>
      <c r="E60" t="s">
        <v>36</v>
      </c>
      <c r="F60" t="s">
        <v>36</v>
      </c>
      <c r="G60" t="s">
        <v>36</v>
      </c>
      <c r="H60" t="s">
        <v>36</v>
      </c>
      <c r="I60" t="s">
        <v>36</v>
      </c>
      <c r="J60" t="s">
        <v>36</v>
      </c>
      <c r="K60" t="s">
        <v>1687</v>
      </c>
      <c r="L60" t="s">
        <v>2563</v>
      </c>
      <c r="M60" t="s">
        <v>2568</v>
      </c>
      <c r="N60" s="98" t="s">
        <v>3041</v>
      </c>
      <c r="O60" s="98" t="s">
        <v>36</v>
      </c>
      <c r="P60" t="s">
        <v>2839</v>
      </c>
      <c r="Q60" t="s">
        <v>2712</v>
      </c>
      <c r="R60" t="s">
        <v>36</v>
      </c>
      <c r="S60" t="s">
        <v>36</v>
      </c>
      <c r="T60">
        <v>2.6700000000000002E-2</v>
      </c>
      <c r="U60">
        <v>3.88</v>
      </c>
      <c r="V60">
        <v>13.03</v>
      </c>
      <c r="W60">
        <f t="shared" si="0"/>
        <v>50.556399999999996</v>
      </c>
      <c r="X60" t="s">
        <v>36</v>
      </c>
    </row>
    <row r="61" spans="1:24" ht="16">
      <c r="A61" t="s">
        <v>12</v>
      </c>
      <c r="B61" t="s">
        <v>2957</v>
      </c>
      <c r="C61" t="s">
        <v>2789</v>
      </c>
      <c r="D61" t="s">
        <v>36</v>
      </c>
      <c r="E61" t="s">
        <v>36</v>
      </c>
      <c r="F61" t="s">
        <v>36</v>
      </c>
      <c r="G61" t="s">
        <v>36</v>
      </c>
      <c r="H61" t="s">
        <v>36</v>
      </c>
      <c r="I61" t="s">
        <v>36</v>
      </c>
      <c r="J61" t="s">
        <v>36</v>
      </c>
      <c r="K61" t="s">
        <v>1687</v>
      </c>
      <c r="L61" t="s">
        <v>2563</v>
      </c>
      <c r="M61" t="s">
        <v>2568</v>
      </c>
      <c r="N61" s="98" t="s">
        <v>3041</v>
      </c>
      <c r="O61" s="98" t="s">
        <v>36</v>
      </c>
      <c r="P61" t="s">
        <v>2840</v>
      </c>
      <c r="Q61" t="s">
        <v>2712</v>
      </c>
      <c r="R61" t="s">
        <v>36</v>
      </c>
      <c r="S61" t="s">
        <v>36</v>
      </c>
      <c r="T61">
        <v>5.5500000000000001E-2</v>
      </c>
      <c r="U61">
        <v>4.59</v>
      </c>
      <c r="V61">
        <v>16.37</v>
      </c>
      <c r="W61">
        <f t="shared" si="0"/>
        <v>75.138300000000001</v>
      </c>
      <c r="X61" t="s">
        <v>36</v>
      </c>
    </row>
    <row r="62" spans="1:24" ht="16">
      <c r="A62" t="s">
        <v>12</v>
      </c>
      <c r="B62" t="s">
        <v>2958</v>
      </c>
      <c r="C62" t="s">
        <v>2789</v>
      </c>
      <c r="D62" t="s">
        <v>36</v>
      </c>
      <c r="E62" t="s">
        <v>36</v>
      </c>
      <c r="F62" t="s">
        <v>36</v>
      </c>
      <c r="G62" t="s">
        <v>36</v>
      </c>
      <c r="H62" t="s">
        <v>36</v>
      </c>
      <c r="I62" t="s">
        <v>36</v>
      </c>
      <c r="J62" t="s">
        <v>36</v>
      </c>
      <c r="K62" t="s">
        <v>1687</v>
      </c>
      <c r="L62" t="s">
        <v>2563</v>
      </c>
      <c r="M62" t="s">
        <v>2568</v>
      </c>
      <c r="N62" s="98" t="s">
        <v>3041</v>
      </c>
      <c r="O62" s="98" t="s">
        <v>36</v>
      </c>
      <c r="P62" t="s">
        <v>2839</v>
      </c>
      <c r="Q62" t="s">
        <v>2713</v>
      </c>
      <c r="R62" t="s">
        <v>36</v>
      </c>
      <c r="S62" t="s">
        <v>36</v>
      </c>
      <c r="T62">
        <v>0.1123</v>
      </c>
      <c r="U62">
        <v>6.54</v>
      </c>
      <c r="V62">
        <v>21</v>
      </c>
      <c r="W62">
        <f t="shared" si="0"/>
        <v>137.34</v>
      </c>
      <c r="X62" t="s">
        <v>36</v>
      </c>
    </row>
    <row r="63" spans="1:24" ht="16">
      <c r="A63" t="s">
        <v>12</v>
      </c>
      <c r="B63" t="s">
        <v>2959</v>
      </c>
      <c r="C63" t="s">
        <v>2789</v>
      </c>
      <c r="D63" t="s">
        <v>36</v>
      </c>
      <c r="E63" t="s">
        <v>36</v>
      </c>
      <c r="F63" t="s">
        <v>36</v>
      </c>
      <c r="G63" t="s">
        <v>36</v>
      </c>
      <c r="H63" t="s">
        <v>36</v>
      </c>
      <c r="I63" t="s">
        <v>36</v>
      </c>
      <c r="J63" t="s">
        <v>36</v>
      </c>
      <c r="K63" t="s">
        <v>1687</v>
      </c>
      <c r="L63" t="s">
        <v>2563</v>
      </c>
      <c r="M63" t="s">
        <v>2568</v>
      </c>
      <c r="N63" s="98" t="s">
        <v>3041</v>
      </c>
      <c r="O63" s="98" t="s">
        <v>36</v>
      </c>
      <c r="P63" t="s">
        <v>2839</v>
      </c>
      <c r="Q63" t="s">
        <v>2712</v>
      </c>
      <c r="R63" t="s">
        <v>36</v>
      </c>
      <c r="S63" t="s">
        <v>36</v>
      </c>
      <c r="T63">
        <v>0.1133</v>
      </c>
      <c r="U63">
        <v>6.53</v>
      </c>
      <c r="V63">
        <v>22</v>
      </c>
      <c r="W63">
        <f t="shared" si="0"/>
        <v>143.66</v>
      </c>
      <c r="X63" t="s">
        <v>36</v>
      </c>
    </row>
    <row r="64" spans="1:24" ht="16">
      <c r="A64" t="s">
        <v>12</v>
      </c>
      <c r="B64" t="s">
        <v>2960</v>
      </c>
      <c r="C64" t="s">
        <v>2789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 t="s">
        <v>36</v>
      </c>
      <c r="J64" t="s">
        <v>36</v>
      </c>
      <c r="K64" t="s">
        <v>1687</v>
      </c>
      <c r="L64" t="s">
        <v>2563</v>
      </c>
      <c r="M64" t="s">
        <v>2568</v>
      </c>
      <c r="N64" s="98" t="s">
        <v>3041</v>
      </c>
      <c r="O64" s="98" t="s">
        <v>36</v>
      </c>
      <c r="P64" t="s">
        <v>2841</v>
      </c>
      <c r="Q64" t="s">
        <v>2713</v>
      </c>
      <c r="R64" t="s">
        <v>36</v>
      </c>
      <c r="S64" t="s">
        <v>36</v>
      </c>
      <c r="T64">
        <v>4.2099999999999999E-2</v>
      </c>
      <c r="U64">
        <v>3.67</v>
      </c>
      <c r="V64">
        <v>13.54</v>
      </c>
      <c r="W64">
        <f t="shared" si="0"/>
        <v>49.691799999999994</v>
      </c>
      <c r="X64" t="s">
        <v>36</v>
      </c>
    </row>
    <row r="65" spans="1:24" ht="16">
      <c r="A65" t="s">
        <v>12</v>
      </c>
      <c r="B65" t="s">
        <v>2961</v>
      </c>
      <c r="C65" t="s">
        <v>2789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  <c r="J65" t="s">
        <v>36</v>
      </c>
      <c r="K65" t="s">
        <v>1687</v>
      </c>
      <c r="L65" t="s">
        <v>2564</v>
      </c>
      <c r="M65" t="s">
        <v>2809</v>
      </c>
      <c r="N65" s="98" t="s">
        <v>2742</v>
      </c>
      <c r="O65" s="98" t="s">
        <v>36</v>
      </c>
      <c r="P65" t="s">
        <v>2811</v>
      </c>
      <c r="Q65" t="s">
        <v>36</v>
      </c>
      <c r="R65" t="s">
        <v>36</v>
      </c>
      <c r="S65" t="s">
        <v>36</v>
      </c>
      <c r="T65">
        <v>1.18E-2</v>
      </c>
      <c r="U65">
        <v>2.39</v>
      </c>
      <c r="V65">
        <v>8.65</v>
      </c>
      <c r="W65">
        <f t="shared" si="0"/>
        <v>20.673500000000001</v>
      </c>
      <c r="X65" t="s">
        <v>36</v>
      </c>
    </row>
    <row r="66" spans="1:24" ht="16">
      <c r="A66" t="s">
        <v>12</v>
      </c>
      <c r="B66" t="s">
        <v>2962</v>
      </c>
      <c r="C66" t="s">
        <v>2789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  <c r="J66" t="s">
        <v>36</v>
      </c>
      <c r="K66" t="s">
        <v>1687</v>
      </c>
      <c r="L66" t="s">
        <v>2563</v>
      </c>
      <c r="M66" t="s">
        <v>2568</v>
      </c>
      <c r="N66" s="98" t="s">
        <v>2734</v>
      </c>
      <c r="O66" s="98" t="s">
        <v>36</v>
      </c>
      <c r="P66" t="s">
        <v>2842</v>
      </c>
      <c r="Q66" t="s">
        <v>2713</v>
      </c>
      <c r="R66" t="s">
        <v>36</v>
      </c>
      <c r="S66" t="s">
        <v>36</v>
      </c>
      <c r="T66">
        <v>6.4699999999999994E-2</v>
      </c>
      <c r="U66">
        <v>4.1100000000000003</v>
      </c>
      <c r="V66">
        <v>13.82</v>
      </c>
      <c r="W66">
        <f t="shared" ref="W66:W129" si="1">U66*V66</f>
        <v>56.800200000000004</v>
      </c>
      <c r="X66" t="s">
        <v>36</v>
      </c>
    </row>
    <row r="67" spans="1:24" ht="16">
      <c r="A67" t="s">
        <v>12</v>
      </c>
      <c r="B67" t="s">
        <v>2963</v>
      </c>
      <c r="C67" t="s">
        <v>2789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  <c r="J67" t="s">
        <v>36</v>
      </c>
      <c r="K67" t="s">
        <v>1687</v>
      </c>
      <c r="L67" t="s">
        <v>2563</v>
      </c>
      <c r="M67" t="s">
        <v>2568</v>
      </c>
      <c r="N67" s="98" t="s">
        <v>2734</v>
      </c>
      <c r="O67" s="98" t="s">
        <v>36</v>
      </c>
      <c r="P67" t="s">
        <v>2842</v>
      </c>
      <c r="Q67" t="s">
        <v>2713</v>
      </c>
      <c r="R67" t="s">
        <v>36</v>
      </c>
      <c r="S67" t="s">
        <v>36</v>
      </c>
      <c r="T67">
        <v>2.4199999999999999E-2</v>
      </c>
      <c r="U67">
        <v>3.18</v>
      </c>
      <c r="V67">
        <v>12.65</v>
      </c>
      <c r="W67">
        <f t="shared" si="1"/>
        <v>40.227000000000004</v>
      </c>
      <c r="X67" t="s">
        <v>36</v>
      </c>
    </row>
    <row r="68" spans="1:24" ht="16">
      <c r="A68" t="s">
        <v>12</v>
      </c>
      <c r="B68" t="s">
        <v>2964</v>
      </c>
      <c r="C68" t="s">
        <v>2789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  <c r="J68" t="s">
        <v>36</v>
      </c>
      <c r="K68" t="s">
        <v>2569</v>
      </c>
      <c r="L68" t="s">
        <v>2570</v>
      </c>
      <c r="M68" t="s">
        <v>2843</v>
      </c>
      <c r="N68" s="98" t="s">
        <v>3193</v>
      </c>
      <c r="O68" s="98" t="s">
        <v>36</v>
      </c>
      <c r="P68" t="s">
        <v>2844</v>
      </c>
      <c r="Q68" t="s">
        <v>2712</v>
      </c>
      <c r="R68" t="s">
        <v>36</v>
      </c>
      <c r="S68" t="s">
        <v>36</v>
      </c>
      <c r="T68">
        <v>4.3799999999999999E-2</v>
      </c>
      <c r="U68">
        <v>3.66</v>
      </c>
      <c r="V68">
        <v>14.26</v>
      </c>
      <c r="W68">
        <f t="shared" si="1"/>
        <v>52.191600000000001</v>
      </c>
      <c r="X68" t="s">
        <v>36</v>
      </c>
    </row>
    <row r="69" spans="1:24" ht="16">
      <c r="A69" t="s">
        <v>12</v>
      </c>
      <c r="B69" t="s">
        <v>2965</v>
      </c>
      <c r="C69" t="s">
        <v>2789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  <c r="J69" t="s">
        <v>36</v>
      </c>
      <c r="K69" t="s">
        <v>2569</v>
      </c>
      <c r="L69" t="s">
        <v>2570</v>
      </c>
      <c r="M69" t="s">
        <v>2843</v>
      </c>
      <c r="N69" s="98" t="s">
        <v>3046</v>
      </c>
      <c r="O69" s="98" t="s">
        <v>36</v>
      </c>
      <c r="P69" t="s">
        <v>2845</v>
      </c>
      <c r="Q69" t="s">
        <v>2713</v>
      </c>
      <c r="R69" t="s">
        <v>36</v>
      </c>
      <c r="S69" t="s">
        <v>36</v>
      </c>
      <c r="T69">
        <v>2.8899999999999999E-2</v>
      </c>
      <c r="U69">
        <v>3.45</v>
      </c>
      <c r="V69">
        <v>12.18</v>
      </c>
      <c r="W69">
        <f t="shared" si="1"/>
        <v>42.021000000000001</v>
      </c>
      <c r="X69" t="s">
        <v>36</v>
      </c>
    </row>
    <row r="70" spans="1:24" ht="16">
      <c r="A70" t="s">
        <v>12</v>
      </c>
      <c r="B70" t="s">
        <v>2966</v>
      </c>
      <c r="C70" t="s">
        <v>2789</v>
      </c>
      <c r="D70" t="s">
        <v>36</v>
      </c>
      <c r="E70" t="s">
        <v>36</v>
      </c>
      <c r="F70" t="s">
        <v>36</v>
      </c>
      <c r="G70" t="s">
        <v>36</v>
      </c>
      <c r="H70" t="s">
        <v>36</v>
      </c>
      <c r="I70" t="s">
        <v>36</v>
      </c>
      <c r="J70" t="s">
        <v>36</v>
      </c>
      <c r="K70" t="s">
        <v>2625</v>
      </c>
      <c r="L70" t="s">
        <v>2815</v>
      </c>
      <c r="M70" t="s">
        <v>2816</v>
      </c>
      <c r="N70" s="98" t="s">
        <v>3042</v>
      </c>
      <c r="O70" s="98" t="s">
        <v>36</v>
      </c>
      <c r="P70" t="s">
        <v>2846</v>
      </c>
      <c r="Q70" t="s">
        <v>2713</v>
      </c>
      <c r="R70" t="s">
        <v>36</v>
      </c>
      <c r="S70" t="s">
        <v>36</v>
      </c>
      <c r="T70">
        <v>1.2500000000000001E-2</v>
      </c>
      <c r="U70">
        <v>1.26</v>
      </c>
      <c r="V70">
        <v>5.33</v>
      </c>
      <c r="W70">
        <f t="shared" si="1"/>
        <v>6.7157999999999998</v>
      </c>
      <c r="X70" t="s">
        <v>36</v>
      </c>
    </row>
    <row r="71" spans="1:24" ht="16">
      <c r="A71" t="s">
        <v>12</v>
      </c>
      <c r="B71" t="s">
        <v>2967</v>
      </c>
      <c r="C71" t="s">
        <v>2789</v>
      </c>
      <c r="D71" t="s">
        <v>36</v>
      </c>
      <c r="E71" t="s">
        <v>36</v>
      </c>
      <c r="F71" t="s">
        <v>36</v>
      </c>
      <c r="G71" t="s">
        <v>36</v>
      </c>
      <c r="H71" t="s">
        <v>36</v>
      </c>
      <c r="I71" t="s">
        <v>36</v>
      </c>
      <c r="J71" t="s">
        <v>36</v>
      </c>
      <c r="K71" t="s">
        <v>2569</v>
      </c>
      <c r="L71" t="s">
        <v>2570</v>
      </c>
      <c r="M71" t="s">
        <v>2802</v>
      </c>
      <c r="N71" s="98" t="s">
        <v>3047</v>
      </c>
      <c r="O71" s="98" t="s">
        <v>36</v>
      </c>
      <c r="P71" t="s">
        <v>2847</v>
      </c>
      <c r="Q71" t="s">
        <v>2712</v>
      </c>
      <c r="R71" t="s">
        <v>36</v>
      </c>
      <c r="S71" t="s">
        <v>36</v>
      </c>
      <c r="T71">
        <v>6.3E-3</v>
      </c>
      <c r="U71">
        <v>2.94</v>
      </c>
      <c r="V71">
        <v>10.28</v>
      </c>
      <c r="W71">
        <f t="shared" si="1"/>
        <v>30.223199999999999</v>
      </c>
      <c r="X71" t="s">
        <v>36</v>
      </c>
    </row>
    <row r="72" spans="1:24" ht="16">
      <c r="A72" t="s">
        <v>12</v>
      </c>
      <c r="B72" t="s">
        <v>2968</v>
      </c>
      <c r="C72" t="s">
        <v>2789</v>
      </c>
      <c r="D72" t="s">
        <v>36</v>
      </c>
      <c r="E72" t="s">
        <v>36</v>
      </c>
      <c r="F72" t="s">
        <v>36</v>
      </c>
      <c r="G72" t="s">
        <v>36</v>
      </c>
      <c r="H72" t="s">
        <v>36</v>
      </c>
      <c r="I72" t="s">
        <v>36</v>
      </c>
      <c r="J72" t="s">
        <v>36</v>
      </c>
      <c r="K72" t="s">
        <v>2569</v>
      </c>
      <c r="L72" t="s">
        <v>2570</v>
      </c>
      <c r="M72" t="s">
        <v>2802</v>
      </c>
      <c r="N72" s="98" t="s">
        <v>3047</v>
      </c>
      <c r="O72" s="98" t="s">
        <v>36</v>
      </c>
      <c r="P72" t="s">
        <v>2848</v>
      </c>
      <c r="Q72" t="s">
        <v>2712</v>
      </c>
      <c r="R72" t="s">
        <v>36</v>
      </c>
      <c r="S72" t="s">
        <v>36</v>
      </c>
      <c r="T72">
        <v>3.0599999999999999E-2</v>
      </c>
      <c r="U72">
        <v>3.33</v>
      </c>
      <c r="V72">
        <v>11.55</v>
      </c>
      <c r="W72">
        <f t="shared" si="1"/>
        <v>38.461500000000001</v>
      </c>
      <c r="X72" t="s">
        <v>36</v>
      </c>
    </row>
    <row r="73" spans="1:24" ht="16">
      <c r="A73" t="s">
        <v>12</v>
      </c>
      <c r="B73" t="s">
        <v>2969</v>
      </c>
      <c r="C73" t="s">
        <v>2789</v>
      </c>
      <c r="D73" t="s">
        <v>36</v>
      </c>
      <c r="E73" t="s">
        <v>36</v>
      </c>
      <c r="F73" t="s">
        <v>36</v>
      </c>
      <c r="G73" t="s">
        <v>36</v>
      </c>
      <c r="H73" t="s">
        <v>36</v>
      </c>
      <c r="I73" t="s">
        <v>36</v>
      </c>
      <c r="J73" t="s">
        <v>36</v>
      </c>
      <c r="K73" t="s">
        <v>2569</v>
      </c>
      <c r="L73" t="s">
        <v>2570</v>
      </c>
      <c r="M73" t="s">
        <v>2802</v>
      </c>
      <c r="N73" s="98" t="s">
        <v>3039</v>
      </c>
      <c r="O73" s="98" t="s">
        <v>36</v>
      </c>
      <c r="P73" t="s">
        <v>2803</v>
      </c>
      <c r="Q73" t="s">
        <v>2712</v>
      </c>
      <c r="R73" t="s">
        <v>36</v>
      </c>
      <c r="S73" t="s">
        <v>36</v>
      </c>
      <c r="T73">
        <v>1.66E-2</v>
      </c>
      <c r="U73">
        <v>3.1</v>
      </c>
      <c r="V73">
        <v>9.26</v>
      </c>
      <c r="W73">
        <f t="shared" si="1"/>
        <v>28.706</v>
      </c>
      <c r="X73" t="s">
        <v>36</v>
      </c>
    </row>
    <row r="74" spans="1:24" ht="16">
      <c r="A74" t="s">
        <v>12</v>
      </c>
      <c r="B74" t="s">
        <v>2970</v>
      </c>
      <c r="C74" t="s">
        <v>2789</v>
      </c>
      <c r="D74" t="s">
        <v>36</v>
      </c>
      <c r="E74" t="s">
        <v>36</v>
      </c>
      <c r="F74" t="s">
        <v>36</v>
      </c>
      <c r="G74" t="s">
        <v>36</v>
      </c>
      <c r="H74" t="s">
        <v>36</v>
      </c>
      <c r="I74" t="s">
        <v>36</v>
      </c>
      <c r="J74" t="s">
        <v>36</v>
      </c>
      <c r="K74" t="s">
        <v>2566</v>
      </c>
      <c r="L74" t="s">
        <v>2567</v>
      </c>
      <c r="M74" t="s">
        <v>2668</v>
      </c>
      <c r="N74" s="98" t="s">
        <v>2600</v>
      </c>
      <c r="O74" s="98" t="s">
        <v>36</v>
      </c>
      <c r="P74" t="s">
        <v>2798</v>
      </c>
      <c r="Q74" t="s">
        <v>2713</v>
      </c>
      <c r="R74" t="s">
        <v>36</v>
      </c>
      <c r="S74" t="s">
        <v>36</v>
      </c>
      <c r="T74">
        <v>1.5100000000000001E-2</v>
      </c>
      <c r="U74">
        <v>1.43</v>
      </c>
      <c r="V74">
        <v>8.82</v>
      </c>
      <c r="W74">
        <f t="shared" si="1"/>
        <v>12.6126</v>
      </c>
      <c r="X74" t="s">
        <v>36</v>
      </c>
    </row>
    <row r="75" spans="1:24" ht="16">
      <c r="A75" t="s">
        <v>12</v>
      </c>
      <c r="B75" t="s">
        <v>2971</v>
      </c>
      <c r="C75" t="s">
        <v>2789</v>
      </c>
      <c r="D75" t="s">
        <v>36</v>
      </c>
      <c r="E75" t="s">
        <v>36</v>
      </c>
      <c r="F75" t="s">
        <v>36</v>
      </c>
      <c r="G75" t="s">
        <v>36</v>
      </c>
      <c r="H75" t="s">
        <v>36</v>
      </c>
      <c r="I75" t="s">
        <v>36</v>
      </c>
      <c r="J75" t="s">
        <v>36</v>
      </c>
      <c r="K75" t="s">
        <v>2569</v>
      </c>
      <c r="L75" t="s">
        <v>2570</v>
      </c>
      <c r="M75" t="s">
        <v>2802</v>
      </c>
      <c r="N75" s="98" t="s">
        <v>3048</v>
      </c>
      <c r="O75" s="98" t="s">
        <v>36</v>
      </c>
      <c r="P75" t="s">
        <v>2849</v>
      </c>
      <c r="Q75" t="s">
        <v>2713</v>
      </c>
      <c r="R75" t="s">
        <v>36</v>
      </c>
      <c r="S75" t="s">
        <v>36</v>
      </c>
      <c r="T75">
        <v>6.3E-3</v>
      </c>
      <c r="U75">
        <v>1.76</v>
      </c>
      <c r="V75">
        <v>6.93</v>
      </c>
      <c r="W75">
        <f t="shared" si="1"/>
        <v>12.1968</v>
      </c>
      <c r="X75" t="s">
        <v>36</v>
      </c>
    </row>
    <row r="76" spans="1:24" ht="16">
      <c r="A76" t="s">
        <v>12</v>
      </c>
      <c r="B76" t="s">
        <v>2972</v>
      </c>
      <c r="C76" t="s">
        <v>2789</v>
      </c>
      <c r="D76" t="s">
        <v>36</v>
      </c>
      <c r="E76" t="s">
        <v>36</v>
      </c>
      <c r="F76" t="s">
        <v>36</v>
      </c>
      <c r="G76" t="s">
        <v>36</v>
      </c>
      <c r="H76" t="s">
        <v>36</v>
      </c>
      <c r="I76" t="s">
        <v>36</v>
      </c>
      <c r="J76" t="s">
        <v>36</v>
      </c>
      <c r="K76" t="s">
        <v>2566</v>
      </c>
      <c r="L76" t="s">
        <v>2790</v>
      </c>
      <c r="M76" t="s">
        <v>2791</v>
      </c>
      <c r="N76" s="98" t="s">
        <v>3035</v>
      </c>
      <c r="O76" s="98" t="s">
        <v>36</v>
      </c>
      <c r="P76" t="s">
        <v>2792</v>
      </c>
      <c r="Q76" t="s">
        <v>2712</v>
      </c>
      <c r="R76" t="s">
        <v>36</v>
      </c>
      <c r="S76" t="s">
        <v>36</v>
      </c>
      <c r="T76">
        <v>1.95E-2</v>
      </c>
      <c r="U76">
        <v>2.37</v>
      </c>
      <c r="V76">
        <v>11.23</v>
      </c>
      <c r="W76">
        <f t="shared" si="1"/>
        <v>26.615100000000002</v>
      </c>
      <c r="X76" t="s">
        <v>36</v>
      </c>
    </row>
    <row r="77" spans="1:24" ht="16">
      <c r="A77" t="s">
        <v>12</v>
      </c>
      <c r="B77" t="s">
        <v>2973</v>
      </c>
      <c r="C77" t="s">
        <v>2789</v>
      </c>
      <c r="D77" t="s">
        <v>36</v>
      </c>
      <c r="E77" t="s">
        <v>36</v>
      </c>
      <c r="F77" t="s">
        <v>36</v>
      </c>
      <c r="G77" t="s">
        <v>36</v>
      </c>
      <c r="H77" t="s">
        <v>36</v>
      </c>
      <c r="I77" t="s">
        <v>36</v>
      </c>
      <c r="J77" t="s">
        <v>36</v>
      </c>
      <c r="K77" t="s">
        <v>2566</v>
      </c>
      <c r="L77" t="s">
        <v>2790</v>
      </c>
      <c r="M77" t="s">
        <v>2791</v>
      </c>
      <c r="N77" s="98" t="s">
        <v>3035</v>
      </c>
      <c r="O77" s="98" t="s">
        <v>36</v>
      </c>
      <c r="P77" t="s">
        <v>2792</v>
      </c>
      <c r="Q77" t="s">
        <v>2712</v>
      </c>
      <c r="R77" t="s">
        <v>36</v>
      </c>
      <c r="S77" t="s">
        <v>36</v>
      </c>
      <c r="T77">
        <v>8.3000000000000001E-3</v>
      </c>
      <c r="U77">
        <v>2.44</v>
      </c>
      <c r="V77">
        <v>9.8000000000000007</v>
      </c>
      <c r="W77">
        <f t="shared" si="1"/>
        <v>23.912000000000003</v>
      </c>
      <c r="X77" t="s">
        <v>36</v>
      </c>
    </row>
    <row r="78" spans="1:24" ht="16">
      <c r="A78" t="s">
        <v>2850</v>
      </c>
      <c r="B78" t="s">
        <v>2974</v>
      </c>
      <c r="C78" t="s">
        <v>2789</v>
      </c>
      <c r="D78" t="s">
        <v>36</v>
      </c>
      <c r="E78" t="s">
        <v>36</v>
      </c>
      <c r="F78" t="s">
        <v>36</v>
      </c>
      <c r="G78" t="s">
        <v>36</v>
      </c>
      <c r="H78" t="s">
        <v>36</v>
      </c>
      <c r="I78" t="s">
        <v>36</v>
      </c>
      <c r="J78" t="s">
        <v>36</v>
      </c>
      <c r="N78" s="98" t="s">
        <v>3049</v>
      </c>
      <c r="O78" s="98" t="s">
        <v>36</v>
      </c>
      <c r="P78" t="s">
        <v>2851</v>
      </c>
      <c r="Q78" t="s">
        <v>36</v>
      </c>
      <c r="R78" t="s">
        <v>36</v>
      </c>
      <c r="S78" t="s">
        <v>36</v>
      </c>
      <c r="T78">
        <v>1.9599999999999999E-2</v>
      </c>
      <c r="U78">
        <v>3.36</v>
      </c>
      <c r="V78" t="s">
        <v>36</v>
      </c>
      <c r="W78" t="e">
        <f t="shared" si="1"/>
        <v>#VALUE!</v>
      </c>
      <c r="X78" t="s">
        <v>36</v>
      </c>
    </row>
    <row r="79" spans="1:24" ht="16">
      <c r="A79" t="s">
        <v>2850</v>
      </c>
      <c r="B79" t="s">
        <v>2975</v>
      </c>
      <c r="C79" t="s">
        <v>2789</v>
      </c>
      <c r="D79" t="s">
        <v>36</v>
      </c>
      <c r="E79" t="s">
        <v>36</v>
      </c>
      <c r="F79" t="s">
        <v>36</v>
      </c>
      <c r="G79" t="s">
        <v>36</v>
      </c>
      <c r="H79" t="s">
        <v>36</v>
      </c>
      <c r="I79" t="s">
        <v>36</v>
      </c>
      <c r="J79" t="s">
        <v>36</v>
      </c>
      <c r="N79" s="98" t="s">
        <v>3050</v>
      </c>
      <c r="O79" s="98" t="s">
        <v>36</v>
      </c>
      <c r="P79" t="s">
        <v>2852</v>
      </c>
      <c r="Q79" t="s">
        <v>36</v>
      </c>
      <c r="R79" t="s">
        <v>36</v>
      </c>
      <c r="S79" t="s">
        <v>36</v>
      </c>
      <c r="T79">
        <v>1.5599999999999999E-2</v>
      </c>
      <c r="U79">
        <v>3.48</v>
      </c>
      <c r="V79" t="s">
        <v>36</v>
      </c>
      <c r="W79" t="e">
        <f t="shared" si="1"/>
        <v>#VALUE!</v>
      </c>
      <c r="X79" t="s">
        <v>36</v>
      </c>
    </row>
    <row r="80" spans="1:24" ht="16">
      <c r="A80" t="s">
        <v>2850</v>
      </c>
      <c r="B80" t="s">
        <v>2976</v>
      </c>
      <c r="C80" t="s">
        <v>2789</v>
      </c>
      <c r="D80" t="s">
        <v>36</v>
      </c>
      <c r="E80" t="s">
        <v>36</v>
      </c>
      <c r="F80" t="s">
        <v>36</v>
      </c>
      <c r="G80" t="s">
        <v>36</v>
      </c>
      <c r="H80" t="s">
        <v>36</v>
      </c>
      <c r="I80" t="s">
        <v>36</v>
      </c>
      <c r="J80" t="s">
        <v>36</v>
      </c>
      <c r="N80" s="98" t="s">
        <v>3051</v>
      </c>
      <c r="O80" s="98" t="s">
        <v>36</v>
      </c>
      <c r="P80" t="s">
        <v>2853</v>
      </c>
      <c r="Q80" t="s">
        <v>36</v>
      </c>
      <c r="R80" t="s">
        <v>36</v>
      </c>
      <c r="S80" t="s">
        <v>36</v>
      </c>
      <c r="T80">
        <v>8.0000000000000002E-3</v>
      </c>
      <c r="U80">
        <v>3.25</v>
      </c>
      <c r="V80" t="s">
        <v>36</v>
      </c>
      <c r="W80" t="e">
        <f t="shared" si="1"/>
        <v>#VALUE!</v>
      </c>
      <c r="X80" t="s">
        <v>36</v>
      </c>
    </row>
    <row r="81" spans="1:24" ht="16">
      <c r="A81" t="s">
        <v>2850</v>
      </c>
      <c r="B81" t="s">
        <v>2977</v>
      </c>
      <c r="C81" t="s">
        <v>2789</v>
      </c>
      <c r="D81" t="s">
        <v>36</v>
      </c>
      <c r="E81" t="s">
        <v>36</v>
      </c>
      <c r="F81" t="s">
        <v>36</v>
      </c>
      <c r="G81" t="s">
        <v>36</v>
      </c>
      <c r="H81" t="s">
        <v>36</v>
      </c>
      <c r="I81" t="s">
        <v>36</v>
      </c>
      <c r="J81" t="s">
        <v>36</v>
      </c>
      <c r="N81" s="98" t="s">
        <v>3052</v>
      </c>
      <c r="O81" s="98" t="s">
        <v>36</v>
      </c>
      <c r="P81" t="s">
        <v>2854</v>
      </c>
      <c r="Q81" t="s">
        <v>2712</v>
      </c>
      <c r="R81" t="s">
        <v>36</v>
      </c>
      <c r="S81" t="s">
        <v>36</v>
      </c>
      <c r="T81">
        <v>1.55E-2</v>
      </c>
      <c r="U81">
        <v>2.46</v>
      </c>
      <c r="V81" t="s">
        <v>36</v>
      </c>
      <c r="W81" t="e">
        <f t="shared" si="1"/>
        <v>#VALUE!</v>
      </c>
      <c r="X81" t="s">
        <v>36</v>
      </c>
    </row>
    <row r="82" spans="1:24" ht="16">
      <c r="A82" t="s">
        <v>2850</v>
      </c>
      <c r="B82" t="s">
        <v>2978</v>
      </c>
      <c r="C82" t="s">
        <v>2789</v>
      </c>
      <c r="D82" t="s">
        <v>36</v>
      </c>
      <c r="E82" t="s">
        <v>36</v>
      </c>
      <c r="F82" t="s">
        <v>36</v>
      </c>
      <c r="G82" t="s">
        <v>36</v>
      </c>
      <c r="H82" t="s">
        <v>36</v>
      </c>
      <c r="I82" t="s">
        <v>36</v>
      </c>
      <c r="J82" t="s">
        <v>36</v>
      </c>
      <c r="N82" s="98" t="s">
        <v>3052</v>
      </c>
      <c r="O82" s="98" t="s">
        <v>36</v>
      </c>
      <c r="P82" t="s">
        <v>2854</v>
      </c>
      <c r="Q82" t="s">
        <v>36</v>
      </c>
      <c r="R82" t="s">
        <v>36</v>
      </c>
      <c r="S82" t="s">
        <v>36</v>
      </c>
      <c r="T82">
        <v>1.46E-2</v>
      </c>
      <c r="U82">
        <v>2.48</v>
      </c>
      <c r="V82" t="s">
        <v>36</v>
      </c>
      <c r="W82" t="e">
        <f t="shared" si="1"/>
        <v>#VALUE!</v>
      </c>
      <c r="X82" t="s">
        <v>36</v>
      </c>
    </row>
    <row r="83" spans="1:24" ht="16">
      <c r="A83" t="s">
        <v>2850</v>
      </c>
      <c r="B83" t="s">
        <v>2979</v>
      </c>
      <c r="C83" t="s">
        <v>2789</v>
      </c>
      <c r="D83" t="s">
        <v>36</v>
      </c>
      <c r="E83" t="s">
        <v>36</v>
      </c>
      <c r="F83" t="s">
        <v>36</v>
      </c>
      <c r="G83" t="s">
        <v>36</v>
      </c>
      <c r="H83" t="s">
        <v>36</v>
      </c>
      <c r="I83" t="s">
        <v>36</v>
      </c>
      <c r="J83" t="s">
        <v>36</v>
      </c>
      <c r="N83" s="98" t="s">
        <v>3053</v>
      </c>
      <c r="O83" s="98" t="s">
        <v>36</v>
      </c>
      <c r="P83" t="s">
        <v>2855</v>
      </c>
      <c r="Q83" t="s">
        <v>36</v>
      </c>
      <c r="R83" t="s">
        <v>36</v>
      </c>
      <c r="S83" t="s">
        <v>36</v>
      </c>
      <c r="T83">
        <v>7.7999999999999996E-3</v>
      </c>
      <c r="U83">
        <v>2.96</v>
      </c>
      <c r="V83" t="s">
        <v>36</v>
      </c>
      <c r="W83" t="e">
        <f t="shared" si="1"/>
        <v>#VALUE!</v>
      </c>
      <c r="X83" t="s">
        <v>36</v>
      </c>
    </row>
    <row r="84" spans="1:24" ht="16">
      <c r="A84" t="s">
        <v>2850</v>
      </c>
      <c r="B84" t="s">
        <v>2980</v>
      </c>
      <c r="C84" t="s">
        <v>2789</v>
      </c>
      <c r="D84" t="s">
        <v>36</v>
      </c>
      <c r="E84" t="s">
        <v>36</v>
      </c>
      <c r="F84" t="s">
        <v>36</v>
      </c>
      <c r="G84" t="s">
        <v>36</v>
      </c>
      <c r="H84" t="s">
        <v>36</v>
      </c>
      <c r="I84" t="s">
        <v>36</v>
      </c>
      <c r="J84" t="s">
        <v>36</v>
      </c>
      <c r="N84" s="98" t="s">
        <v>3054</v>
      </c>
      <c r="O84" s="98" t="s">
        <v>36</v>
      </c>
      <c r="P84" t="s">
        <v>2856</v>
      </c>
      <c r="Q84" t="s">
        <v>36</v>
      </c>
      <c r="R84" t="s">
        <v>36</v>
      </c>
      <c r="S84" t="s">
        <v>36</v>
      </c>
      <c r="T84">
        <v>5.2499999999999998E-2</v>
      </c>
      <c r="U84">
        <v>7.2</v>
      </c>
      <c r="V84" t="s">
        <v>36</v>
      </c>
      <c r="W84" t="e">
        <f t="shared" si="1"/>
        <v>#VALUE!</v>
      </c>
      <c r="X84" t="s">
        <v>36</v>
      </c>
    </row>
    <row r="85" spans="1:24" ht="16">
      <c r="A85" t="s">
        <v>2850</v>
      </c>
      <c r="B85" t="s">
        <v>2981</v>
      </c>
      <c r="C85" t="s">
        <v>2789</v>
      </c>
      <c r="D85" t="s">
        <v>36</v>
      </c>
      <c r="E85" t="s">
        <v>36</v>
      </c>
      <c r="F85" t="s">
        <v>36</v>
      </c>
      <c r="G85" t="s">
        <v>36</v>
      </c>
      <c r="H85" t="s">
        <v>36</v>
      </c>
      <c r="I85" t="s">
        <v>36</v>
      </c>
      <c r="J85" t="s">
        <v>36</v>
      </c>
      <c r="N85" s="98" t="s">
        <v>3055</v>
      </c>
      <c r="O85" s="98" t="s">
        <v>36</v>
      </c>
      <c r="P85" t="s">
        <v>2857</v>
      </c>
      <c r="Q85" t="s">
        <v>36</v>
      </c>
      <c r="R85" t="s">
        <v>36</v>
      </c>
      <c r="S85" t="s">
        <v>36</v>
      </c>
      <c r="T85">
        <v>3.3500000000000002E-2</v>
      </c>
      <c r="U85">
        <v>6.15</v>
      </c>
      <c r="V85" t="s">
        <v>36</v>
      </c>
      <c r="W85" t="e">
        <f t="shared" si="1"/>
        <v>#VALUE!</v>
      </c>
      <c r="X85" t="s">
        <v>36</v>
      </c>
    </row>
    <row r="86" spans="1:24" ht="16">
      <c r="A86" t="s">
        <v>2850</v>
      </c>
      <c r="B86" t="s">
        <v>2982</v>
      </c>
      <c r="C86" t="s">
        <v>2789</v>
      </c>
      <c r="D86" t="s">
        <v>36</v>
      </c>
      <c r="E86" t="s">
        <v>36</v>
      </c>
      <c r="F86" t="s">
        <v>36</v>
      </c>
      <c r="G86" t="s">
        <v>36</v>
      </c>
      <c r="H86" t="s">
        <v>36</v>
      </c>
      <c r="I86" t="s">
        <v>36</v>
      </c>
      <c r="J86" t="s">
        <v>36</v>
      </c>
      <c r="N86" s="98" t="s">
        <v>3056</v>
      </c>
      <c r="O86" s="98" t="s">
        <v>36</v>
      </c>
      <c r="P86" t="s">
        <v>2858</v>
      </c>
      <c r="Q86" t="s">
        <v>36</v>
      </c>
      <c r="R86" t="s">
        <v>36</v>
      </c>
      <c r="S86" t="s">
        <v>36</v>
      </c>
      <c r="T86">
        <v>4.3E-3</v>
      </c>
      <c r="U86">
        <v>2.0099999999999998</v>
      </c>
      <c r="V86" t="s">
        <v>36</v>
      </c>
      <c r="W86" t="e">
        <f t="shared" si="1"/>
        <v>#VALUE!</v>
      </c>
      <c r="X86" t="s">
        <v>36</v>
      </c>
    </row>
    <row r="87" spans="1:24" ht="16">
      <c r="A87" t="s">
        <v>2850</v>
      </c>
      <c r="B87" t="s">
        <v>2983</v>
      </c>
      <c r="C87" t="s">
        <v>2789</v>
      </c>
      <c r="D87" t="s">
        <v>36</v>
      </c>
      <c r="E87" t="s">
        <v>36</v>
      </c>
      <c r="F87" t="s">
        <v>36</v>
      </c>
      <c r="G87" t="s">
        <v>36</v>
      </c>
      <c r="H87" t="s">
        <v>36</v>
      </c>
      <c r="I87" t="s">
        <v>36</v>
      </c>
      <c r="J87" t="s">
        <v>36</v>
      </c>
      <c r="N87" s="98" t="s">
        <v>3057</v>
      </c>
      <c r="O87" s="98" t="s">
        <v>36</v>
      </c>
      <c r="P87" t="s">
        <v>2859</v>
      </c>
      <c r="Q87" t="s">
        <v>36</v>
      </c>
      <c r="R87" t="s">
        <v>36</v>
      </c>
      <c r="S87" t="s">
        <v>36</v>
      </c>
      <c r="T87">
        <v>3.3E-3</v>
      </c>
      <c r="U87">
        <v>1.72</v>
      </c>
      <c r="V87" t="s">
        <v>36</v>
      </c>
      <c r="W87" t="e">
        <f t="shared" si="1"/>
        <v>#VALUE!</v>
      </c>
      <c r="X87" t="s">
        <v>36</v>
      </c>
    </row>
    <row r="88" spans="1:24" ht="16">
      <c r="A88" t="s">
        <v>2860</v>
      </c>
      <c r="B88" t="s">
        <v>2984</v>
      </c>
      <c r="C88" t="s">
        <v>2789</v>
      </c>
      <c r="D88" t="s">
        <v>36</v>
      </c>
      <c r="E88" t="s">
        <v>36</v>
      </c>
      <c r="F88" t="s">
        <v>36</v>
      </c>
      <c r="G88" t="s">
        <v>36</v>
      </c>
      <c r="H88" t="s">
        <v>36</v>
      </c>
      <c r="I88" t="s">
        <v>36</v>
      </c>
      <c r="J88" t="s">
        <v>36</v>
      </c>
      <c r="N88" s="98" t="s">
        <v>3058</v>
      </c>
      <c r="O88" s="98" t="s">
        <v>36</v>
      </c>
      <c r="P88" t="s">
        <v>2861</v>
      </c>
      <c r="Q88" t="s">
        <v>2712</v>
      </c>
      <c r="R88" t="s">
        <v>36</v>
      </c>
      <c r="S88" t="s">
        <v>36</v>
      </c>
      <c r="T88">
        <v>4.5999999999999999E-3</v>
      </c>
      <c r="U88" t="s">
        <v>36</v>
      </c>
      <c r="V88" t="s">
        <v>36</v>
      </c>
      <c r="W88" t="e">
        <f t="shared" si="1"/>
        <v>#VALUE!</v>
      </c>
      <c r="X88" t="s">
        <v>36</v>
      </c>
    </row>
    <row r="89" spans="1:24" ht="16">
      <c r="A89" t="s">
        <v>2860</v>
      </c>
      <c r="B89" t="s">
        <v>2985</v>
      </c>
      <c r="C89" t="s">
        <v>2789</v>
      </c>
      <c r="D89" t="s">
        <v>36</v>
      </c>
      <c r="E89" t="s">
        <v>36</v>
      </c>
      <c r="F89" t="s">
        <v>36</v>
      </c>
      <c r="G89" t="s">
        <v>36</v>
      </c>
      <c r="H89" t="s">
        <v>36</v>
      </c>
      <c r="I89" t="s">
        <v>36</v>
      </c>
      <c r="J89" t="s">
        <v>36</v>
      </c>
      <c r="N89" s="98" t="s">
        <v>3059</v>
      </c>
      <c r="O89" s="98" t="s">
        <v>36</v>
      </c>
      <c r="P89" t="s">
        <v>2862</v>
      </c>
      <c r="Q89" t="s">
        <v>36</v>
      </c>
      <c r="R89" t="s">
        <v>36</v>
      </c>
      <c r="S89" t="s">
        <v>36</v>
      </c>
      <c r="T89">
        <v>5.4999999999999997E-3</v>
      </c>
      <c r="U89" t="s">
        <v>36</v>
      </c>
      <c r="V89" t="s">
        <v>36</v>
      </c>
      <c r="W89" t="e">
        <f t="shared" si="1"/>
        <v>#VALUE!</v>
      </c>
      <c r="X89" t="s">
        <v>36</v>
      </c>
    </row>
    <row r="90" spans="1:24" ht="16">
      <c r="A90" t="s">
        <v>2860</v>
      </c>
      <c r="B90" t="s">
        <v>2986</v>
      </c>
      <c r="C90" t="s">
        <v>2789</v>
      </c>
      <c r="D90" t="s">
        <v>36</v>
      </c>
      <c r="E90" t="s">
        <v>36</v>
      </c>
      <c r="F90" t="s">
        <v>36</v>
      </c>
      <c r="G90" t="s">
        <v>36</v>
      </c>
      <c r="H90" t="s">
        <v>36</v>
      </c>
      <c r="I90" t="s">
        <v>36</v>
      </c>
      <c r="J90" t="s">
        <v>36</v>
      </c>
      <c r="N90" s="98" t="s">
        <v>3060</v>
      </c>
      <c r="O90" s="98" t="s">
        <v>36</v>
      </c>
      <c r="P90" t="s">
        <v>2863</v>
      </c>
      <c r="Q90" t="s">
        <v>2713</v>
      </c>
      <c r="R90" t="s">
        <v>36</v>
      </c>
      <c r="S90" t="s">
        <v>36</v>
      </c>
      <c r="T90">
        <v>9.4999999999999998E-3</v>
      </c>
      <c r="U90" t="s">
        <v>36</v>
      </c>
      <c r="V90" t="s">
        <v>36</v>
      </c>
      <c r="W90" t="e">
        <f t="shared" si="1"/>
        <v>#VALUE!</v>
      </c>
      <c r="X90" t="s">
        <v>36</v>
      </c>
    </row>
    <row r="91" spans="1:24" ht="16">
      <c r="A91" t="s">
        <v>2860</v>
      </c>
      <c r="B91" t="s">
        <v>2987</v>
      </c>
      <c r="C91" t="s">
        <v>2789</v>
      </c>
      <c r="D91" t="s">
        <v>36</v>
      </c>
      <c r="E91" t="s">
        <v>36</v>
      </c>
      <c r="F91" t="s">
        <v>36</v>
      </c>
      <c r="G91" t="s">
        <v>36</v>
      </c>
      <c r="H91" t="s">
        <v>36</v>
      </c>
      <c r="I91" t="s">
        <v>36</v>
      </c>
      <c r="J91" t="s">
        <v>36</v>
      </c>
      <c r="N91" s="98" t="s">
        <v>3060</v>
      </c>
      <c r="O91" s="98" t="s">
        <v>36</v>
      </c>
      <c r="P91" t="s">
        <v>2863</v>
      </c>
      <c r="Q91" t="s">
        <v>2713</v>
      </c>
      <c r="R91" t="s">
        <v>36</v>
      </c>
      <c r="S91" t="s">
        <v>36</v>
      </c>
      <c r="T91">
        <v>1.66E-2</v>
      </c>
      <c r="U91" t="s">
        <v>36</v>
      </c>
      <c r="V91" t="s">
        <v>36</v>
      </c>
      <c r="W91" t="e">
        <f t="shared" si="1"/>
        <v>#VALUE!</v>
      </c>
      <c r="X91" t="s">
        <v>36</v>
      </c>
    </row>
    <row r="92" spans="1:24" ht="16">
      <c r="A92" t="s">
        <v>2864</v>
      </c>
      <c r="B92" t="s">
        <v>2988</v>
      </c>
      <c r="C92" t="s">
        <v>2789</v>
      </c>
      <c r="D92" t="s">
        <v>36</v>
      </c>
      <c r="E92" t="s">
        <v>36</v>
      </c>
      <c r="F92" t="s">
        <v>36</v>
      </c>
      <c r="G92" t="s">
        <v>36</v>
      </c>
      <c r="H92" t="s">
        <v>36</v>
      </c>
      <c r="I92" t="s">
        <v>36</v>
      </c>
      <c r="J92" t="s">
        <v>36</v>
      </c>
      <c r="N92" s="98" t="s">
        <v>3061</v>
      </c>
      <c r="O92" s="98" t="s">
        <v>36</v>
      </c>
      <c r="P92" t="s">
        <v>2865</v>
      </c>
      <c r="Q92" t="s">
        <v>2713</v>
      </c>
      <c r="R92" t="s">
        <v>36</v>
      </c>
      <c r="S92" t="s">
        <v>36</v>
      </c>
      <c r="T92">
        <v>7.6E-3</v>
      </c>
      <c r="U92">
        <v>0.33</v>
      </c>
      <c r="V92">
        <v>8.34</v>
      </c>
      <c r="W92">
        <f t="shared" si="1"/>
        <v>2.7522000000000002</v>
      </c>
      <c r="X92" t="s">
        <v>36</v>
      </c>
    </row>
    <row r="93" spans="1:24" ht="16">
      <c r="A93" t="s">
        <v>2864</v>
      </c>
      <c r="B93" t="s">
        <v>2989</v>
      </c>
      <c r="C93" t="s">
        <v>2789</v>
      </c>
      <c r="D93" t="s">
        <v>36</v>
      </c>
      <c r="E93" t="s">
        <v>36</v>
      </c>
      <c r="F93" t="s">
        <v>36</v>
      </c>
      <c r="G93" t="s">
        <v>36</v>
      </c>
      <c r="H93" t="s">
        <v>36</v>
      </c>
      <c r="I93" t="s">
        <v>36</v>
      </c>
      <c r="J93" t="s">
        <v>36</v>
      </c>
      <c r="N93" s="98" t="s">
        <v>3062</v>
      </c>
      <c r="O93" s="98" t="s">
        <v>36</v>
      </c>
      <c r="P93" t="s">
        <v>2859</v>
      </c>
      <c r="Q93" t="s">
        <v>2713</v>
      </c>
      <c r="R93" t="s">
        <v>36</v>
      </c>
      <c r="S93" t="s">
        <v>36</v>
      </c>
      <c r="T93">
        <v>4.7000000000000002E-3</v>
      </c>
      <c r="U93">
        <v>1.48</v>
      </c>
      <c r="V93">
        <v>3.94</v>
      </c>
      <c r="W93">
        <f t="shared" si="1"/>
        <v>5.8311999999999999</v>
      </c>
      <c r="X93" t="s">
        <v>36</v>
      </c>
    </row>
    <row r="94" spans="1:24" ht="16">
      <c r="A94" t="s">
        <v>2864</v>
      </c>
      <c r="B94" t="s">
        <v>2990</v>
      </c>
      <c r="C94" t="s">
        <v>2789</v>
      </c>
      <c r="D94" t="s">
        <v>36</v>
      </c>
      <c r="E94" t="s">
        <v>36</v>
      </c>
      <c r="F94" t="s">
        <v>36</v>
      </c>
      <c r="G94" t="s">
        <v>36</v>
      </c>
      <c r="H94" t="s">
        <v>36</v>
      </c>
      <c r="I94" t="s">
        <v>36</v>
      </c>
      <c r="J94" t="s">
        <v>36</v>
      </c>
      <c r="N94" s="98" t="s">
        <v>3063</v>
      </c>
      <c r="O94" s="98" t="s">
        <v>36</v>
      </c>
      <c r="P94" t="s">
        <v>2866</v>
      </c>
      <c r="Q94" t="s">
        <v>2712</v>
      </c>
      <c r="R94" t="s">
        <v>36</v>
      </c>
      <c r="S94" t="s">
        <v>36</v>
      </c>
      <c r="T94">
        <v>5.7999999999999996E-3</v>
      </c>
      <c r="U94">
        <v>1.88</v>
      </c>
      <c r="V94">
        <v>6.14</v>
      </c>
      <c r="W94">
        <f t="shared" si="1"/>
        <v>11.543199999999999</v>
      </c>
      <c r="X94" t="s">
        <v>36</v>
      </c>
    </row>
    <row r="95" spans="1:24" ht="16">
      <c r="A95" t="s">
        <v>2864</v>
      </c>
      <c r="B95" t="s">
        <v>2991</v>
      </c>
      <c r="C95" t="s">
        <v>2789</v>
      </c>
      <c r="D95" t="s">
        <v>36</v>
      </c>
      <c r="E95" t="s">
        <v>36</v>
      </c>
      <c r="F95" t="s">
        <v>36</v>
      </c>
      <c r="G95" t="s">
        <v>36</v>
      </c>
      <c r="H95" t="s">
        <v>36</v>
      </c>
      <c r="I95" t="s">
        <v>36</v>
      </c>
      <c r="J95" t="s">
        <v>36</v>
      </c>
      <c r="N95" s="98" t="s">
        <v>3064</v>
      </c>
      <c r="O95" s="98" t="s">
        <v>36</v>
      </c>
      <c r="P95" t="s">
        <v>2867</v>
      </c>
      <c r="Q95" t="s">
        <v>2713</v>
      </c>
      <c r="R95" t="s">
        <v>36</v>
      </c>
      <c r="S95" t="s">
        <v>36</v>
      </c>
      <c r="T95">
        <v>2.2800000000000001E-2</v>
      </c>
      <c r="U95">
        <v>3.9</v>
      </c>
      <c r="V95">
        <v>9.68</v>
      </c>
      <c r="W95">
        <f t="shared" si="1"/>
        <v>37.751999999999995</v>
      </c>
      <c r="X95" t="s">
        <v>36</v>
      </c>
    </row>
    <row r="96" spans="1:24" ht="16">
      <c r="A96" t="s">
        <v>2864</v>
      </c>
      <c r="B96" t="s">
        <v>2992</v>
      </c>
      <c r="C96" t="s">
        <v>2789</v>
      </c>
      <c r="D96" t="s">
        <v>36</v>
      </c>
      <c r="E96" t="s">
        <v>36</v>
      </c>
      <c r="F96" t="s">
        <v>36</v>
      </c>
      <c r="G96" t="s">
        <v>36</v>
      </c>
      <c r="H96" t="s">
        <v>36</v>
      </c>
      <c r="I96" t="s">
        <v>36</v>
      </c>
      <c r="J96" t="s">
        <v>36</v>
      </c>
      <c r="N96" s="98" t="s">
        <v>3065</v>
      </c>
      <c r="O96" s="98" t="s">
        <v>36</v>
      </c>
      <c r="P96" t="s">
        <v>2868</v>
      </c>
      <c r="Q96" t="s">
        <v>2712</v>
      </c>
      <c r="R96" t="s">
        <v>36</v>
      </c>
      <c r="S96" t="s">
        <v>36</v>
      </c>
      <c r="T96">
        <v>5.2600000000000001E-2</v>
      </c>
      <c r="U96">
        <v>5.48</v>
      </c>
      <c r="V96">
        <v>18.62</v>
      </c>
      <c r="W96">
        <f t="shared" si="1"/>
        <v>102.03760000000001</v>
      </c>
      <c r="X96" t="s">
        <v>36</v>
      </c>
    </row>
    <row r="97" spans="1:24" ht="16">
      <c r="A97" t="s">
        <v>2864</v>
      </c>
      <c r="B97" t="s">
        <v>2993</v>
      </c>
      <c r="C97" t="s">
        <v>2789</v>
      </c>
      <c r="D97" t="s">
        <v>36</v>
      </c>
      <c r="E97" t="s">
        <v>36</v>
      </c>
      <c r="F97" t="s">
        <v>36</v>
      </c>
      <c r="G97" t="s">
        <v>36</v>
      </c>
      <c r="H97" t="s">
        <v>36</v>
      </c>
      <c r="I97" t="s">
        <v>36</v>
      </c>
      <c r="J97" t="s">
        <v>36</v>
      </c>
      <c r="N97" s="98" t="s">
        <v>3066</v>
      </c>
      <c r="O97" s="98" t="s">
        <v>36</v>
      </c>
      <c r="P97" t="s">
        <v>2859</v>
      </c>
      <c r="Q97" t="s">
        <v>2712</v>
      </c>
      <c r="R97" t="s">
        <v>36</v>
      </c>
      <c r="S97" t="s">
        <v>36</v>
      </c>
      <c r="T97">
        <v>1.35E-2</v>
      </c>
      <c r="U97">
        <v>2.2400000000000002</v>
      </c>
      <c r="V97">
        <v>10.84</v>
      </c>
      <c r="W97">
        <f t="shared" si="1"/>
        <v>24.281600000000001</v>
      </c>
      <c r="X97" t="s">
        <v>36</v>
      </c>
    </row>
    <row r="98" spans="1:24" ht="16">
      <c r="A98" t="s">
        <v>2864</v>
      </c>
      <c r="B98" t="s">
        <v>2994</v>
      </c>
      <c r="C98" t="s">
        <v>2789</v>
      </c>
      <c r="D98" t="s">
        <v>36</v>
      </c>
      <c r="E98" t="s">
        <v>36</v>
      </c>
      <c r="F98" t="s">
        <v>36</v>
      </c>
      <c r="G98" t="s">
        <v>36</v>
      </c>
      <c r="H98" t="s">
        <v>36</v>
      </c>
      <c r="I98" t="s">
        <v>36</v>
      </c>
      <c r="J98" t="s">
        <v>36</v>
      </c>
      <c r="N98" s="98" t="s">
        <v>3067</v>
      </c>
      <c r="O98" s="98" t="s">
        <v>36</v>
      </c>
      <c r="P98" t="s">
        <v>2859</v>
      </c>
      <c r="Q98" t="s">
        <v>2713</v>
      </c>
      <c r="R98" t="s">
        <v>36</v>
      </c>
      <c r="S98" t="s">
        <v>36</v>
      </c>
      <c r="T98">
        <v>1.6400000000000001E-2</v>
      </c>
      <c r="U98">
        <v>3.21</v>
      </c>
      <c r="V98">
        <v>8.89</v>
      </c>
      <c r="W98">
        <f t="shared" si="1"/>
        <v>28.536900000000003</v>
      </c>
      <c r="X98" t="s">
        <v>36</v>
      </c>
    </row>
    <row r="99" spans="1:24" ht="16">
      <c r="A99" t="s">
        <v>2864</v>
      </c>
      <c r="B99" t="s">
        <v>2995</v>
      </c>
      <c r="C99" t="s">
        <v>2789</v>
      </c>
      <c r="D99" t="s">
        <v>36</v>
      </c>
      <c r="E99" t="s">
        <v>36</v>
      </c>
      <c r="F99" t="s">
        <v>36</v>
      </c>
      <c r="G99" t="s">
        <v>36</v>
      </c>
      <c r="H99" t="s">
        <v>36</v>
      </c>
      <c r="I99" t="s">
        <v>36</v>
      </c>
      <c r="J99" t="s">
        <v>36</v>
      </c>
      <c r="N99" s="98" t="s">
        <v>3068</v>
      </c>
      <c r="O99" s="98" t="s">
        <v>36</v>
      </c>
      <c r="P99" t="s">
        <v>2869</v>
      </c>
      <c r="Q99" t="s">
        <v>2713</v>
      </c>
      <c r="R99" t="s">
        <v>36</v>
      </c>
      <c r="S99" t="s">
        <v>36</v>
      </c>
      <c r="T99">
        <v>1.6000000000000001E-3</v>
      </c>
      <c r="U99">
        <v>1.97</v>
      </c>
      <c r="V99">
        <v>8.6199999999999992</v>
      </c>
      <c r="W99">
        <f t="shared" si="1"/>
        <v>16.981399999999997</v>
      </c>
      <c r="X99" t="s">
        <v>36</v>
      </c>
    </row>
    <row r="100" spans="1:24" ht="16">
      <c r="A100" t="s">
        <v>2864</v>
      </c>
      <c r="B100" t="s">
        <v>2996</v>
      </c>
      <c r="C100" t="s">
        <v>2789</v>
      </c>
      <c r="D100" t="s">
        <v>36</v>
      </c>
      <c r="E100" t="s">
        <v>36</v>
      </c>
      <c r="F100" t="s">
        <v>36</v>
      </c>
      <c r="G100" t="s">
        <v>36</v>
      </c>
      <c r="H100" t="s">
        <v>36</v>
      </c>
      <c r="I100" t="s">
        <v>36</v>
      </c>
      <c r="J100" t="s">
        <v>36</v>
      </c>
      <c r="N100" s="98" t="s">
        <v>3069</v>
      </c>
      <c r="O100" s="98" t="s">
        <v>36</v>
      </c>
      <c r="P100" t="s">
        <v>2579</v>
      </c>
      <c r="Q100" t="s">
        <v>2713</v>
      </c>
      <c r="R100" t="s">
        <v>36</v>
      </c>
      <c r="S100" t="s">
        <v>36</v>
      </c>
      <c r="T100">
        <v>3.1699999999999999E-2</v>
      </c>
      <c r="U100">
        <v>4.16</v>
      </c>
      <c r="V100">
        <v>11.86</v>
      </c>
      <c r="W100">
        <f t="shared" si="1"/>
        <v>49.337600000000002</v>
      </c>
      <c r="X100" t="s">
        <v>36</v>
      </c>
    </row>
    <row r="101" spans="1:24" ht="16">
      <c r="A101" t="s">
        <v>2864</v>
      </c>
      <c r="B101" t="s">
        <v>3003</v>
      </c>
      <c r="C101" t="s">
        <v>2789</v>
      </c>
      <c r="D101" t="s">
        <v>36</v>
      </c>
      <c r="E101" t="s">
        <v>36</v>
      </c>
      <c r="F101" t="s">
        <v>36</v>
      </c>
      <c r="G101" t="s">
        <v>36</v>
      </c>
      <c r="H101" t="s">
        <v>36</v>
      </c>
      <c r="I101" t="s">
        <v>36</v>
      </c>
      <c r="J101" t="s">
        <v>36</v>
      </c>
      <c r="N101" s="98" t="s">
        <v>3072</v>
      </c>
      <c r="O101" s="98" t="s">
        <v>36</v>
      </c>
      <c r="P101" t="s">
        <v>2859</v>
      </c>
      <c r="Q101" t="s">
        <v>2713</v>
      </c>
      <c r="R101" t="s">
        <v>36</v>
      </c>
      <c r="S101" t="s">
        <v>36</v>
      </c>
      <c r="T101">
        <v>8.1299999999999997E-2</v>
      </c>
      <c r="U101">
        <v>3.69</v>
      </c>
      <c r="V101">
        <v>25</v>
      </c>
      <c r="W101">
        <f t="shared" si="1"/>
        <v>92.25</v>
      </c>
      <c r="X101" t="s">
        <v>36</v>
      </c>
    </row>
    <row r="102" spans="1:24" ht="16">
      <c r="A102" t="s">
        <v>2864</v>
      </c>
      <c r="B102" t="s">
        <v>3004</v>
      </c>
      <c r="C102" t="s">
        <v>2789</v>
      </c>
      <c r="D102" t="s">
        <v>36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  <c r="J102" t="s">
        <v>36</v>
      </c>
      <c r="N102" s="98" t="s">
        <v>3068</v>
      </c>
      <c r="O102" s="98" t="s">
        <v>36</v>
      </c>
      <c r="P102" t="s">
        <v>2876</v>
      </c>
      <c r="Q102" t="s">
        <v>36</v>
      </c>
      <c r="R102" t="s">
        <v>36</v>
      </c>
      <c r="S102" t="s">
        <v>36</v>
      </c>
      <c r="T102">
        <v>4.0399999999999998E-2</v>
      </c>
      <c r="U102">
        <v>3.24</v>
      </c>
      <c r="V102">
        <v>22</v>
      </c>
      <c r="W102">
        <f t="shared" si="1"/>
        <v>71.28</v>
      </c>
      <c r="X102" t="s">
        <v>36</v>
      </c>
    </row>
    <row r="103" spans="1:24" ht="16">
      <c r="A103" t="s">
        <v>25</v>
      </c>
      <c r="B103" t="s">
        <v>2997</v>
      </c>
      <c r="C103" t="s">
        <v>2789</v>
      </c>
      <c r="D103" t="s">
        <v>36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  <c r="J103" t="s">
        <v>36</v>
      </c>
      <c r="K103" t="s">
        <v>2554</v>
      </c>
      <c r="L103" t="s">
        <v>2750</v>
      </c>
      <c r="M103" t="s">
        <v>2870</v>
      </c>
      <c r="N103" s="98" t="s">
        <v>3070</v>
      </c>
      <c r="O103" s="98" t="s">
        <v>36</v>
      </c>
      <c r="P103" t="s">
        <v>2871</v>
      </c>
      <c r="Q103" t="s">
        <v>2713</v>
      </c>
      <c r="R103" t="s">
        <v>36</v>
      </c>
      <c r="S103" t="s">
        <v>36</v>
      </c>
      <c r="T103">
        <v>5.8099999999999999E-2</v>
      </c>
      <c r="U103">
        <v>4.55</v>
      </c>
      <c r="V103">
        <v>13.74</v>
      </c>
      <c r="W103">
        <f t="shared" si="1"/>
        <v>62.516999999999996</v>
      </c>
      <c r="X103" t="s">
        <v>36</v>
      </c>
    </row>
    <row r="104" spans="1:24" ht="16">
      <c r="A104" t="s">
        <v>25</v>
      </c>
      <c r="B104" t="s">
        <v>2998</v>
      </c>
      <c r="C104" t="s">
        <v>2789</v>
      </c>
      <c r="D104" t="s">
        <v>36</v>
      </c>
      <c r="E104" t="s">
        <v>36</v>
      </c>
      <c r="F104" t="s">
        <v>36</v>
      </c>
      <c r="G104" t="s">
        <v>36</v>
      </c>
      <c r="H104" t="s">
        <v>36</v>
      </c>
      <c r="I104" t="s">
        <v>36</v>
      </c>
      <c r="J104" t="s">
        <v>36</v>
      </c>
      <c r="K104" t="s">
        <v>2554</v>
      </c>
      <c r="L104" t="s">
        <v>2561</v>
      </c>
      <c r="M104" t="s">
        <v>2717</v>
      </c>
      <c r="N104" s="98" t="s">
        <v>2601</v>
      </c>
      <c r="O104" s="98" t="s">
        <v>36</v>
      </c>
      <c r="P104" t="s">
        <v>2872</v>
      </c>
      <c r="Q104" t="s">
        <v>2713</v>
      </c>
      <c r="R104" t="s">
        <v>36</v>
      </c>
      <c r="S104" t="s">
        <v>36</v>
      </c>
      <c r="T104">
        <v>1.3299999999999999E-2</v>
      </c>
      <c r="U104">
        <v>2.8</v>
      </c>
      <c r="V104">
        <v>13.85</v>
      </c>
      <c r="W104">
        <f t="shared" si="1"/>
        <v>38.779999999999994</v>
      </c>
      <c r="X104" t="s">
        <v>36</v>
      </c>
    </row>
    <row r="105" spans="1:24" ht="16">
      <c r="A105" t="s">
        <v>25</v>
      </c>
      <c r="B105" t="s">
        <v>2999</v>
      </c>
      <c r="C105" t="s">
        <v>2789</v>
      </c>
      <c r="D105" t="s">
        <v>36</v>
      </c>
      <c r="E105" t="s">
        <v>36</v>
      </c>
      <c r="F105" t="s">
        <v>36</v>
      </c>
      <c r="G105" t="s">
        <v>36</v>
      </c>
      <c r="H105" t="s">
        <v>36</v>
      </c>
      <c r="I105" t="s">
        <v>36</v>
      </c>
      <c r="J105" t="s">
        <v>36</v>
      </c>
      <c r="K105" t="s">
        <v>2554</v>
      </c>
      <c r="L105" t="s">
        <v>2750</v>
      </c>
      <c r="M105" t="s">
        <v>2873</v>
      </c>
      <c r="N105" s="98" t="s">
        <v>3071</v>
      </c>
      <c r="O105" s="98" t="s">
        <v>36</v>
      </c>
      <c r="P105" t="s">
        <v>2378</v>
      </c>
      <c r="Q105" t="s">
        <v>2713</v>
      </c>
      <c r="R105" t="s">
        <v>36</v>
      </c>
      <c r="S105" t="s">
        <v>36</v>
      </c>
      <c r="T105">
        <v>4.3200000000000002E-2</v>
      </c>
      <c r="U105">
        <v>5.99</v>
      </c>
      <c r="V105">
        <v>18.829999999999998</v>
      </c>
      <c r="W105">
        <f t="shared" si="1"/>
        <v>112.79169999999999</v>
      </c>
      <c r="X105" t="s">
        <v>36</v>
      </c>
    </row>
    <row r="106" spans="1:24" ht="16">
      <c r="A106" t="s">
        <v>25</v>
      </c>
      <c r="B106" t="s">
        <v>3000</v>
      </c>
      <c r="C106" t="s">
        <v>2789</v>
      </c>
      <c r="D106" t="s">
        <v>36</v>
      </c>
      <c r="E106" t="s">
        <v>36</v>
      </c>
      <c r="F106" t="s">
        <v>36</v>
      </c>
      <c r="G106" t="s">
        <v>36</v>
      </c>
      <c r="H106" t="s">
        <v>36</v>
      </c>
      <c r="I106" t="s">
        <v>36</v>
      </c>
      <c r="J106" t="s">
        <v>36</v>
      </c>
      <c r="K106" t="s">
        <v>2554</v>
      </c>
      <c r="L106" t="s">
        <v>2750</v>
      </c>
      <c r="M106" t="s">
        <v>2874</v>
      </c>
      <c r="N106" s="98" t="s">
        <v>2647</v>
      </c>
      <c r="O106" s="98" t="s">
        <v>36</v>
      </c>
      <c r="P106" t="s">
        <v>2875</v>
      </c>
      <c r="Q106" t="s">
        <v>2713</v>
      </c>
      <c r="R106" t="s">
        <v>36</v>
      </c>
      <c r="S106" t="s">
        <v>36</v>
      </c>
      <c r="T106">
        <v>3.4799999999999998E-2</v>
      </c>
      <c r="U106">
        <v>3.53</v>
      </c>
      <c r="V106">
        <v>13.58</v>
      </c>
      <c r="W106">
        <f t="shared" si="1"/>
        <v>47.937399999999997</v>
      </c>
      <c r="X106" t="s">
        <v>36</v>
      </c>
    </row>
    <row r="107" spans="1:24" ht="16">
      <c r="A107" t="s">
        <v>25</v>
      </c>
      <c r="B107" t="s">
        <v>3001</v>
      </c>
      <c r="C107" t="s">
        <v>2789</v>
      </c>
      <c r="D107" t="s">
        <v>36</v>
      </c>
      <c r="E107" t="s">
        <v>36</v>
      </c>
      <c r="F107" t="s">
        <v>36</v>
      </c>
      <c r="G107" t="s">
        <v>36</v>
      </c>
      <c r="H107" t="s">
        <v>36</v>
      </c>
      <c r="I107" t="s">
        <v>36</v>
      </c>
      <c r="J107" t="s">
        <v>36</v>
      </c>
      <c r="K107" t="s">
        <v>2554</v>
      </c>
      <c r="L107" t="s">
        <v>2561</v>
      </c>
      <c r="M107" t="s">
        <v>2717</v>
      </c>
      <c r="N107" s="98" t="s">
        <v>2655</v>
      </c>
      <c r="O107" s="98" t="s">
        <v>36</v>
      </c>
      <c r="P107" t="s">
        <v>2656</v>
      </c>
      <c r="Q107" t="s">
        <v>2712</v>
      </c>
      <c r="R107" t="s">
        <v>36</v>
      </c>
      <c r="S107" t="s">
        <v>36</v>
      </c>
      <c r="T107">
        <v>4.7000000000000002E-3</v>
      </c>
      <c r="U107">
        <v>1.58</v>
      </c>
      <c r="V107">
        <v>10.35</v>
      </c>
      <c r="W107">
        <f t="shared" si="1"/>
        <v>16.353000000000002</v>
      </c>
      <c r="X107" t="s">
        <v>36</v>
      </c>
    </row>
    <row r="108" spans="1:24" ht="16">
      <c r="A108" t="s">
        <v>25</v>
      </c>
      <c r="B108" t="s">
        <v>3002</v>
      </c>
      <c r="C108" t="s">
        <v>2789</v>
      </c>
      <c r="D108" t="s">
        <v>36</v>
      </c>
      <c r="E108" t="s">
        <v>36</v>
      </c>
      <c r="F108" t="s">
        <v>36</v>
      </c>
      <c r="G108" t="s">
        <v>36</v>
      </c>
      <c r="H108" t="s">
        <v>36</v>
      </c>
      <c r="I108" t="s">
        <v>36</v>
      </c>
      <c r="J108" t="s">
        <v>36</v>
      </c>
      <c r="K108" t="s">
        <v>2554</v>
      </c>
      <c r="L108" t="s">
        <v>2750</v>
      </c>
      <c r="M108" t="s">
        <v>2874</v>
      </c>
      <c r="N108" s="98" t="s">
        <v>2659</v>
      </c>
      <c r="O108" s="98" t="s">
        <v>36</v>
      </c>
      <c r="P108" t="s">
        <v>2660</v>
      </c>
      <c r="Q108" t="s">
        <v>2712</v>
      </c>
      <c r="R108" t="s">
        <v>36</v>
      </c>
      <c r="S108" t="s">
        <v>36</v>
      </c>
      <c r="T108">
        <v>1.6999999999999999E-3</v>
      </c>
      <c r="U108">
        <v>3.46</v>
      </c>
      <c r="V108">
        <v>12.68</v>
      </c>
      <c r="W108">
        <f t="shared" si="1"/>
        <v>43.872799999999998</v>
      </c>
      <c r="X108" t="s">
        <v>36</v>
      </c>
    </row>
    <row r="109" spans="1:24" ht="16">
      <c r="A109" t="s">
        <v>25</v>
      </c>
      <c r="B109" t="s">
        <v>3005</v>
      </c>
      <c r="C109" t="s">
        <v>2789</v>
      </c>
      <c r="D109" t="s">
        <v>36</v>
      </c>
      <c r="E109" t="s">
        <v>36</v>
      </c>
      <c r="F109" t="s">
        <v>36</v>
      </c>
      <c r="G109" t="s">
        <v>36</v>
      </c>
      <c r="H109" t="s">
        <v>36</v>
      </c>
      <c r="I109" t="s">
        <v>36</v>
      </c>
      <c r="J109" t="s">
        <v>36</v>
      </c>
      <c r="K109" t="s">
        <v>2554</v>
      </c>
      <c r="L109" t="s">
        <v>2750</v>
      </c>
      <c r="M109" t="s">
        <v>2727</v>
      </c>
      <c r="N109" s="98" t="s">
        <v>2609</v>
      </c>
      <c r="O109" s="98" t="s">
        <v>36</v>
      </c>
      <c r="P109" t="s">
        <v>2595</v>
      </c>
      <c r="Q109" t="s">
        <v>2712</v>
      </c>
      <c r="R109" t="s">
        <v>36</v>
      </c>
      <c r="S109" t="s">
        <v>36</v>
      </c>
      <c r="T109">
        <v>5.4999999999999997E-3</v>
      </c>
      <c r="U109">
        <v>1.85</v>
      </c>
      <c r="V109">
        <v>9.94</v>
      </c>
      <c r="W109">
        <f t="shared" si="1"/>
        <v>18.388999999999999</v>
      </c>
      <c r="X109" t="s">
        <v>36</v>
      </c>
    </row>
    <row r="110" spans="1:24" ht="16">
      <c r="A110" t="s">
        <v>25</v>
      </c>
      <c r="B110" t="s">
        <v>3006</v>
      </c>
      <c r="C110" t="s">
        <v>2789</v>
      </c>
      <c r="D110" t="s">
        <v>36</v>
      </c>
      <c r="E110" t="s">
        <v>36</v>
      </c>
      <c r="F110" t="s">
        <v>36</v>
      </c>
      <c r="G110" t="s">
        <v>36</v>
      </c>
      <c r="H110" t="s">
        <v>36</v>
      </c>
      <c r="I110" t="s">
        <v>36</v>
      </c>
      <c r="J110" t="s">
        <v>36</v>
      </c>
      <c r="K110" t="s">
        <v>2554</v>
      </c>
      <c r="L110" t="s">
        <v>2750</v>
      </c>
      <c r="M110" t="s">
        <v>2874</v>
      </c>
      <c r="N110" s="98" t="s">
        <v>2647</v>
      </c>
      <c r="O110" s="98" t="s">
        <v>36</v>
      </c>
      <c r="P110" t="s">
        <v>2877</v>
      </c>
      <c r="Q110" t="s">
        <v>2712</v>
      </c>
      <c r="R110" t="s">
        <v>36</v>
      </c>
      <c r="S110" t="s">
        <v>36</v>
      </c>
      <c r="T110">
        <v>7.1000000000000004E-3</v>
      </c>
      <c r="U110">
        <v>2.99</v>
      </c>
      <c r="V110">
        <v>10.050000000000001</v>
      </c>
      <c r="W110">
        <f t="shared" si="1"/>
        <v>30.049500000000005</v>
      </c>
      <c r="X110" t="s">
        <v>36</v>
      </c>
    </row>
    <row r="111" spans="1:24" ht="16">
      <c r="A111" t="s">
        <v>36</v>
      </c>
      <c r="B111" t="s">
        <v>3007</v>
      </c>
      <c r="C111" t="s">
        <v>2789</v>
      </c>
      <c r="D111" t="s">
        <v>36</v>
      </c>
      <c r="E111" t="s">
        <v>36</v>
      </c>
      <c r="F111" t="s">
        <v>36</v>
      </c>
      <c r="G111" t="s">
        <v>36</v>
      </c>
      <c r="H111" t="s">
        <v>36</v>
      </c>
      <c r="I111" t="s">
        <v>36</v>
      </c>
      <c r="J111" t="s">
        <v>36</v>
      </c>
      <c r="N111" s="98" t="s">
        <v>3073</v>
      </c>
      <c r="O111" s="98" t="s">
        <v>36</v>
      </c>
      <c r="P111" t="s">
        <v>2878</v>
      </c>
      <c r="Q111" t="s">
        <v>36</v>
      </c>
      <c r="R111" t="s">
        <v>36</v>
      </c>
      <c r="S111" t="s">
        <v>36</v>
      </c>
      <c r="T111">
        <v>3.1E-2</v>
      </c>
      <c r="U111">
        <v>3.48</v>
      </c>
      <c r="V111" t="s">
        <v>36</v>
      </c>
      <c r="W111" t="e">
        <f t="shared" si="1"/>
        <v>#VALUE!</v>
      </c>
      <c r="X111" t="s">
        <v>36</v>
      </c>
    </row>
    <row r="112" spans="1:24" ht="16">
      <c r="A112" t="s">
        <v>36</v>
      </c>
      <c r="B112" t="s">
        <v>3008</v>
      </c>
      <c r="C112" t="s">
        <v>2789</v>
      </c>
      <c r="D112" t="s">
        <v>36</v>
      </c>
      <c r="E112" t="s">
        <v>36</v>
      </c>
      <c r="F112" t="s">
        <v>36</v>
      </c>
      <c r="G112" t="s">
        <v>36</v>
      </c>
      <c r="H112" t="s">
        <v>36</v>
      </c>
      <c r="I112" t="s">
        <v>36</v>
      </c>
      <c r="J112" t="s">
        <v>36</v>
      </c>
      <c r="N112" s="98" t="s">
        <v>36</v>
      </c>
      <c r="O112" s="98" t="s">
        <v>36</v>
      </c>
      <c r="P112" t="s">
        <v>36</v>
      </c>
      <c r="Q112" t="s">
        <v>36</v>
      </c>
      <c r="R112" t="s">
        <v>36</v>
      </c>
      <c r="S112" t="s">
        <v>36</v>
      </c>
      <c r="T112">
        <v>1.9699999999999999E-2</v>
      </c>
      <c r="U112">
        <v>3.85</v>
      </c>
      <c r="V112" t="s">
        <v>36</v>
      </c>
      <c r="W112" t="e">
        <f t="shared" si="1"/>
        <v>#VALUE!</v>
      </c>
      <c r="X112" t="s">
        <v>36</v>
      </c>
    </row>
    <row r="113" spans="1:24" ht="16">
      <c r="A113" t="s">
        <v>2879</v>
      </c>
      <c r="B113" t="s">
        <v>3009</v>
      </c>
      <c r="C113" t="s">
        <v>2789</v>
      </c>
      <c r="D113" t="s">
        <v>36</v>
      </c>
      <c r="E113" t="s">
        <v>36</v>
      </c>
      <c r="F113" t="s">
        <v>36</v>
      </c>
      <c r="G113" t="s">
        <v>36</v>
      </c>
      <c r="H113" t="s">
        <v>36</v>
      </c>
      <c r="I113" t="s">
        <v>36</v>
      </c>
      <c r="J113" t="s">
        <v>36</v>
      </c>
      <c r="N113" s="98" t="s">
        <v>3074</v>
      </c>
      <c r="O113" s="98" t="s">
        <v>36</v>
      </c>
      <c r="P113" t="s">
        <v>2880</v>
      </c>
      <c r="Q113" t="s">
        <v>36</v>
      </c>
      <c r="R113" t="s">
        <v>36</v>
      </c>
      <c r="S113" t="s">
        <v>36</v>
      </c>
      <c r="T113">
        <v>1.7899999999999999E-2</v>
      </c>
      <c r="U113" t="s">
        <v>36</v>
      </c>
      <c r="V113" t="s">
        <v>36</v>
      </c>
      <c r="W113" t="e">
        <f t="shared" si="1"/>
        <v>#VALUE!</v>
      </c>
      <c r="X113" t="s">
        <v>36</v>
      </c>
    </row>
    <row r="114" spans="1:24" ht="16">
      <c r="A114" t="s">
        <v>87</v>
      </c>
      <c r="B114" t="s">
        <v>3010</v>
      </c>
      <c r="C114" t="s">
        <v>2789</v>
      </c>
      <c r="D114" t="s">
        <v>36</v>
      </c>
      <c r="E114" t="s">
        <v>36</v>
      </c>
      <c r="F114" t="s">
        <v>36</v>
      </c>
      <c r="G114" t="s">
        <v>36</v>
      </c>
      <c r="H114" t="s">
        <v>36</v>
      </c>
      <c r="I114" t="s">
        <v>36</v>
      </c>
      <c r="J114" t="s">
        <v>36</v>
      </c>
      <c r="N114" s="98" t="s">
        <v>3075</v>
      </c>
      <c r="O114" s="98" t="s">
        <v>36</v>
      </c>
      <c r="P114" t="s">
        <v>2881</v>
      </c>
      <c r="Q114" t="s">
        <v>2713</v>
      </c>
      <c r="R114" t="s">
        <v>36</v>
      </c>
      <c r="S114" t="s">
        <v>36</v>
      </c>
      <c r="T114">
        <v>2.4500000000000001E-2</v>
      </c>
      <c r="U114">
        <v>2.0299999999999998</v>
      </c>
      <c r="V114">
        <v>12.7</v>
      </c>
      <c r="W114">
        <f t="shared" si="1"/>
        <v>25.780999999999995</v>
      </c>
      <c r="X114" t="s">
        <v>36</v>
      </c>
    </row>
    <row r="115" spans="1:24" ht="16">
      <c r="A115" t="s">
        <v>87</v>
      </c>
      <c r="B115" t="s">
        <v>3011</v>
      </c>
      <c r="C115" t="s">
        <v>2789</v>
      </c>
      <c r="D115" t="s">
        <v>36</v>
      </c>
      <c r="E115" t="s">
        <v>36</v>
      </c>
      <c r="F115" t="s">
        <v>36</v>
      </c>
      <c r="G115" t="s">
        <v>36</v>
      </c>
      <c r="H115" t="s">
        <v>36</v>
      </c>
      <c r="I115" t="s">
        <v>36</v>
      </c>
      <c r="J115" t="s">
        <v>36</v>
      </c>
      <c r="N115" s="98" t="s">
        <v>3075</v>
      </c>
      <c r="O115" s="98" t="s">
        <v>36</v>
      </c>
      <c r="P115" t="s">
        <v>2881</v>
      </c>
      <c r="Q115" t="s">
        <v>2713</v>
      </c>
      <c r="R115" t="s">
        <v>36</v>
      </c>
      <c r="S115" t="s">
        <v>36</v>
      </c>
      <c r="T115">
        <v>8.8000000000000005E-3</v>
      </c>
      <c r="U115">
        <v>1.98</v>
      </c>
      <c r="V115">
        <v>12.64</v>
      </c>
      <c r="W115">
        <f t="shared" si="1"/>
        <v>25.027200000000001</v>
      </c>
      <c r="X115" t="s">
        <v>36</v>
      </c>
    </row>
    <row r="116" spans="1:24" ht="16">
      <c r="A116" t="s">
        <v>87</v>
      </c>
      <c r="B116" t="s">
        <v>3012</v>
      </c>
      <c r="C116" t="s">
        <v>2789</v>
      </c>
      <c r="D116" t="s">
        <v>36</v>
      </c>
      <c r="E116" t="s">
        <v>36</v>
      </c>
      <c r="F116" t="s">
        <v>36</v>
      </c>
      <c r="G116" t="s">
        <v>36</v>
      </c>
      <c r="H116" t="s">
        <v>36</v>
      </c>
      <c r="I116" t="s">
        <v>36</v>
      </c>
      <c r="J116" t="s">
        <v>36</v>
      </c>
      <c r="N116" s="98" t="s">
        <v>3076</v>
      </c>
      <c r="O116" s="98" t="s">
        <v>36</v>
      </c>
      <c r="P116" t="s">
        <v>2882</v>
      </c>
      <c r="Q116" t="s">
        <v>2713</v>
      </c>
      <c r="R116" t="s">
        <v>36</v>
      </c>
      <c r="S116" t="s">
        <v>36</v>
      </c>
      <c r="T116">
        <v>1.8200000000000001E-2</v>
      </c>
      <c r="U116">
        <v>2.4500000000000002</v>
      </c>
      <c r="V116">
        <v>13.01</v>
      </c>
      <c r="W116">
        <f t="shared" si="1"/>
        <v>31.874500000000001</v>
      </c>
      <c r="X116" t="s">
        <v>36</v>
      </c>
    </row>
    <row r="117" spans="1:24" ht="16">
      <c r="A117" t="s">
        <v>87</v>
      </c>
      <c r="B117" t="s">
        <v>3013</v>
      </c>
      <c r="C117" t="s">
        <v>2789</v>
      </c>
      <c r="D117" t="s">
        <v>36</v>
      </c>
      <c r="E117" t="s">
        <v>36</v>
      </c>
      <c r="F117" t="s">
        <v>36</v>
      </c>
      <c r="G117" t="s">
        <v>36</v>
      </c>
      <c r="H117" t="s">
        <v>36</v>
      </c>
      <c r="I117" t="s">
        <v>36</v>
      </c>
      <c r="J117" t="s">
        <v>36</v>
      </c>
      <c r="N117" s="98" t="s">
        <v>3077</v>
      </c>
      <c r="O117" s="98" t="s">
        <v>36</v>
      </c>
      <c r="P117" t="s">
        <v>2883</v>
      </c>
      <c r="Q117" t="s">
        <v>36</v>
      </c>
      <c r="R117" t="s">
        <v>36</v>
      </c>
      <c r="S117" t="s">
        <v>36</v>
      </c>
      <c r="T117">
        <v>5.4000000000000003E-3</v>
      </c>
      <c r="U117">
        <v>1.43</v>
      </c>
      <c r="V117">
        <v>6.25</v>
      </c>
      <c r="W117">
        <f t="shared" si="1"/>
        <v>8.9375</v>
      </c>
      <c r="X117" t="s">
        <v>36</v>
      </c>
    </row>
    <row r="118" spans="1:24" ht="16">
      <c r="A118" t="s">
        <v>87</v>
      </c>
      <c r="B118" t="s">
        <v>3014</v>
      </c>
      <c r="C118" t="s">
        <v>2789</v>
      </c>
      <c r="D118" t="s">
        <v>36</v>
      </c>
      <c r="E118" t="s">
        <v>36</v>
      </c>
      <c r="F118" t="s">
        <v>36</v>
      </c>
      <c r="G118" t="s">
        <v>36</v>
      </c>
      <c r="H118" t="s">
        <v>36</v>
      </c>
      <c r="I118" t="s">
        <v>36</v>
      </c>
      <c r="J118" t="s">
        <v>36</v>
      </c>
      <c r="N118" s="98" t="s">
        <v>3078</v>
      </c>
      <c r="O118" s="98" t="s">
        <v>36</v>
      </c>
      <c r="P118" t="s">
        <v>2884</v>
      </c>
      <c r="Q118" t="s">
        <v>2713</v>
      </c>
      <c r="R118" t="s">
        <v>36</v>
      </c>
      <c r="S118" t="s">
        <v>36</v>
      </c>
      <c r="T118">
        <v>2.07E-2</v>
      </c>
      <c r="U118">
        <v>2.93</v>
      </c>
      <c r="V118">
        <v>15.07</v>
      </c>
      <c r="W118">
        <f t="shared" si="1"/>
        <v>44.155100000000004</v>
      </c>
      <c r="X118" t="s">
        <v>36</v>
      </c>
    </row>
    <row r="119" spans="1:24" ht="16">
      <c r="A119" t="s">
        <v>87</v>
      </c>
      <c r="B119" t="s">
        <v>3015</v>
      </c>
      <c r="C119" t="s">
        <v>2789</v>
      </c>
      <c r="D119" t="s">
        <v>36</v>
      </c>
      <c r="E119" t="s">
        <v>36</v>
      </c>
      <c r="F119" t="s">
        <v>36</v>
      </c>
      <c r="G119" t="s">
        <v>36</v>
      </c>
      <c r="H119" t="s">
        <v>36</v>
      </c>
      <c r="I119" t="s">
        <v>36</v>
      </c>
      <c r="J119" t="s">
        <v>36</v>
      </c>
      <c r="N119" s="98" t="s">
        <v>3079</v>
      </c>
      <c r="O119" s="98" t="s">
        <v>36</v>
      </c>
      <c r="P119" t="s">
        <v>2885</v>
      </c>
      <c r="Q119" t="s">
        <v>36</v>
      </c>
      <c r="R119" t="s">
        <v>36</v>
      </c>
      <c r="S119" t="s">
        <v>36</v>
      </c>
      <c r="T119">
        <v>1.5900000000000001E-2</v>
      </c>
      <c r="U119">
        <v>2.29</v>
      </c>
      <c r="V119">
        <v>10.73</v>
      </c>
      <c r="W119">
        <f t="shared" si="1"/>
        <v>24.5717</v>
      </c>
      <c r="X119" t="s">
        <v>36</v>
      </c>
    </row>
    <row r="120" spans="1:24" ht="16">
      <c r="A120" t="s">
        <v>87</v>
      </c>
      <c r="B120" t="s">
        <v>3015</v>
      </c>
      <c r="C120" t="s">
        <v>2789</v>
      </c>
      <c r="D120" t="s">
        <v>36</v>
      </c>
      <c r="E120" t="s">
        <v>36</v>
      </c>
      <c r="F120" t="s">
        <v>36</v>
      </c>
      <c r="G120" t="s">
        <v>36</v>
      </c>
      <c r="H120" t="s">
        <v>36</v>
      </c>
      <c r="I120" t="s">
        <v>36</v>
      </c>
      <c r="J120" t="s">
        <v>36</v>
      </c>
      <c r="N120" s="98" t="s">
        <v>3079</v>
      </c>
      <c r="O120" s="98" t="s">
        <v>36</v>
      </c>
      <c r="P120" t="s">
        <v>2885</v>
      </c>
      <c r="Q120" t="s">
        <v>2712</v>
      </c>
      <c r="R120" t="s">
        <v>36</v>
      </c>
      <c r="S120" t="s">
        <v>36</v>
      </c>
      <c r="T120">
        <v>1.5900000000000001E-2</v>
      </c>
      <c r="U120">
        <v>2.29</v>
      </c>
      <c r="V120">
        <v>10.73</v>
      </c>
      <c r="W120">
        <f t="shared" si="1"/>
        <v>24.5717</v>
      </c>
      <c r="X120" t="s">
        <v>36</v>
      </c>
    </row>
    <row r="121" spans="1:24" ht="16">
      <c r="A121" t="s">
        <v>87</v>
      </c>
      <c r="B121" t="s">
        <v>3016</v>
      </c>
      <c r="C121" t="s">
        <v>2789</v>
      </c>
      <c r="D121" t="s">
        <v>36</v>
      </c>
      <c r="E121" t="s">
        <v>36</v>
      </c>
      <c r="F121" t="s">
        <v>36</v>
      </c>
      <c r="G121" t="s">
        <v>36</v>
      </c>
      <c r="H121" t="s">
        <v>36</v>
      </c>
      <c r="I121" t="s">
        <v>36</v>
      </c>
      <c r="J121" t="s">
        <v>36</v>
      </c>
      <c r="N121" s="98" t="s">
        <v>3080</v>
      </c>
      <c r="O121" s="98" t="s">
        <v>36</v>
      </c>
      <c r="P121" t="s">
        <v>2886</v>
      </c>
      <c r="Q121" t="s">
        <v>2813</v>
      </c>
      <c r="R121" t="s">
        <v>36</v>
      </c>
      <c r="S121" t="s">
        <v>36</v>
      </c>
      <c r="T121">
        <v>7.3800000000000004E-2</v>
      </c>
      <c r="U121">
        <v>3.84</v>
      </c>
      <c r="V121">
        <v>12.28</v>
      </c>
      <c r="W121">
        <f t="shared" si="1"/>
        <v>47.155199999999994</v>
      </c>
      <c r="X121" t="s">
        <v>36</v>
      </c>
    </row>
    <row r="122" spans="1:24" ht="16">
      <c r="A122" t="s">
        <v>87</v>
      </c>
      <c r="B122" t="s">
        <v>3017</v>
      </c>
      <c r="C122" t="s">
        <v>2789</v>
      </c>
      <c r="D122" t="s">
        <v>36</v>
      </c>
      <c r="E122" t="s">
        <v>36</v>
      </c>
      <c r="F122" t="s">
        <v>36</v>
      </c>
      <c r="G122" t="s">
        <v>36</v>
      </c>
      <c r="H122" t="s">
        <v>36</v>
      </c>
      <c r="I122" t="s">
        <v>36</v>
      </c>
      <c r="J122" t="s">
        <v>36</v>
      </c>
      <c r="N122" s="98" t="s">
        <v>3077</v>
      </c>
      <c r="O122" s="98" t="s">
        <v>36</v>
      </c>
      <c r="P122" t="s">
        <v>2883</v>
      </c>
      <c r="Q122" t="s">
        <v>36</v>
      </c>
      <c r="R122" t="s">
        <v>36</v>
      </c>
      <c r="S122" t="s">
        <v>36</v>
      </c>
      <c r="T122">
        <v>1.26E-2</v>
      </c>
      <c r="U122">
        <v>1.89</v>
      </c>
      <c r="V122">
        <v>9.4499999999999993</v>
      </c>
      <c r="W122">
        <f t="shared" si="1"/>
        <v>17.860499999999998</v>
      </c>
      <c r="X122" t="s">
        <v>36</v>
      </c>
    </row>
    <row r="123" spans="1:24" ht="16">
      <c r="A123" t="s">
        <v>87</v>
      </c>
      <c r="B123" t="s">
        <v>3018</v>
      </c>
      <c r="C123" t="s">
        <v>2789</v>
      </c>
      <c r="D123" t="s">
        <v>36</v>
      </c>
      <c r="E123" t="s">
        <v>36</v>
      </c>
      <c r="F123" t="s">
        <v>36</v>
      </c>
      <c r="G123" t="s">
        <v>36</v>
      </c>
      <c r="H123" t="s">
        <v>36</v>
      </c>
      <c r="I123" t="s">
        <v>36</v>
      </c>
      <c r="J123" t="s">
        <v>36</v>
      </c>
      <c r="N123" s="98" t="s">
        <v>3081</v>
      </c>
      <c r="O123" s="98" t="s">
        <v>36</v>
      </c>
      <c r="P123" t="s">
        <v>2887</v>
      </c>
      <c r="Q123" t="s">
        <v>2712</v>
      </c>
      <c r="R123" t="s">
        <v>36</v>
      </c>
      <c r="S123" t="s">
        <v>36</v>
      </c>
      <c r="T123">
        <v>2.87E-2</v>
      </c>
      <c r="U123">
        <v>4.0999999999999996</v>
      </c>
      <c r="V123">
        <v>17.239999999999998</v>
      </c>
      <c r="W123">
        <f t="shared" si="1"/>
        <v>70.683999999999983</v>
      </c>
      <c r="X123" t="s">
        <v>36</v>
      </c>
    </row>
    <row r="124" spans="1:24" ht="16">
      <c r="A124" t="s">
        <v>87</v>
      </c>
      <c r="B124" t="s">
        <v>3019</v>
      </c>
      <c r="C124" t="s">
        <v>2789</v>
      </c>
      <c r="D124" t="s">
        <v>36</v>
      </c>
      <c r="E124" t="s">
        <v>36</v>
      </c>
      <c r="F124" t="s">
        <v>36</v>
      </c>
      <c r="G124" t="s">
        <v>36</v>
      </c>
      <c r="H124" t="s">
        <v>36</v>
      </c>
      <c r="I124" t="s">
        <v>36</v>
      </c>
      <c r="J124" t="s">
        <v>36</v>
      </c>
      <c r="N124" s="98" t="s">
        <v>3082</v>
      </c>
      <c r="O124" s="98" t="s">
        <v>36</v>
      </c>
      <c r="P124" t="s">
        <v>2859</v>
      </c>
      <c r="Q124" t="s">
        <v>36</v>
      </c>
      <c r="R124" t="s">
        <v>36</v>
      </c>
      <c r="S124" t="s">
        <v>36</v>
      </c>
      <c r="T124">
        <v>2.3699999999999999E-2</v>
      </c>
      <c r="U124">
        <v>1.52</v>
      </c>
      <c r="V124">
        <v>11.65</v>
      </c>
      <c r="W124">
        <f t="shared" si="1"/>
        <v>17.708000000000002</v>
      </c>
      <c r="X124" t="s">
        <v>36</v>
      </c>
    </row>
    <row r="125" spans="1:24" ht="16">
      <c r="A125" t="s">
        <v>87</v>
      </c>
      <c r="B125" t="s">
        <v>3020</v>
      </c>
      <c r="C125" t="s">
        <v>2789</v>
      </c>
      <c r="D125" t="s">
        <v>36</v>
      </c>
      <c r="E125" t="s">
        <v>36</v>
      </c>
      <c r="F125" t="s">
        <v>36</v>
      </c>
      <c r="G125" t="s">
        <v>36</v>
      </c>
      <c r="H125" t="s">
        <v>36</v>
      </c>
      <c r="I125" t="s">
        <v>36</v>
      </c>
      <c r="J125" t="s">
        <v>36</v>
      </c>
      <c r="N125" s="98" t="s">
        <v>3083</v>
      </c>
      <c r="O125" s="98" t="s">
        <v>36</v>
      </c>
      <c r="P125" t="s">
        <v>2888</v>
      </c>
      <c r="Q125" t="s">
        <v>2813</v>
      </c>
      <c r="R125" t="s">
        <v>36</v>
      </c>
      <c r="S125" t="s">
        <v>36</v>
      </c>
      <c r="T125">
        <v>2.8899999999999999E-2</v>
      </c>
      <c r="U125">
        <v>2.56</v>
      </c>
      <c r="V125">
        <v>14.06</v>
      </c>
      <c r="W125">
        <f t="shared" si="1"/>
        <v>35.993600000000001</v>
      </c>
      <c r="X125" t="s">
        <v>36</v>
      </c>
    </row>
    <row r="126" spans="1:24" ht="16">
      <c r="A126" t="s">
        <v>87</v>
      </c>
      <c r="B126" t="s">
        <v>3021</v>
      </c>
      <c r="C126" t="s">
        <v>2789</v>
      </c>
      <c r="D126" t="s">
        <v>36</v>
      </c>
      <c r="E126" t="s">
        <v>36</v>
      </c>
      <c r="F126" t="s">
        <v>36</v>
      </c>
      <c r="G126" t="s">
        <v>36</v>
      </c>
      <c r="H126" t="s">
        <v>36</v>
      </c>
      <c r="I126" t="s">
        <v>36</v>
      </c>
      <c r="J126" t="s">
        <v>36</v>
      </c>
      <c r="N126" s="98" t="s">
        <v>3084</v>
      </c>
      <c r="O126" s="98" t="s">
        <v>36</v>
      </c>
      <c r="P126" t="s">
        <v>2889</v>
      </c>
      <c r="Q126" t="s">
        <v>2712</v>
      </c>
      <c r="R126" t="s">
        <v>36</v>
      </c>
      <c r="S126" t="s">
        <v>36</v>
      </c>
      <c r="T126">
        <v>0.20130000000000001</v>
      </c>
      <c r="U126">
        <v>4.1900000000000004</v>
      </c>
      <c r="V126">
        <v>29</v>
      </c>
      <c r="W126">
        <f t="shared" si="1"/>
        <v>121.51</v>
      </c>
      <c r="X126" t="s">
        <v>36</v>
      </c>
    </row>
    <row r="127" spans="1:24" ht="16">
      <c r="A127" t="s">
        <v>87</v>
      </c>
      <c r="B127" t="s">
        <v>3022</v>
      </c>
      <c r="C127" t="s">
        <v>2789</v>
      </c>
      <c r="D127" t="s">
        <v>36</v>
      </c>
      <c r="E127" t="s">
        <v>36</v>
      </c>
      <c r="F127" t="s">
        <v>36</v>
      </c>
      <c r="G127" t="s">
        <v>36</v>
      </c>
      <c r="H127" t="s">
        <v>36</v>
      </c>
      <c r="I127" t="s">
        <v>36</v>
      </c>
      <c r="J127" t="s">
        <v>36</v>
      </c>
      <c r="N127" s="98" t="s">
        <v>3084</v>
      </c>
      <c r="O127" s="98" t="s">
        <v>36</v>
      </c>
      <c r="P127" t="s">
        <v>2889</v>
      </c>
      <c r="Q127" t="s">
        <v>2713</v>
      </c>
      <c r="R127" t="s">
        <v>36</v>
      </c>
      <c r="S127" t="s">
        <v>36</v>
      </c>
      <c r="T127">
        <v>0.63039999999999996</v>
      </c>
      <c r="U127">
        <v>6.62</v>
      </c>
      <c r="V127">
        <v>38</v>
      </c>
      <c r="W127">
        <f t="shared" si="1"/>
        <v>251.56</v>
      </c>
      <c r="X127" t="s">
        <v>36</v>
      </c>
    </row>
    <row r="128" spans="1:24" ht="16">
      <c r="A128" t="s">
        <v>87</v>
      </c>
      <c r="B128" t="s">
        <v>3023</v>
      </c>
      <c r="C128" t="s">
        <v>2789</v>
      </c>
      <c r="D128" t="s">
        <v>36</v>
      </c>
      <c r="E128" t="s">
        <v>36</v>
      </c>
      <c r="F128" t="s">
        <v>36</v>
      </c>
      <c r="G128" t="s">
        <v>36</v>
      </c>
      <c r="H128" t="s">
        <v>36</v>
      </c>
      <c r="I128" t="s">
        <v>36</v>
      </c>
      <c r="J128" t="s">
        <v>36</v>
      </c>
      <c r="N128" s="98" t="s">
        <v>3085</v>
      </c>
      <c r="O128" s="98" t="s">
        <v>36</v>
      </c>
      <c r="P128" t="s">
        <v>2890</v>
      </c>
      <c r="Q128" t="s">
        <v>2713</v>
      </c>
      <c r="R128" t="s">
        <v>36</v>
      </c>
      <c r="S128" t="s">
        <v>36</v>
      </c>
      <c r="T128">
        <v>1.47E-2</v>
      </c>
      <c r="U128">
        <v>2.5099999999999998</v>
      </c>
      <c r="V128">
        <v>10.39</v>
      </c>
      <c r="W128">
        <f t="shared" si="1"/>
        <v>26.078900000000001</v>
      </c>
      <c r="X128" t="s">
        <v>36</v>
      </c>
    </row>
    <row r="129" spans="1:24" ht="16">
      <c r="A129" t="s">
        <v>87</v>
      </c>
      <c r="B129" t="s">
        <v>3024</v>
      </c>
      <c r="C129" t="s">
        <v>2789</v>
      </c>
      <c r="D129" t="s">
        <v>36</v>
      </c>
      <c r="E129" t="s">
        <v>36</v>
      </c>
      <c r="F129" t="s">
        <v>36</v>
      </c>
      <c r="G129" t="s">
        <v>36</v>
      </c>
      <c r="H129" t="s">
        <v>36</v>
      </c>
      <c r="I129" t="s">
        <v>36</v>
      </c>
      <c r="J129" t="s">
        <v>36</v>
      </c>
      <c r="N129" s="98" t="s">
        <v>3086</v>
      </c>
      <c r="O129" s="98" t="s">
        <v>36</v>
      </c>
      <c r="P129" t="s">
        <v>2891</v>
      </c>
      <c r="Q129" t="s">
        <v>2713</v>
      </c>
      <c r="R129" t="s">
        <v>36</v>
      </c>
      <c r="S129" t="s">
        <v>36</v>
      </c>
      <c r="T129">
        <v>3.0700000000000002E-2</v>
      </c>
      <c r="U129">
        <v>2.29</v>
      </c>
      <c r="V129">
        <v>12.39</v>
      </c>
      <c r="W129">
        <f t="shared" si="1"/>
        <v>28.373100000000001</v>
      </c>
      <c r="X129" t="s">
        <v>36</v>
      </c>
    </row>
    <row r="130" spans="1:24" ht="16">
      <c r="A130" t="s">
        <v>87</v>
      </c>
      <c r="B130" t="s">
        <v>3025</v>
      </c>
      <c r="C130" t="s">
        <v>2789</v>
      </c>
      <c r="D130" t="s">
        <v>36</v>
      </c>
      <c r="E130" t="s">
        <v>36</v>
      </c>
      <c r="F130" t="s">
        <v>36</v>
      </c>
      <c r="G130" t="s">
        <v>36</v>
      </c>
      <c r="H130" t="s">
        <v>36</v>
      </c>
      <c r="I130" t="s">
        <v>36</v>
      </c>
      <c r="J130" t="s">
        <v>36</v>
      </c>
      <c r="N130" s="98" t="s">
        <v>3087</v>
      </c>
      <c r="O130" s="98" t="s">
        <v>36</v>
      </c>
      <c r="P130" t="s">
        <v>2662</v>
      </c>
      <c r="Q130" t="s">
        <v>2712</v>
      </c>
      <c r="R130" t="s">
        <v>36</v>
      </c>
      <c r="S130" t="s">
        <v>36</v>
      </c>
      <c r="T130">
        <v>2.2100000000000002E-2</v>
      </c>
      <c r="U130">
        <v>2.2200000000000002</v>
      </c>
      <c r="V130">
        <v>11.88</v>
      </c>
      <c r="W130">
        <f t="shared" ref="W130:W140" si="2">U130*V130</f>
        <v>26.373600000000003</v>
      </c>
      <c r="X130" t="s">
        <v>36</v>
      </c>
    </row>
    <row r="131" spans="1:24" ht="16">
      <c r="A131" t="s">
        <v>87</v>
      </c>
      <c r="B131" t="s">
        <v>3026</v>
      </c>
      <c r="C131" t="s">
        <v>2789</v>
      </c>
      <c r="D131" t="s">
        <v>36</v>
      </c>
      <c r="E131" t="s">
        <v>36</v>
      </c>
      <c r="F131" t="s">
        <v>36</v>
      </c>
      <c r="G131" t="s">
        <v>36</v>
      </c>
      <c r="H131" t="s">
        <v>36</v>
      </c>
      <c r="I131" t="s">
        <v>36</v>
      </c>
      <c r="J131" t="s">
        <v>36</v>
      </c>
      <c r="N131" s="98" t="s">
        <v>3088</v>
      </c>
      <c r="O131" s="98" t="s">
        <v>36</v>
      </c>
      <c r="P131" t="s">
        <v>2892</v>
      </c>
      <c r="Q131" t="s">
        <v>36</v>
      </c>
      <c r="R131" t="s">
        <v>36</v>
      </c>
      <c r="S131" t="s">
        <v>36</v>
      </c>
      <c r="T131">
        <v>1.6999999999999999E-3</v>
      </c>
      <c r="U131">
        <v>1.1000000000000001</v>
      </c>
      <c r="V131">
        <v>5.28</v>
      </c>
      <c r="W131">
        <f t="shared" si="2"/>
        <v>5.8080000000000007</v>
      </c>
      <c r="X131" t="s">
        <v>36</v>
      </c>
    </row>
    <row r="132" spans="1:24" ht="16">
      <c r="A132" t="s">
        <v>87</v>
      </c>
      <c r="B132" t="s">
        <v>3027</v>
      </c>
      <c r="C132" t="s">
        <v>2789</v>
      </c>
      <c r="D132" t="s">
        <v>36</v>
      </c>
      <c r="E132" t="s">
        <v>36</v>
      </c>
      <c r="F132" t="s">
        <v>36</v>
      </c>
      <c r="G132" t="s">
        <v>36</v>
      </c>
      <c r="H132" t="s">
        <v>36</v>
      </c>
      <c r="I132" t="s">
        <v>36</v>
      </c>
      <c r="J132" t="s">
        <v>36</v>
      </c>
      <c r="N132" s="98" t="s">
        <v>3089</v>
      </c>
      <c r="O132" s="98" t="s">
        <v>36</v>
      </c>
      <c r="P132" t="s">
        <v>2893</v>
      </c>
      <c r="Q132" t="s">
        <v>2712</v>
      </c>
      <c r="R132" t="s">
        <v>36</v>
      </c>
      <c r="S132" t="s">
        <v>36</v>
      </c>
      <c r="T132">
        <v>4.7000000000000002E-3</v>
      </c>
      <c r="U132">
        <v>1.69</v>
      </c>
      <c r="V132">
        <v>7.57</v>
      </c>
      <c r="W132">
        <f t="shared" si="2"/>
        <v>12.7933</v>
      </c>
      <c r="X132" t="s">
        <v>36</v>
      </c>
    </row>
    <row r="133" spans="1:24" ht="16">
      <c r="A133" t="s">
        <v>87</v>
      </c>
      <c r="B133" t="s">
        <v>3028</v>
      </c>
      <c r="C133" t="s">
        <v>2789</v>
      </c>
      <c r="D133" t="s">
        <v>36</v>
      </c>
      <c r="E133" t="s">
        <v>36</v>
      </c>
      <c r="F133" t="s">
        <v>36</v>
      </c>
      <c r="G133" t="s">
        <v>36</v>
      </c>
      <c r="H133" t="s">
        <v>36</v>
      </c>
      <c r="I133" t="s">
        <v>36</v>
      </c>
      <c r="J133" t="s">
        <v>36</v>
      </c>
      <c r="N133" s="98" t="s">
        <v>3090</v>
      </c>
      <c r="O133" s="98" t="s">
        <v>36</v>
      </c>
      <c r="P133" t="s">
        <v>2894</v>
      </c>
      <c r="Q133" t="s">
        <v>2713</v>
      </c>
      <c r="R133" t="s">
        <v>36</v>
      </c>
      <c r="S133" t="s">
        <v>36</v>
      </c>
      <c r="T133">
        <v>1.7600000000000001E-2</v>
      </c>
      <c r="U133">
        <v>1.38</v>
      </c>
      <c r="V133">
        <v>20.59</v>
      </c>
      <c r="W133">
        <f t="shared" si="2"/>
        <v>28.414199999999997</v>
      </c>
      <c r="X133" t="s">
        <v>36</v>
      </c>
    </row>
    <row r="134" spans="1:24" ht="16">
      <c r="A134" t="s">
        <v>87</v>
      </c>
      <c r="B134" t="s">
        <v>3029</v>
      </c>
      <c r="C134" t="s">
        <v>2789</v>
      </c>
      <c r="D134" t="s">
        <v>36</v>
      </c>
      <c r="E134" t="s">
        <v>36</v>
      </c>
      <c r="F134" t="s">
        <v>36</v>
      </c>
      <c r="G134" t="s">
        <v>36</v>
      </c>
      <c r="H134" t="s">
        <v>36</v>
      </c>
      <c r="I134" t="s">
        <v>36</v>
      </c>
      <c r="J134" t="s">
        <v>36</v>
      </c>
      <c r="N134" s="98" t="s">
        <v>3091</v>
      </c>
      <c r="O134" s="98" t="s">
        <v>36</v>
      </c>
      <c r="P134" t="s">
        <v>2895</v>
      </c>
      <c r="Q134" t="s">
        <v>2713</v>
      </c>
      <c r="R134" t="s">
        <v>36</v>
      </c>
      <c r="S134" t="s">
        <v>36</v>
      </c>
      <c r="T134">
        <v>1.23E-2</v>
      </c>
      <c r="U134">
        <v>1.75</v>
      </c>
      <c r="V134">
        <v>10.02</v>
      </c>
      <c r="W134">
        <f t="shared" si="2"/>
        <v>17.535</v>
      </c>
      <c r="X134" t="s">
        <v>36</v>
      </c>
    </row>
    <row r="135" spans="1:24" ht="16">
      <c r="A135" t="s">
        <v>87</v>
      </c>
      <c r="B135" t="s">
        <v>3030</v>
      </c>
      <c r="C135" t="s">
        <v>2789</v>
      </c>
      <c r="D135" t="s">
        <v>36</v>
      </c>
      <c r="E135" t="s">
        <v>36</v>
      </c>
      <c r="F135" t="s">
        <v>36</v>
      </c>
      <c r="G135" t="s">
        <v>36</v>
      </c>
      <c r="H135" t="s">
        <v>36</v>
      </c>
      <c r="I135" t="s">
        <v>36</v>
      </c>
      <c r="J135" t="s">
        <v>36</v>
      </c>
      <c r="N135" s="98" t="s">
        <v>3092</v>
      </c>
      <c r="O135" s="98" t="s">
        <v>36</v>
      </c>
      <c r="P135" t="s">
        <v>2859</v>
      </c>
      <c r="Q135" t="s">
        <v>36</v>
      </c>
      <c r="R135" t="s">
        <v>36</v>
      </c>
      <c r="S135" t="s">
        <v>36</v>
      </c>
      <c r="T135">
        <v>6.4000000000000003E-3</v>
      </c>
      <c r="U135">
        <v>0.91</v>
      </c>
      <c r="V135">
        <v>7.33</v>
      </c>
      <c r="W135">
        <f t="shared" si="2"/>
        <v>6.6703000000000001</v>
      </c>
      <c r="X135" t="s">
        <v>36</v>
      </c>
    </row>
    <row r="136" spans="1:24" ht="16">
      <c r="A136" t="s">
        <v>87</v>
      </c>
      <c r="B136" t="s">
        <v>3031</v>
      </c>
      <c r="C136" t="s">
        <v>2789</v>
      </c>
      <c r="D136" t="s">
        <v>36</v>
      </c>
      <c r="E136" t="s">
        <v>36</v>
      </c>
      <c r="F136" t="s">
        <v>36</v>
      </c>
      <c r="G136" t="s">
        <v>36</v>
      </c>
      <c r="H136" t="s">
        <v>36</v>
      </c>
      <c r="I136" t="s">
        <v>36</v>
      </c>
      <c r="J136" t="s">
        <v>36</v>
      </c>
      <c r="N136" s="98" t="s">
        <v>3076</v>
      </c>
      <c r="O136" s="98" t="s">
        <v>36</v>
      </c>
      <c r="P136" t="s">
        <v>2859</v>
      </c>
      <c r="Q136" t="s">
        <v>36</v>
      </c>
      <c r="R136" t="s">
        <v>36</v>
      </c>
      <c r="S136" t="s">
        <v>36</v>
      </c>
      <c r="T136">
        <v>8.0999999999999996E-3</v>
      </c>
      <c r="U136">
        <v>1.38</v>
      </c>
      <c r="V136">
        <v>7.61</v>
      </c>
      <c r="W136">
        <f t="shared" si="2"/>
        <v>10.501799999999999</v>
      </c>
      <c r="X136" t="s">
        <v>36</v>
      </c>
    </row>
    <row r="137" spans="1:24" ht="16">
      <c r="A137" t="s">
        <v>87</v>
      </c>
      <c r="B137" t="s">
        <v>3032</v>
      </c>
      <c r="C137" t="s">
        <v>2789</v>
      </c>
      <c r="D137" t="s">
        <v>36</v>
      </c>
      <c r="E137" t="s">
        <v>36</v>
      </c>
      <c r="F137" t="s">
        <v>36</v>
      </c>
      <c r="G137" t="s">
        <v>36</v>
      </c>
      <c r="H137" t="s">
        <v>36</v>
      </c>
      <c r="I137" t="s">
        <v>36</v>
      </c>
      <c r="J137" t="s">
        <v>36</v>
      </c>
      <c r="N137" s="98" t="s">
        <v>3093</v>
      </c>
      <c r="O137" s="98" t="s">
        <v>36</v>
      </c>
      <c r="P137" t="s">
        <v>2896</v>
      </c>
      <c r="Q137" t="s">
        <v>2713</v>
      </c>
      <c r="R137" t="s">
        <v>36</v>
      </c>
      <c r="S137" t="s">
        <v>36</v>
      </c>
      <c r="T137">
        <v>1.3299999999999999E-2</v>
      </c>
      <c r="U137">
        <v>1.97</v>
      </c>
      <c r="V137">
        <v>8.59</v>
      </c>
      <c r="W137">
        <f t="shared" si="2"/>
        <v>16.9223</v>
      </c>
      <c r="X137" t="s">
        <v>36</v>
      </c>
    </row>
    <row r="138" spans="1:24" ht="16">
      <c r="A138" t="s">
        <v>87</v>
      </c>
      <c r="B138" t="s">
        <v>3033</v>
      </c>
      <c r="C138" t="s">
        <v>2789</v>
      </c>
      <c r="D138" t="s">
        <v>36</v>
      </c>
      <c r="E138" t="s">
        <v>36</v>
      </c>
      <c r="F138" t="s">
        <v>36</v>
      </c>
      <c r="G138" t="s">
        <v>36</v>
      </c>
      <c r="H138" t="s">
        <v>36</v>
      </c>
      <c r="I138" t="s">
        <v>36</v>
      </c>
      <c r="J138" t="s">
        <v>36</v>
      </c>
      <c r="N138" s="98" t="s">
        <v>3077</v>
      </c>
      <c r="O138" s="98" t="s">
        <v>36</v>
      </c>
      <c r="P138" t="s">
        <v>2897</v>
      </c>
      <c r="Q138" t="s">
        <v>2712</v>
      </c>
      <c r="R138" t="s">
        <v>36</v>
      </c>
      <c r="S138" t="s">
        <v>36</v>
      </c>
      <c r="T138">
        <v>5.1999999999999998E-3</v>
      </c>
      <c r="U138">
        <v>1.4</v>
      </c>
      <c r="V138">
        <v>7.37</v>
      </c>
      <c r="W138">
        <f t="shared" si="2"/>
        <v>10.318</v>
      </c>
      <c r="X138" t="s">
        <v>36</v>
      </c>
    </row>
    <row r="139" spans="1:24" ht="16">
      <c r="A139" t="s">
        <v>87</v>
      </c>
      <c r="B139" t="s">
        <v>2971</v>
      </c>
      <c r="C139" t="s">
        <v>2789</v>
      </c>
      <c r="D139" t="s">
        <v>36</v>
      </c>
      <c r="E139" t="s">
        <v>36</v>
      </c>
      <c r="F139" t="s">
        <v>36</v>
      </c>
      <c r="G139" t="s">
        <v>36</v>
      </c>
      <c r="H139" t="s">
        <v>36</v>
      </c>
      <c r="I139" t="s">
        <v>36</v>
      </c>
      <c r="J139" t="s">
        <v>36</v>
      </c>
      <c r="N139" s="98" t="s">
        <v>3076</v>
      </c>
      <c r="O139" s="98" t="s">
        <v>36</v>
      </c>
      <c r="P139" t="s">
        <v>2859</v>
      </c>
      <c r="Q139" t="s">
        <v>36</v>
      </c>
      <c r="R139" t="s">
        <v>36</v>
      </c>
      <c r="S139" t="s">
        <v>36</v>
      </c>
      <c r="T139">
        <v>6.3E-3</v>
      </c>
      <c r="U139">
        <v>1.76</v>
      </c>
      <c r="V139">
        <v>6.93</v>
      </c>
      <c r="W139">
        <f t="shared" si="2"/>
        <v>12.1968</v>
      </c>
      <c r="X139" t="s">
        <v>36</v>
      </c>
    </row>
    <row r="140" spans="1:24" ht="16">
      <c r="A140" t="s">
        <v>87</v>
      </c>
      <c r="B140" t="s">
        <v>3034</v>
      </c>
      <c r="C140" t="s">
        <v>2789</v>
      </c>
      <c r="D140" t="s">
        <v>36</v>
      </c>
      <c r="E140" t="s">
        <v>36</v>
      </c>
      <c r="F140" t="s">
        <v>36</v>
      </c>
      <c r="G140" t="s">
        <v>36</v>
      </c>
      <c r="H140" t="s">
        <v>36</v>
      </c>
      <c r="I140" t="s">
        <v>36</v>
      </c>
      <c r="J140" t="s">
        <v>36</v>
      </c>
      <c r="N140" s="98" t="s">
        <v>3088</v>
      </c>
      <c r="O140" s="98" t="s">
        <v>36</v>
      </c>
      <c r="P140" t="s">
        <v>2898</v>
      </c>
      <c r="Q140" t="s">
        <v>2713</v>
      </c>
      <c r="R140" t="s">
        <v>36</v>
      </c>
      <c r="S140" t="s">
        <v>36</v>
      </c>
      <c r="T140">
        <v>1.66E-2</v>
      </c>
      <c r="U140">
        <v>1.98</v>
      </c>
      <c r="V140">
        <v>10.33</v>
      </c>
      <c r="W140">
        <f t="shared" si="2"/>
        <v>20.453399999999998</v>
      </c>
      <c r="X140" t="s">
        <v>36</v>
      </c>
    </row>
  </sheetData>
  <sortState ref="A2:X140">
    <sortCondition ref="A2:A1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04"/>
  <sheetViews>
    <sheetView topLeftCell="A880" zoomScale="77" zoomScaleNormal="77" workbookViewId="0">
      <pane xSplit="2" topLeftCell="C1" activePane="topRight" state="frozen"/>
      <selection pane="topRight" activeCell="E901" sqref="A1:Y904"/>
    </sheetView>
  </sheetViews>
  <sheetFormatPr baseColWidth="10" defaultColWidth="12" defaultRowHeight="20"/>
  <cols>
    <col min="1" max="1" width="8" style="9" bestFit="1" customWidth="1"/>
    <col min="2" max="2" width="16.33203125" style="83" customWidth="1"/>
    <col min="3" max="4" width="8.5" style="9" customWidth="1"/>
    <col min="5" max="5" width="41.6640625" style="9" bestFit="1" customWidth="1"/>
    <col min="6" max="7" width="21.33203125" style="9" customWidth="1"/>
    <col min="8" max="8" width="10.1640625" style="9" customWidth="1"/>
    <col min="9" max="9" width="12" style="71" bestFit="1" customWidth="1"/>
    <col min="10" max="10" width="26" style="9" customWidth="1"/>
    <col min="11" max="12" width="12" style="9"/>
    <col min="13" max="14" width="14.33203125" style="9" bestFit="1" customWidth="1"/>
    <col min="15" max="15" width="30.83203125" style="9" bestFit="1" customWidth="1"/>
    <col min="16" max="16" width="30.83203125" style="9" customWidth="1"/>
    <col min="17" max="17" width="20.1640625" style="9" bestFit="1" customWidth="1"/>
    <col min="18" max="20" width="12" style="9"/>
    <col min="21" max="21" width="12" style="41" customWidth="1"/>
    <col min="22" max="22" width="12" style="9" customWidth="1"/>
    <col min="23" max="16384" width="12" style="9"/>
  </cols>
  <sheetData>
    <row r="1" spans="1:25" ht="15" customHeight="1">
      <c r="A1" s="149" t="s">
        <v>2411</v>
      </c>
      <c r="B1" s="150" t="s">
        <v>0</v>
      </c>
      <c r="C1" s="149" t="s">
        <v>2225</v>
      </c>
      <c r="D1" s="149" t="s">
        <v>413</v>
      </c>
      <c r="E1" s="149" t="s">
        <v>1</v>
      </c>
      <c r="F1" s="149" t="s">
        <v>345</v>
      </c>
      <c r="G1" s="149" t="s">
        <v>344</v>
      </c>
      <c r="H1" s="149" t="s">
        <v>349</v>
      </c>
      <c r="I1" s="151" t="s">
        <v>409</v>
      </c>
      <c r="J1" s="149" t="s">
        <v>3</v>
      </c>
      <c r="K1" s="149" t="s">
        <v>4</v>
      </c>
      <c r="L1" s="149" t="s">
        <v>346</v>
      </c>
      <c r="M1" s="149" t="s">
        <v>2560</v>
      </c>
      <c r="N1" s="149" t="s">
        <v>347</v>
      </c>
      <c r="O1" s="149" t="s">
        <v>348</v>
      </c>
      <c r="P1" s="149" t="s">
        <v>2718</v>
      </c>
      <c r="Q1" s="149" t="s">
        <v>5</v>
      </c>
      <c r="R1" s="149" t="s">
        <v>2101</v>
      </c>
      <c r="S1" s="149" t="s">
        <v>7</v>
      </c>
      <c r="T1" s="149" t="s">
        <v>1748</v>
      </c>
      <c r="U1" s="70" t="s">
        <v>1749</v>
      </c>
      <c r="V1" s="149" t="s">
        <v>9</v>
      </c>
      <c r="W1" s="149" t="s">
        <v>10</v>
      </c>
      <c r="X1" s="149" t="s">
        <v>2553</v>
      </c>
      <c r="Y1" s="149"/>
    </row>
    <row r="2" spans="1:25" ht="16">
      <c r="A2" s="149" t="s">
        <v>12</v>
      </c>
      <c r="B2" s="150" t="s">
        <v>11</v>
      </c>
      <c r="C2" s="149" t="s">
        <v>1744</v>
      </c>
      <c r="D2" s="149" t="str">
        <f>LEFT(E2,5)</f>
        <v>COFFS</v>
      </c>
      <c r="E2" s="149" t="s">
        <v>2521</v>
      </c>
      <c r="F2" s="70">
        <v>-29.997240000000001</v>
      </c>
      <c r="G2" s="70">
        <v>153.14993100000001</v>
      </c>
      <c r="H2" s="70">
        <v>0</v>
      </c>
      <c r="I2" s="151">
        <v>42866</v>
      </c>
      <c r="J2" s="149" t="s">
        <v>2785</v>
      </c>
      <c r="K2" s="149" t="s">
        <v>177</v>
      </c>
      <c r="L2" s="149" t="s">
        <v>1687</v>
      </c>
      <c r="M2" s="149" t="s">
        <v>2564</v>
      </c>
      <c r="N2" s="149" t="s">
        <v>2565</v>
      </c>
      <c r="O2" s="149" t="s">
        <v>2733</v>
      </c>
      <c r="P2" s="149" t="s">
        <v>2733</v>
      </c>
      <c r="Q2" s="149" t="s">
        <v>2381</v>
      </c>
      <c r="R2" s="149" t="s">
        <v>2713</v>
      </c>
      <c r="S2" s="149">
        <v>6.83E-2</v>
      </c>
      <c r="T2" s="149">
        <v>6.7166000000000003E-2</v>
      </c>
      <c r="U2" s="70">
        <f t="shared" ref="U2:U65" si="0">S2-T2</f>
        <v>1.1339999999999961E-3</v>
      </c>
      <c r="V2" s="149">
        <v>1.9750000000000001</v>
      </c>
      <c r="W2" s="149">
        <v>8.8689999999999998</v>
      </c>
      <c r="X2" s="149">
        <f t="shared" ref="X2:X65" si="1">V2*W2</f>
        <v>17.516275</v>
      </c>
      <c r="Y2" s="149"/>
    </row>
    <row r="3" spans="1:25" ht="16">
      <c r="A3" s="149" t="s">
        <v>12</v>
      </c>
      <c r="B3" s="150" t="s">
        <v>14</v>
      </c>
      <c r="C3" s="149" t="s">
        <v>1744</v>
      </c>
      <c r="D3" s="149" t="str">
        <f t="shared" ref="D3:D66" si="2">LEFT(E3,5)</f>
        <v>COFFS</v>
      </c>
      <c r="E3" s="149" t="s">
        <v>2522</v>
      </c>
      <c r="F3" s="160">
        <v>-29.943010999999998</v>
      </c>
      <c r="G3" s="70">
        <v>153.12657400000001</v>
      </c>
      <c r="H3" s="70">
        <v>0</v>
      </c>
      <c r="I3" s="151">
        <v>42866</v>
      </c>
      <c r="J3" s="149" t="s">
        <v>2097</v>
      </c>
      <c r="K3" s="149" t="s">
        <v>177</v>
      </c>
      <c r="L3" s="149" t="s">
        <v>1687</v>
      </c>
      <c r="M3" s="149" t="s">
        <v>2563</v>
      </c>
      <c r="N3" s="149" t="s">
        <v>2562</v>
      </c>
      <c r="O3" s="149" t="s">
        <v>2103</v>
      </c>
      <c r="P3" s="149" t="s">
        <v>2103</v>
      </c>
      <c r="Q3" s="149" t="s">
        <v>2104</v>
      </c>
      <c r="R3" s="149" t="s">
        <v>2713</v>
      </c>
      <c r="S3" s="149">
        <v>6.9400000000000003E-2</v>
      </c>
      <c r="T3" s="149">
        <v>6.7166000000000003E-2</v>
      </c>
      <c r="U3" s="70">
        <f t="shared" si="0"/>
        <v>2.2339999999999999E-3</v>
      </c>
      <c r="V3" s="149">
        <v>1.6879999999999999</v>
      </c>
      <c r="W3" s="149">
        <v>5.7329999999999997</v>
      </c>
      <c r="X3" s="149">
        <f t="shared" si="1"/>
        <v>9.6773039999999995</v>
      </c>
      <c r="Y3" s="149"/>
    </row>
    <row r="4" spans="1:25" ht="16">
      <c r="A4" s="149" t="s">
        <v>12</v>
      </c>
      <c r="B4" s="150" t="s">
        <v>16</v>
      </c>
      <c r="C4" s="149" t="s">
        <v>1744</v>
      </c>
      <c r="D4" s="149" t="str">
        <f t="shared" si="2"/>
        <v>COFFS</v>
      </c>
      <c r="E4" s="149" t="s">
        <v>2522</v>
      </c>
      <c r="F4" s="160">
        <v>-29.943010999999998</v>
      </c>
      <c r="G4" s="70">
        <v>153.12657400000001</v>
      </c>
      <c r="H4" s="70">
        <v>0</v>
      </c>
      <c r="I4" s="151">
        <v>42866</v>
      </c>
      <c r="J4" s="149" t="s">
        <v>2785</v>
      </c>
      <c r="K4" s="149" t="s">
        <v>177</v>
      </c>
      <c r="L4" s="149" t="s">
        <v>2566</v>
      </c>
      <c r="M4" s="149" t="s">
        <v>2567</v>
      </c>
      <c r="N4" s="149" t="s">
        <v>2668</v>
      </c>
      <c r="O4" s="149" t="s">
        <v>2600</v>
      </c>
      <c r="P4" s="149" t="s">
        <v>2735</v>
      </c>
      <c r="Q4" s="149" t="s">
        <v>2384</v>
      </c>
      <c r="R4" s="149" t="s">
        <v>2713</v>
      </c>
      <c r="S4" s="149">
        <v>7.6600000000000001E-2</v>
      </c>
      <c r="T4" s="149">
        <v>6.7166000000000003E-2</v>
      </c>
      <c r="U4" s="70">
        <f t="shared" si="0"/>
        <v>9.4339999999999979E-3</v>
      </c>
      <c r="V4" s="149">
        <v>3.0680000000000001</v>
      </c>
      <c r="W4" s="149">
        <f>5.727+6.881</f>
        <v>12.608000000000001</v>
      </c>
      <c r="X4" s="149">
        <f t="shared" si="1"/>
        <v>38.681344000000003</v>
      </c>
      <c r="Y4" s="149"/>
    </row>
    <row r="5" spans="1:25" ht="16">
      <c r="A5" s="149" t="s">
        <v>12</v>
      </c>
      <c r="B5" s="150" t="s">
        <v>17</v>
      </c>
      <c r="C5" s="149" t="s">
        <v>1744</v>
      </c>
      <c r="D5" s="149" t="str">
        <f t="shared" si="2"/>
        <v>COFFS</v>
      </c>
      <c r="E5" s="149" t="s">
        <v>2521</v>
      </c>
      <c r="F5" s="70">
        <v>-29.997240000000001</v>
      </c>
      <c r="G5" s="70">
        <v>153.14993100000001</v>
      </c>
      <c r="H5" s="70">
        <v>0</v>
      </c>
      <c r="I5" s="151">
        <v>42866</v>
      </c>
      <c r="J5" s="149" t="s">
        <v>2785</v>
      </c>
      <c r="K5" s="149" t="s">
        <v>177</v>
      </c>
      <c r="L5" s="149" t="s">
        <v>1687</v>
      </c>
      <c r="M5" s="149" t="s">
        <v>2563</v>
      </c>
      <c r="N5" s="149" t="s">
        <v>2562</v>
      </c>
      <c r="O5" s="149" t="s">
        <v>2106</v>
      </c>
      <c r="P5" s="149" t="s">
        <v>2106</v>
      </c>
      <c r="Q5" s="149" t="s">
        <v>2107</v>
      </c>
      <c r="R5" s="149" t="s">
        <v>2713</v>
      </c>
      <c r="S5" s="149">
        <v>6.8900000000000003E-2</v>
      </c>
      <c r="T5" s="149">
        <v>6.7166000000000003E-2</v>
      </c>
      <c r="U5" s="70">
        <f t="shared" si="0"/>
        <v>1.7339999999999994E-3</v>
      </c>
      <c r="V5" s="149">
        <v>2.4209999999999998</v>
      </c>
      <c r="W5" s="149">
        <f>6.931</f>
        <v>6.931</v>
      </c>
      <c r="X5" s="149">
        <f t="shared" si="1"/>
        <v>16.779951000000001</v>
      </c>
      <c r="Y5" s="149"/>
    </row>
    <row r="6" spans="1:25" ht="16">
      <c r="A6" s="149" t="s">
        <v>12</v>
      </c>
      <c r="B6" s="150" t="s">
        <v>18</v>
      </c>
      <c r="C6" s="149" t="s">
        <v>1744</v>
      </c>
      <c r="D6" s="149" t="str">
        <f t="shared" si="2"/>
        <v>COFFS</v>
      </c>
      <c r="E6" s="149" t="s">
        <v>2521</v>
      </c>
      <c r="F6" s="70">
        <v>-29.997240000000001</v>
      </c>
      <c r="G6" s="70">
        <v>153.14993100000001</v>
      </c>
      <c r="H6" s="70">
        <v>0</v>
      </c>
      <c r="I6" s="151">
        <v>42866</v>
      </c>
      <c r="J6" s="149" t="s">
        <v>2785</v>
      </c>
      <c r="K6" s="149" t="s">
        <v>177</v>
      </c>
      <c r="L6" s="149" t="s">
        <v>1687</v>
      </c>
      <c r="M6" s="149" t="s">
        <v>2564</v>
      </c>
      <c r="N6" s="149" t="s">
        <v>2565</v>
      </c>
      <c r="O6" s="149" t="s">
        <v>2733</v>
      </c>
      <c r="P6" s="149" t="s">
        <v>2733</v>
      </c>
      <c r="Q6" s="149" t="s">
        <v>2381</v>
      </c>
      <c r="R6" s="149" t="s">
        <v>2713</v>
      </c>
      <c r="S6" s="149">
        <v>6.9199999999999998E-2</v>
      </c>
      <c r="T6" s="149">
        <v>6.7166000000000003E-2</v>
      </c>
      <c r="U6" s="70">
        <f t="shared" si="0"/>
        <v>2.0339999999999941E-3</v>
      </c>
      <c r="V6" s="149">
        <v>2.23</v>
      </c>
      <c r="W6" s="149">
        <v>9.4760000000000009</v>
      </c>
      <c r="X6" s="149">
        <f t="shared" si="1"/>
        <v>21.131480000000003</v>
      </c>
      <c r="Y6" s="149"/>
    </row>
    <row r="7" spans="1:25" ht="16">
      <c r="A7" s="149" t="s">
        <v>12</v>
      </c>
      <c r="B7" s="150" t="s">
        <v>23</v>
      </c>
      <c r="C7" s="149" t="s">
        <v>1744</v>
      </c>
      <c r="D7" s="149" t="str">
        <f t="shared" si="2"/>
        <v>COFFS</v>
      </c>
      <c r="E7" s="149" t="s">
        <v>2521</v>
      </c>
      <c r="F7" s="70">
        <v>-29.997240000000001</v>
      </c>
      <c r="G7" s="70">
        <v>153.14993100000001</v>
      </c>
      <c r="H7" s="70">
        <v>0</v>
      </c>
      <c r="I7" s="151">
        <v>42866</v>
      </c>
      <c r="J7" s="149" t="s">
        <v>2785</v>
      </c>
      <c r="K7" s="149" t="s">
        <v>177</v>
      </c>
      <c r="L7" s="149" t="s">
        <v>2566</v>
      </c>
      <c r="M7" s="149" t="s">
        <v>2567</v>
      </c>
      <c r="N7" s="149" t="s">
        <v>2668</v>
      </c>
      <c r="O7" s="149" t="s">
        <v>2600</v>
      </c>
      <c r="P7" s="149" t="s">
        <v>2735</v>
      </c>
      <c r="Q7" s="149" t="s">
        <v>2695</v>
      </c>
      <c r="R7" s="149" t="s">
        <v>2712</v>
      </c>
      <c r="S7" s="149">
        <v>6.9900000000000004E-2</v>
      </c>
      <c r="T7" s="149">
        <v>6.7166000000000003E-2</v>
      </c>
      <c r="U7" s="70">
        <f t="shared" si="0"/>
        <v>2.7340000000000003E-3</v>
      </c>
      <c r="V7" s="149">
        <v>2.3919999999999999</v>
      </c>
      <c r="W7" s="149">
        <f>4.169+5.253</f>
        <v>9.4220000000000006</v>
      </c>
      <c r="X7" s="149">
        <f t="shared" si="1"/>
        <v>22.537424000000001</v>
      </c>
      <c r="Y7" s="149"/>
    </row>
    <row r="8" spans="1:25" ht="16">
      <c r="A8" s="149" t="s">
        <v>12</v>
      </c>
      <c r="B8" s="150" t="s">
        <v>26</v>
      </c>
      <c r="C8" s="149" t="s">
        <v>1744</v>
      </c>
      <c r="D8" s="149" t="str">
        <f t="shared" si="2"/>
        <v>COFFS</v>
      </c>
      <c r="E8" s="149" t="s">
        <v>2521</v>
      </c>
      <c r="F8" s="70">
        <v>-29.997240000000001</v>
      </c>
      <c r="G8" s="70">
        <v>153.14993100000001</v>
      </c>
      <c r="H8" s="70">
        <v>0</v>
      </c>
      <c r="I8" s="151">
        <v>42870</v>
      </c>
      <c r="J8" s="149" t="s">
        <v>2785</v>
      </c>
      <c r="K8" s="149" t="s">
        <v>177</v>
      </c>
      <c r="L8" s="149" t="s">
        <v>1687</v>
      </c>
      <c r="M8" s="149" t="s">
        <v>2563</v>
      </c>
      <c r="N8" s="149" t="s">
        <v>2568</v>
      </c>
      <c r="O8" s="149" t="s">
        <v>2734</v>
      </c>
      <c r="P8" s="149" t="s">
        <v>2736</v>
      </c>
      <c r="Q8" s="149" t="s">
        <v>2393</v>
      </c>
      <c r="R8" s="149" t="s">
        <v>2713</v>
      </c>
      <c r="S8" s="149">
        <v>0.10879999999999999</v>
      </c>
      <c r="T8" s="149">
        <v>6.7166000000000003E-2</v>
      </c>
      <c r="U8" s="70">
        <f t="shared" si="0"/>
        <v>4.163399999999999E-2</v>
      </c>
      <c r="V8" s="149">
        <v>5.61</v>
      </c>
      <c r="W8" s="149">
        <f>11.391+8.518</f>
        <v>19.908999999999999</v>
      </c>
      <c r="X8" s="149">
        <f t="shared" si="1"/>
        <v>111.68949000000001</v>
      </c>
      <c r="Y8" s="149"/>
    </row>
    <row r="9" spans="1:25" ht="16">
      <c r="A9" s="149" t="s">
        <v>12</v>
      </c>
      <c r="B9" s="150" t="s">
        <v>27</v>
      </c>
      <c r="C9" s="149" t="s">
        <v>1744</v>
      </c>
      <c r="D9" s="149" t="str">
        <f t="shared" si="2"/>
        <v>COFFS</v>
      </c>
      <c r="E9" s="149" t="s">
        <v>2521</v>
      </c>
      <c r="F9" s="70">
        <v>-29.997240000000001</v>
      </c>
      <c r="G9" s="70">
        <v>153.14993100000001</v>
      </c>
      <c r="H9" s="70">
        <v>0</v>
      </c>
      <c r="I9" s="151">
        <v>42870</v>
      </c>
      <c r="J9" s="149" t="s">
        <v>2785</v>
      </c>
      <c r="K9" s="149" t="s">
        <v>177</v>
      </c>
      <c r="L9" s="149" t="s">
        <v>1687</v>
      </c>
      <c r="M9" s="149" t="s">
        <v>2563</v>
      </c>
      <c r="N9" s="149" t="s">
        <v>2568</v>
      </c>
      <c r="O9" s="149" t="s">
        <v>2734</v>
      </c>
      <c r="P9" s="149" t="s">
        <v>2736</v>
      </c>
      <c r="Q9" s="149" t="s">
        <v>2391</v>
      </c>
      <c r="R9" s="149" t="s">
        <v>2713</v>
      </c>
      <c r="S9" s="149">
        <v>9.7100000000000006E-2</v>
      </c>
      <c r="T9" s="149">
        <v>6.7166000000000003E-2</v>
      </c>
      <c r="U9" s="70">
        <f t="shared" si="0"/>
        <v>2.9934000000000002E-2</v>
      </c>
      <c r="V9" s="149">
        <v>5.3230000000000004</v>
      </c>
      <c r="W9" s="149">
        <f>8.955+7.811</f>
        <v>16.765999999999998</v>
      </c>
      <c r="X9" s="149">
        <f t="shared" si="1"/>
        <v>89.245418000000001</v>
      </c>
      <c r="Y9" s="149"/>
    </row>
    <row r="10" spans="1:25" ht="16">
      <c r="A10" s="149" t="s">
        <v>12</v>
      </c>
      <c r="B10" s="150" t="s">
        <v>30</v>
      </c>
      <c r="C10" s="149" t="s">
        <v>1744</v>
      </c>
      <c r="D10" s="149" t="str">
        <f t="shared" si="2"/>
        <v>COFFS</v>
      </c>
      <c r="E10" s="149" t="s">
        <v>2521</v>
      </c>
      <c r="F10" s="70">
        <v>-29.997240000000001</v>
      </c>
      <c r="G10" s="70">
        <v>153.14993100000001</v>
      </c>
      <c r="H10" s="70">
        <v>0</v>
      </c>
      <c r="I10" s="151">
        <v>42870</v>
      </c>
      <c r="J10" s="149" t="s">
        <v>2785</v>
      </c>
      <c r="K10" s="149" t="s">
        <v>177</v>
      </c>
      <c r="L10" s="149" t="s">
        <v>1687</v>
      </c>
      <c r="M10" s="149" t="s">
        <v>2564</v>
      </c>
      <c r="N10" s="149" t="s">
        <v>2565</v>
      </c>
      <c r="O10" s="149" t="s">
        <v>2095</v>
      </c>
      <c r="P10" s="149" t="s">
        <v>2095</v>
      </c>
      <c r="Q10" s="149" t="s">
        <v>2686</v>
      </c>
      <c r="R10" s="149" t="s">
        <v>2713</v>
      </c>
      <c r="S10" s="149">
        <v>7.0400000000000004E-2</v>
      </c>
      <c r="T10" s="149">
        <v>6.7166000000000003E-2</v>
      </c>
      <c r="U10" s="70">
        <f t="shared" si="0"/>
        <v>3.2340000000000008E-3</v>
      </c>
      <c r="V10" s="149">
        <v>2.601</v>
      </c>
      <c r="W10" s="149">
        <f>6.235+4.324</f>
        <v>10.559000000000001</v>
      </c>
      <c r="X10" s="149">
        <f t="shared" si="1"/>
        <v>27.463959000000003</v>
      </c>
      <c r="Y10" s="149"/>
    </row>
    <row r="11" spans="1:25" ht="16">
      <c r="A11" s="149" t="s">
        <v>12</v>
      </c>
      <c r="B11" s="150" t="s">
        <v>31</v>
      </c>
      <c r="C11" s="149" t="s">
        <v>1744</v>
      </c>
      <c r="D11" s="149" t="str">
        <f t="shared" si="2"/>
        <v>COFFS</v>
      </c>
      <c r="E11" s="149" t="s">
        <v>2525</v>
      </c>
      <c r="F11" s="160">
        <v>-30.016062000000002</v>
      </c>
      <c r="G11" s="70">
        <v>153.12394800000001</v>
      </c>
      <c r="H11" s="70">
        <v>0</v>
      </c>
      <c r="I11" s="151">
        <v>42866</v>
      </c>
      <c r="J11" s="149" t="s">
        <v>36</v>
      </c>
      <c r="K11" s="149" t="s">
        <v>154</v>
      </c>
      <c r="L11" s="149" t="s">
        <v>2566</v>
      </c>
      <c r="M11" s="149" t="s">
        <v>2567</v>
      </c>
      <c r="N11" s="149" t="s">
        <v>2668</v>
      </c>
      <c r="O11" s="149" t="s">
        <v>2105</v>
      </c>
      <c r="P11" s="140" t="s">
        <v>2105</v>
      </c>
      <c r="Q11" s="149" t="s">
        <v>2387</v>
      </c>
      <c r="R11" s="149" t="s">
        <v>2712</v>
      </c>
      <c r="S11" s="149">
        <v>5.0000000000000001E-4</v>
      </c>
      <c r="T11" s="149">
        <v>0</v>
      </c>
      <c r="U11" s="70">
        <f t="shared" si="0"/>
        <v>5.0000000000000001E-4</v>
      </c>
      <c r="V11" s="149">
        <v>1.369</v>
      </c>
      <c r="W11" s="149">
        <f>2.555+2.929</f>
        <v>5.484</v>
      </c>
      <c r="X11" s="149">
        <f t="shared" si="1"/>
        <v>7.5075960000000004</v>
      </c>
      <c r="Y11" s="149"/>
    </row>
    <row r="12" spans="1:25" ht="16">
      <c r="A12" s="149" t="s">
        <v>12</v>
      </c>
      <c r="B12" s="150" t="s">
        <v>37</v>
      </c>
      <c r="C12" s="149" t="s">
        <v>1744</v>
      </c>
      <c r="D12" s="149" t="str">
        <f t="shared" si="2"/>
        <v>COFFS</v>
      </c>
      <c r="E12" s="149" t="s">
        <v>2527</v>
      </c>
      <c r="F12" s="160">
        <v>-30.011327999999999</v>
      </c>
      <c r="G12" s="70">
        <v>153.150711</v>
      </c>
      <c r="H12" s="70">
        <v>0</v>
      </c>
      <c r="I12" s="151">
        <v>42866</v>
      </c>
      <c r="J12" s="149" t="s">
        <v>2098</v>
      </c>
      <c r="K12" s="149" t="s">
        <v>177</v>
      </c>
      <c r="L12" s="149" t="s">
        <v>2569</v>
      </c>
      <c r="M12" s="149" t="s">
        <v>2570</v>
      </c>
      <c r="N12" s="149" t="s">
        <v>2571</v>
      </c>
      <c r="O12" s="149" t="s">
        <v>2369</v>
      </c>
      <c r="P12" s="149" t="s">
        <v>2737</v>
      </c>
      <c r="Q12" s="149" t="s">
        <v>2394</v>
      </c>
      <c r="R12" s="149" t="s">
        <v>2712</v>
      </c>
      <c r="S12" s="149">
        <v>9.2399999999999996E-2</v>
      </c>
      <c r="T12" s="149">
        <v>6.7166000000000003E-2</v>
      </c>
      <c r="U12" s="70">
        <f t="shared" si="0"/>
        <v>2.5233999999999993E-2</v>
      </c>
      <c r="V12" s="149">
        <v>5.1970000000000001</v>
      </c>
      <c r="W12" s="149">
        <f>6.671+9.217</f>
        <v>15.888000000000002</v>
      </c>
      <c r="X12" s="149">
        <f t="shared" si="1"/>
        <v>82.569936000000013</v>
      </c>
      <c r="Y12" s="149"/>
    </row>
    <row r="13" spans="1:25" ht="16">
      <c r="A13" s="149" t="s">
        <v>12</v>
      </c>
      <c r="B13" s="150" t="s">
        <v>38</v>
      </c>
      <c r="C13" s="149" t="s">
        <v>1744</v>
      </c>
      <c r="D13" s="149" t="str">
        <f t="shared" si="2"/>
        <v>COFFS</v>
      </c>
      <c r="E13" s="149" t="s">
        <v>2523</v>
      </c>
      <c r="F13" s="160">
        <v>-30.011327999999999</v>
      </c>
      <c r="G13" s="70">
        <v>153.150711</v>
      </c>
      <c r="H13" s="70">
        <v>0</v>
      </c>
      <c r="I13" s="151">
        <v>42866</v>
      </c>
      <c r="J13" s="149" t="s">
        <v>2098</v>
      </c>
      <c r="K13" s="149" t="s">
        <v>177</v>
      </c>
      <c r="L13" s="149" t="s">
        <v>2569</v>
      </c>
      <c r="M13" s="149" t="s">
        <v>2570</v>
      </c>
      <c r="N13" s="149" t="s">
        <v>2571</v>
      </c>
      <c r="O13" s="149" t="s">
        <v>2369</v>
      </c>
      <c r="P13" s="149" t="s">
        <v>2737</v>
      </c>
      <c r="Q13" s="149" t="s">
        <v>2394</v>
      </c>
      <c r="R13" s="149" t="s">
        <v>2712</v>
      </c>
      <c r="S13" s="149">
        <v>8.8800000000000004E-2</v>
      </c>
      <c r="T13" s="149">
        <v>6.7166000000000003E-2</v>
      </c>
      <c r="U13" s="70">
        <f t="shared" si="0"/>
        <v>2.1634E-2</v>
      </c>
      <c r="V13" s="149">
        <v>5.1180000000000003</v>
      </c>
      <c r="W13" s="149">
        <v>15.803000000000001</v>
      </c>
      <c r="X13" s="149">
        <f t="shared" si="1"/>
        <v>80.879754000000005</v>
      </c>
      <c r="Y13" s="149"/>
    </row>
    <row r="14" spans="1:25" ht="16">
      <c r="A14" s="149" t="s">
        <v>12</v>
      </c>
      <c r="B14" s="150" t="s">
        <v>41</v>
      </c>
      <c r="C14" s="149" t="s">
        <v>1744</v>
      </c>
      <c r="D14" s="149" t="str">
        <f t="shared" si="2"/>
        <v>COFFS</v>
      </c>
      <c r="E14" s="149" t="s">
        <v>2528</v>
      </c>
      <c r="F14" s="160">
        <v>-30.016062000000002</v>
      </c>
      <c r="G14" s="70">
        <v>153.12394800000001</v>
      </c>
      <c r="H14" s="70">
        <v>0</v>
      </c>
      <c r="I14" s="151">
        <v>42866</v>
      </c>
      <c r="J14" s="149" t="s">
        <v>2098</v>
      </c>
      <c r="K14" s="149" t="s">
        <v>177</v>
      </c>
      <c r="L14" s="149" t="s">
        <v>2566</v>
      </c>
      <c r="M14" s="149" t="s">
        <v>2567</v>
      </c>
      <c r="N14" s="149" t="s">
        <v>2668</v>
      </c>
      <c r="O14" s="149" t="s">
        <v>2105</v>
      </c>
      <c r="P14" s="140" t="s">
        <v>2105</v>
      </c>
      <c r="Q14" s="149" t="s">
        <v>2387</v>
      </c>
      <c r="R14" s="149" t="s">
        <v>2713</v>
      </c>
      <c r="S14" s="149">
        <v>1.8E-3</v>
      </c>
      <c r="T14" s="149">
        <v>0</v>
      </c>
      <c r="U14" s="70">
        <f t="shared" si="0"/>
        <v>1.8E-3</v>
      </c>
      <c r="V14" s="149">
        <v>1.496</v>
      </c>
      <c r="W14" s="149">
        <v>7.0549999999999997</v>
      </c>
      <c r="X14" s="149">
        <f t="shared" si="1"/>
        <v>10.55428</v>
      </c>
      <c r="Y14" s="149"/>
    </row>
    <row r="15" spans="1:25" ht="16">
      <c r="A15" s="149" t="s">
        <v>12</v>
      </c>
      <c r="B15" s="150" t="s">
        <v>43</v>
      </c>
      <c r="C15" s="149" t="s">
        <v>1744</v>
      </c>
      <c r="D15" s="149" t="str">
        <f t="shared" si="2"/>
        <v>COFFS</v>
      </c>
      <c r="E15" s="149" t="s">
        <v>2523</v>
      </c>
      <c r="F15" s="160">
        <v>-30.011327999999999</v>
      </c>
      <c r="G15" s="70">
        <v>153.150711</v>
      </c>
      <c r="H15" s="70">
        <v>0</v>
      </c>
      <c r="I15" s="151">
        <v>42866</v>
      </c>
      <c r="J15" s="149" t="s">
        <v>2098</v>
      </c>
      <c r="K15" s="149" t="s">
        <v>177</v>
      </c>
      <c r="L15" s="149" t="s">
        <v>2569</v>
      </c>
      <c r="M15" s="149" t="s">
        <v>2570</v>
      </c>
      <c r="N15" s="149" t="s">
        <v>2571</v>
      </c>
      <c r="O15" s="149" t="s">
        <v>2369</v>
      </c>
      <c r="P15" s="149" t="s">
        <v>2737</v>
      </c>
      <c r="Q15" s="149" t="s">
        <v>2394</v>
      </c>
      <c r="R15" s="149" t="s">
        <v>2712</v>
      </c>
      <c r="S15" s="149">
        <v>8.7999999999999995E-2</v>
      </c>
      <c r="T15" s="149">
        <v>6.7166000000000003E-2</v>
      </c>
      <c r="U15" s="70">
        <f t="shared" si="0"/>
        <v>2.0833999999999991E-2</v>
      </c>
      <c r="V15" s="149">
        <v>4.798</v>
      </c>
      <c r="W15" s="149">
        <v>15.225</v>
      </c>
      <c r="X15" s="149">
        <f t="shared" si="1"/>
        <v>73.049549999999996</v>
      </c>
      <c r="Y15" s="149"/>
    </row>
    <row r="16" spans="1:25" ht="16">
      <c r="A16" s="149" t="s">
        <v>12</v>
      </c>
      <c r="B16" s="150" t="s">
        <v>44</v>
      </c>
      <c r="C16" s="149" t="s">
        <v>1744</v>
      </c>
      <c r="D16" s="149" t="str">
        <f t="shared" si="2"/>
        <v>COFFS</v>
      </c>
      <c r="E16" s="149" t="s">
        <v>2529</v>
      </c>
      <c r="F16" s="70">
        <v>-29.997240000000001</v>
      </c>
      <c r="G16" s="70">
        <v>153.14993100000001</v>
      </c>
      <c r="H16" s="70">
        <v>0</v>
      </c>
      <c r="I16" s="151">
        <v>42866</v>
      </c>
      <c r="J16" s="149" t="s">
        <v>2785</v>
      </c>
      <c r="K16" s="149" t="s">
        <v>177</v>
      </c>
      <c r="L16" s="149" t="s">
        <v>1687</v>
      </c>
      <c r="M16" s="149" t="s">
        <v>2564</v>
      </c>
      <c r="N16" s="149" t="s">
        <v>2565</v>
      </c>
      <c r="O16" s="149" t="s">
        <v>2733</v>
      </c>
      <c r="P16" s="149" t="s">
        <v>2733</v>
      </c>
      <c r="Q16" s="149" t="s">
        <v>2381</v>
      </c>
      <c r="R16" s="149" t="s">
        <v>2713</v>
      </c>
      <c r="S16" s="149">
        <v>7.0300000000000001E-2</v>
      </c>
      <c r="T16" s="149">
        <v>6.7166000000000003E-2</v>
      </c>
      <c r="U16" s="70">
        <f t="shared" si="0"/>
        <v>3.1339999999999979E-3</v>
      </c>
      <c r="V16" s="149">
        <v>2.254</v>
      </c>
      <c r="W16" s="149">
        <v>10.516999999999999</v>
      </c>
      <c r="X16" s="149">
        <f t="shared" si="1"/>
        <v>23.705317999999998</v>
      </c>
      <c r="Y16" s="149"/>
    </row>
    <row r="17" spans="1:25" ht="16">
      <c r="A17" s="149" t="s">
        <v>12</v>
      </c>
      <c r="B17" s="150" t="s">
        <v>45</v>
      </c>
      <c r="C17" s="149" t="s">
        <v>1744</v>
      </c>
      <c r="D17" s="149" t="str">
        <f t="shared" si="2"/>
        <v>COFFS</v>
      </c>
      <c r="E17" s="149" t="s">
        <v>2522</v>
      </c>
      <c r="F17" s="160">
        <v>-29.943010999999998</v>
      </c>
      <c r="G17" s="70">
        <v>153.12657400000001</v>
      </c>
      <c r="H17" s="70">
        <v>0</v>
      </c>
      <c r="I17" s="151">
        <v>42866</v>
      </c>
      <c r="J17" s="149" t="s">
        <v>36</v>
      </c>
      <c r="K17" s="149" t="s">
        <v>154</v>
      </c>
      <c r="L17" s="149" t="s">
        <v>2566</v>
      </c>
      <c r="M17" s="149" t="s">
        <v>2567</v>
      </c>
      <c r="N17" s="149" t="s">
        <v>2668</v>
      </c>
      <c r="O17" s="149" t="s">
        <v>2600</v>
      </c>
      <c r="P17" s="149" t="s">
        <v>2735</v>
      </c>
      <c r="Q17" s="149" t="s">
        <v>2695</v>
      </c>
      <c r="R17" s="149" t="s">
        <v>2712</v>
      </c>
      <c r="S17" s="149">
        <v>6.9900000000000004E-2</v>
      </c>
      <c r="T17" s="149">
        <v>6.7166000000000003E-2</v>
      </c>
      <c r="U17" s="70">
        <f t="shared" si="0"/>
        <v>2.7340000000000003E-3</v>
      </c>
      <c r="V17" s="149">
        <v>2.2090000000000001</v>
      </c>
      <c r="W17" s="149">
        <f>4.216+4.531</f>
        <v>8.7469999999999999</v>
      </c>
      <c r="X17" s="149">
        <f t="shared" si="1"/>
        <v>19.322123000000001</v>
      </c>
      <c r="Y17" s="149"/>
    </row>
    <row r="18" spans="1:25" ht="16">
      <c r="A18" s="149" t="s">
        <v>12</v>
      </c>
      <c r="B18" s="150" t="s">
        <v>46</v>
      </c>
      <c r="C18" s="149" t="s">
        <v>1744</v>
      </c>
      <c r="D18" s="149" t="str">
        <f t="shared" si="2"/>
        <v>COFFS</v>
      </c>
      <c r="E18" s="149" t="s">
        <v>2522</v>
      </c>
      <c r="F18" s="160">
        <v>-29.943010999999998</v>
      </c>
      <c r="G18" s="70">
        <v>153.12657400000001</v>
      </c>
      <c r="H18" s="70">
        <v>0</v>
      </c>
      <c r="I18" s="151">
        <v>42866</v>
      </c>
      <c r="J18" s="149" t="s">
        <v>36</v>
      </c>
      <c r="K18" s="149" t="s">
        <v>154</v>
      </c>
      <c r="L18" s="149" t="s">
        <v>2566</v>
      </c>
      <c r="M18" s="149" t="s">
        <v>2567</v>
      </c>
      <c r="N18" s="149" t="s">
        <v>2668</v>
      </c>
      <c r="O18" s="149" t="s">
        <v>2600</v>
      </c>
      <c r="P18" s="149" t="s">
        <v>2735</v>
      </c>
      <c r="Q18" s="149" t="s">
        <v>2384</v>
      </c>
      <c r="R18" s="149" t="s">
        <v>2713</v>
      </c>
      <c r="S18" s="149">
        <v>7.2999999999999995E-2</v>
      </c>
      <c r="T18" s="149">
        <v>6.7166000000000003E-2</v>
      </c>
      <c r="U18" s="70">
        <f t="shared" si="0"/>
        <v>5.833999999999992E-3</v>
      </c>
      <c r="V18" s="149">
        <v>2.6829999999999998</v>
      </c>
      <c r="W18" s="149">
        <f>6.098+5.59</f>
        <v>11.687999999999999</v>
      </c>
      <c r="X18" s="149">
        <f t="shared" si="1"/>
        <v>31.358903999999995</v>
      </c>
      <c r="Y18" s="149"/>
    </row>
    <row r="19" spans="1:25" ht="16">
      <c r="A19" s="149" t="s">
        <v>12</v>
      </c>
      <c r="B19" s="150" t="s">
        <v>51</v>
      </c>
      <c r="C19" s="149" t="s">
        <v>1744</v>
      </c>
      <c r="D19" s="149" t="str">
        <f t="shared" si="2"/>
        <v>COFFS</v>
      </c>
      <c r="E19" s="149" t="s">
        <v>2528</v>
      </c>
      <c r="F19" s="160">
        <v>-30.016062000000002</v>
      </c>
      <c r="G19" s="70">
        <v>153.12394800000001</v>
      </c>
      <c r="H19" s="70">
        <v>0</v>
      </c>
      <c r="I19" s="151">
        <v>42866</v>
      </c>
      <c r="J19" s="149" t="s">
        <v>2785</v>
      </c>
      <c r="K19" s="149" t="s">
        <v>177</v>
      </c>
      <c r="L19" s="149" t="s">
        <v>1687</v>
      </c>
      <c r="M19" s="149" t="s">
        <v>2564</v>
      </c>
      <c r="N19" s="149" t="s">
        <v>2565</v>
      </c>
      <c r="O19" s="149" t="s">
        <v>2733</v>
      </c>
      <c r="P19" s="149" t="s">
        <v>2733</v>
      </c>
      <c r="Q19" s="149" t="s">
        <v>2381</v>
      </c>
      <c r="R19" s="149" t="s">
        <v>2713</v>
      </c>
      <c r="S19" s="149">
        <v>7.0199999999999999E-2</v>
      </c>
      <c r="T19" s="149">
        <v>6.7166000000000003E-2</v>
      </c>
      <c r="U19" s="70">
        <f t="shared" si="0"/>
        <v>3.033999999999995E-3</v>
      </c>
      <c r="V19" s="149">
        <v>1.8660000000000001</v>
      </c>
      <c r="W19" s="149">
        <v>8.9939999999999998</v>
      </c>
      <c r="X19" s="149">
        <f t="shared" si="1"/>
        <v>16.782804000000002</v>
      </c>
      <c r="Y19" s="149"/>
    </row>
    <row r="20" spans="1:25" ht="16">
      <c r="A20" s="149" t="s">
        <v>12</v>
      </c>
      <c r="B20" s="150" t="s">
        <v>52</v>
      </c>
      <c r="C20" s="149" t="s">
        <v>1744</v>
      </c>
      <c r="D20" s="149" t="str">
        <f t="shared" si="2"/>
        <v>COFFS</v>
      </c>
      <c r="E20" s="149" t="s">
        <v>2528</v>
      </c>
      <c r="F20" s="160">
        <v>-30.016062000000002</v>
      </c>
      <c r="G20" s="70">
        <v>153.12394800000001</v>
      </c>
      <c r="H20" s="70">
        <v>0</v>
      </c>
      <c r="I20" s="151">
        <v>42866</v>
      </c>
      <c r="J20" s="149" t="s">
        <v>2785</v>
      </c>
      <c r="K20" s="149" t="s">
        <v>177</v>
      </c>
      <c r="L20" s="149" t="s">
        <v>2566</v>
      </c>
      <c r="M20" s="149" t="s">
        <v>2567</v>
      </c>
      <c r="N20" s="149" t="s">
        <v>2668</v>
      </c>
      <c r="O20" s="149" t="s">
        <v>2105</v>
      </c>
      <c r="P20" s="140" t="s">
        <v>2105</v>
      </c>
      <c r="Q20" s="149" t="s">
        <v>2387</v>
      </c>
      <c r="R20" s="149" t="s">
        <v>2713</v>
      </c>
      <c r="S20" s="149">
        <v>1.6999999999999999E-3</v>
      </c>
      <c r="T20" s="149">
        <v>0</v>
      </c>
      <c r="U20" s="70">
        <f t="shared" si="0"/>
        <v>1.6999999999999999E-3</v>
      </c>
      <c r="V20" s="149">
        <v>1.619</v>
      </c>
      <c r="W20" s="149">
        <f>3.687+3.268</f>
        <v>6.9550000000000001</v>
      </c>
      <c r="X20" s="149">
        <f t="shared" si="1"/>
        <v>11.260145</v>
      </c>
      <c r="Y20" s="149"/>
    </row>
    <row r="21" spans="1:25" ht="16">
      <c r="A21" s="149" t="s">
        <v>12</v>
      </c>
      <c r="B21" s="150" t="s">
        <v>54</v>
      </c>
      <c r="C21" s="149" t="s">
        <v>1744</v>
      </c>
      <c r="D21" s="149" t="str">
        <f t="shared" si="2"/>
        <v>COFFS</v>
      </c>
      <c r="E21" s="149" t="s">
        <v>2522</v>
      </c>
      <c r="F21" s="160">
        <v>-29.943010999999998</v>
      </c>
      <c r="G21" s="70">
        <v>153.12657400000001</v>
      </c>
      <c r="H21" s="70">
        <v>0</v>
      </c>
      <c r="I21" s="151">
        <v>42866</v>
      </c>
      <c r="J21" s="149" t="s">
        <v>2785</v>
      </c>
      <c r="K21" s="149" t="s">
        <v>177</v>
      </c>
      <c r="L21" s="149" t="s">
        <v>2572</v>
      </c>
      <c r="M21" s="149" t="s">
        <v>2573</v>
      </c>
      <c r="N21" s="149" t="s">
        <v>36</v>
      </c>
      <c r="O21" s="149" t="s">
        <v>2606</v>
      </c>
      <c r="P21" s="149" t="s">
        <v>2741</v>
      </c>
      <c r="Q21" s="149" t="s">
        <v>2375</v>
      </c>
      <c r="R21" s="149" t="s">
        <v>2713</v>
      </c>
      <c r="S21" s="149">
        <v>6.9500000000000006E-2</v>
      </c>
      <c r="T21" s="149">
        <v>6.7166000000000003E-2</v>
      </c>
      <c r="U21" s="70">
        <f t="shared" si="0"/>
        <v>2.3340000000000027E-3</v>
      </c>
      <c r="V21" s="149">
        <v>1.823</v>
      </c>
      <c r="W21" s="149">
        <f>3.604+4.259</f>
        <v>7.8630000000000004</v>
      </c>
      <c r="X21" s="149">
        <f t="shared" si="1"/>
        <v>14.334249</v>
      </c>
      <c r="Y21" s="149"/>
    </row>
    <row r="22" spans="1:25" ht="16">
      <c r="A22" s="149" t="s">
        <v>12</v>
      </c>
      <c r="B22" s="150" t="s">
        <v>55</v>
      </c>
      <c r="C22" s="149" t="s">
        <v>1744</v>
      </c>
      <c r="D22" s="149" t="str">
        <f t="shared" si="2"/>
        <v>COFFS</v>
      </c>
      <c r="E22" s="149" t="s">
        <v>2522</v>
      </c>
      <c r="F22" s="160">
        <v>-29.943010999999998</v>
      </c>
      <c r="G22" s="70">
        <v>153.12657400000001</v>
      </c>
      <c r="H22" s="70">
        <v>0</v>
      </c>
      <c r="I22" s="151">
        <v>42870</v>
      </c>
      <c r="J22" s="149" t="s">
        <v>2785</v>
      </c>
      <c r="K22" s="149" t="s">
        <v>177</v>
      </c>
      <c r="L22" s="149" t="s">
        <v>2566</v>
      </c>
      <c r="M22" s="149" t="s">
        <v>2567</v>
      </c>
      <c r="N22" s="149" t="s">
        <v>2668</v>
      </c>
      <c r="O22" s="149" t="s">
        <v>2600</v>
      </c>
      <c r="P22" s="149" t="s">
        <v>2735</v>
      </c>
      <c r="Q22" s="149" t="s">
        <v>2384</v>
      </c>
      <c r="R22" s="149" t="s">
        <v>2713</v>
      </c>
      <c r="S22" s="149">
        <v>7.7600000000000002E-2</v>
      </c>
      <c r="T22" s="149">
        <v>6.7166000000000003E-2</v>
      </c>
      <c r="U22" s="70">
        <f t="shared" si="0"/>
        <v>1.0433999999999999E-2</v>
      </c>
      <c r="V22" s="149">
        <v>3.3730000000000002</v>
      </c>
      <c r="W22" s="149">
        <v>13.066000000000001</v>
      </c>
      <c r="X22" s="149">
        <f t="shared" si="1"/>
        <v>44.071618000000008</v>
      </c>
      <c r="Y22" s="149"/>
    </row>
    <row r="23" spans="1:25" ht="16">
      <c r="A23" s="149" t="s">
        <v>12</v>
      </c>
      <c r="B23" s="150" t="s">
        <v>56</v>
      </c>
      <c r="C23" s="149" t="s">
        <v>1744</v>
      </c>
      <c r="D23" s="149" t="str">
        <f t="shared" si="2"/>
        <v>COFFS</v>
      </c>
      <c r="E23" s="149" t="s">
        <v>2522</v>
      </c>
      <c r="F23" s="160">
        <v>-29.943010999999998</v>
      </c>
      <c r="G23" s="70">
        <v>153.12657400000001</v>
      </c>
      <c r="H23" s="70">
        <v>0</v>
      </c>
      <c r="I23" s="151">
        <v>42870</v>
      </c>
      <c r="J23" s="149" t="s">
        <v>2785</v>
      </c>
      <c r="K23" s="149" t="s">
        <v>177</v>
      </c>
      <c r="L23" s="149" t="s">
        <v>2566</v>
      </c>
      <c r="M23" s="149" t="s">
        <v>2567</v>
      </c>
      <c r="N23" s="149" t="s">
        <v>2668</v>
      </c>
      <c r="O23" s="149" t="s">
        <v>2600</v>
      </c>
      <c r="P23" s="149" t="s">
        <v>2735</v>
      </c>
      <c r="Q23" s="149" t="s">
        <v>2384</v>
      </c>
      <c r="R23" s="149" t="s">
        <v>2713</v>
      </c>
      <c r="S23" s="149">
        <v>7.6200000000000004E-2</v>
      </c>
      <c r="T23" s="149">
        <v>6.7166000000000003E-2</v>
      </c>
      <c r="U23" s="70">
        <f t="shared" si="0"/>
        <v>9.0340000000000004E-3</v>
      </c>
      <c r="V23" s="149">
        <v>3.5059999999999998</v>
      </c>
      <c r="W23" s="149">
        <f>11.219</f>
        <v>11.218999999999999</v>
      </c>
      <c r="X23" s="149">
        <f t="shared" si="1"/>
        <v>39.333813999999997</v>
      </c>
      <c r="Y23" s="149"/>
    </row>
    <row r="24" spans="1:25" ht="16">
      <c r="A24" s="149" t="s">
        <v>12</v>
      </c>
      <c r="B24" s="150" t="s">
        <v>57</v>
      </c>
      <c r="C24" s="149" t="s">
        <v>1744</v>
      </c>
      <c r="D24" s="149" t="str">
        <f t="shared" si="2"/>
        <v>COFFS</v>
      </c>
      <c r="E24" s="149" t="s">
        <v>2521</v>
      </c>
      <c r="F24" s="70">
        <v>-29.997240000000001</v>
      </c>
      <c r="G24" s="70">
        <v>153.14993100000001</v>
      </c>
      <c r="H24" s="70">
        <v>0</v>
      </c>
      <c r="I24" s="151">
        <v>42866</v>
      </c>
      <c r="J24" s="149" t="s">
        <v>2785</v>
      </c>
      <c r="K24" s="149" t="s">
        <v>177</v>
      </c>
      <c r="L24" s="149" t="s">
        <v>2566</v>
      </c>
      <c r="M24" s="149" t="s">
        <v>2567</v>
      </c>
      <c r="N24" s="149" t="s">
        <v>2668</v>
      </c>
      <c r="O24" s="149" t="s">
        <v>2600</v>
      </c>
      <c r="P24" s="149" t="s">
        <v>2735</v>
      </c>
      <c r="Q24" s="149" t="s">
        <v>2695</v>
      </c>
      <c r="R24" s="149" t="s">
        <v>2712</v>
      </c>
      <c r="S24" s="149">
        <v>7.0300000000000001E-2</v>
      </c>
      <c r="T24" s="149">
        <v>6.7166000000000003E-2</v>
      </c>
      <c r="U24" s="70">
        <f t="shared" si="0"/>
        <v>3.1339999999999979E-3</v>
      </c>
      <c r="V24" s="149">
        <v>2.2069999999999999</v>
      </c>
      <c r="W24" s="149">
        <f>3.542+4.707</f>
        <v>8.2489999999999988</v>
      </c>
      <c r="X24" s="149">
        <f t="shared" si="1"/>
        <v>18.205542999999995</v>
      </c>
      <c r="Y24" s="149"/>
    </row>
    <row r="25" spans="1:25" ht="16">
      <c r="A25" s="149" t="s">
        <v>12</v>
      </c>
      <c r="B25" s="150" t="s">
        <v>59</v>
      </c>
      <c r="C25" s="149" t="s">
        <v>1744</v>
      </c>
      <c r="D25" s="149" t="str">
        <f t="shared" si="2"/>
        <v>COFFS</v>
      </c>
      <c r="E25" s="149" t="s">
        <v>2530</v>
      </c>
      <c r="F25" s="160">
        <v>-30.016062000000002</v>
      </c>
      <c r="G25" s="70">
        <v>153.12394800000001</v>
      </c>
      <c r="H25" s="70">
        <v>0</v>
      </c>
      <c r="I25" s="151">
        <v>42866</v>
      </c>
      <c r="J25" s="149" t="s">
        <v>2098</v>
      </c>
      <c r="K25" s="149" t="s">
        <v>177</v>
      </c>
      <c r="L25" s="149" t="s">
        <v>2572</v>
      </c>
      <c r="M25" s="149" t="s">
        <v>2573</v>
      </c>
      <c r="N25" s="149" t="s">
        <v>36</v>
      </c>
      <c r="O25" s="149" t="s">
        <v>2606</v>
      </c>
      <c r="P25" s="149" t="s">
        <v>2738</v>
      </c>
      <c r="Q25" s="149" t="s">
        <v>2374</v>
      </c>
      <c r="R25" s="149" t="s">
        <v>2713</v>
      </c>
      <c r="S25" s="149">
        <v>7.5700000000000003E-2</v>
      </c>
      <c r="T25" s="149">
        <v>6.7166000000000003E-2</v>
      </c>
      <c r="U25" s="70">
        <f t="shared" si="0"/>
        <v>8.5339999999999999E-3</v>
      </c>
      <c r="V25" s="149">
        <v>3.1339999999999999</v>
      </c>
      <c r="W25" s="149">
        <f>5.335+6.467</f>
        <v>11.802</v>
      </c>
      <c r="X25" s="149">
        <f t="shared" si="1"/>
        <v>36.987468</v>
      </c>
      <c r="Y25" s="149"/>
    </row>
    <row r="26" spans="1:25" ht="16">
      <c r="A26" s="149" t="s">
        <v>12</v>
      </c>
      <c r="B26" s="150" t="s">
        <v>62</v>
      </c>
      <c r="C26" s="149" t="s">
        <v>1744</v>
      </c>
      <c r="D26" s="149" t="str">
        <f t="shared" si="2"/>
        <v>COFFS</v>
      </c>
      <c r="E26" s="149" t="s">
        <v>2532</v>
      </c>
      <c r="F26" s="160">
        <v>-30.004933000000001</v>
      </c>
      <c r="G26" s="70">
        <v>153.09672599999999</v>
      </c>
      <c r="H26" s="70">
        <v>0</v>
      </c>
      <c r="I26" s="151">
        <v>42871</v>
      </c>
      <c r="J26" s="149" t="s">
        <v>36</v>
      </c>
      <c r="K26" s="149" t="s">
        <v>154</v>
      </c>
      <c r="L26" s="149" t="s">
        <v>2566</v>
      </c>
      <c r="M26" s="149" t="s">
        <v>2574</v>
      </c>
      <c r="N26" s="140" t="s">
        <v>3191</v>
      </c>
      <c r="O26" s="149" t="s">
        <v>2111</v>
      </c>
      <c r="P26" s="149" t="s">
        <v>2739</v>
      </c>
      <c r="Q26" s="149" t="s">
        <v>2401</v>
      </c>
      <c r="R26" s="149" t="s">
        <v>2713</v>
      </c>
      <c r="S26" s="149">
        <v>7.0099999999999996E-2</v>
      </c>
      <c r="T26" s="149">
        <v>6.7166000000000003E-2</v>
      </c>
      <c r="U26" s="70">
        <f t="shared" si="0"/>
        <v>2.9339999999999922E-3</v>
      </c>
      <c r="V26" s="149">
        <v>2.6739999999999999</v>
      </c>
      <c r="W26" s="149">
        <f>5.797+5.139</f>
        <v>10.936</v>
      </c>
      <c r="X26" s="149">
        <f t="shared" si="1"/>
        <v>29.242864000000001</v>
      </c>
      <c r="Y26" s="149"/>
    </row>
    <row r="27" spans="1:25" ht="16">
      <c r="A27" s="149" t="s">
        <v>12</v>
      </c>
      <c r="B27" s="150" t="s">
        <v>63</v>
      </c>
      <c r="C27" s="149" t="s">
        <v>1744</v>
      </c>
      <c r="D27" s="149" t="str">
        <f t="shared" si="2"/>
        <v>COFFS</v>
      </c>
      <c r="E27" s="149" t="s">
        <v>2532</v>
      </c>
      <c r="F27" s="160">
        <v>-30.004933000000001</v>
      </c>
      <c r="G27" s="70">
        <v>153.09672599999999</v>
      </c>
      <c r="H27" s="70">
        <v>0</v>
      </c>
      <c r="I27" s="151">
        <v>42871</v>
      </c>
      <c r="J27" s="149" t="s">
        <v>36</v>
      </c>
      <c r="K27" s="149" t="s">
        <v>154</v>
      </c>
      <c r="L27" s="149" t="s">
        <v>1687</v>
      </c>
      <c r="M27" s="149" t="s">
        <v>2563</v>
      </c>
      <c r="N27" s="149" t="s">
        <v>2568</v>
      </c>
      <c r="O27" s="149" t="s">
        <v>2734</v>
      </c>
      <c r="P27" s="149" t="s">
        <v>2736</v>
      </c>
      <c r="Q27" s="149" t="s">
        <v>2391</v>
      </c>
      <c r="R27" s="149" t="s">
        <v>2713</v>
      </c>
      <c r="S27" s="149">
        <v>0.1007</v>
      </c>
      <c r="T27" s="149">
        <v>6.7166000000000003E-2</v>
      </c>
      <c r="U27" s="70">
        <f t="shared" si="0"/>
        <v>3.3533999999999994E-2</v>
      </c>
      <c r="V27" s="149">
        <v>5.5259999999999998</v>
      </c>
      <c r="W27" s="149">
        <v>17.399999999999999</v>
      </c>
      <c r="X27" s="149">
        <f t="shared" si="1"/>
        <v>96.152399999999986</v>
      </c>
      <c r="Y27" s="149"/>
    </row>
    <row r="28" spans="1:25" ht="16">
      <c r="A28" s="149" t="s">
        <v>12</v>
      </c>
      <c r="B28" s="150" t="s">
        <v>64</v>
      </c>
      <c r="C28" s="149" t="s">
        <v>1744</v>
      </c>
      <c r="D28" s="149" t="str">
        <f t="shared" si="2"/>
        <v>COFFS</v>
      </c>
      <c r="E28" s="149" t="s">
        <v>2532</v>
      </c>
      <c r="F28" s="160">
        <v>-30.004933000000001</v>
      </c>
      <c r="G28" s="70">
        <v>153.09672599999999</v>
      </c>
      <c r="H28" s="70">
        <v>0</v>
      </c>
      <c r="I28" s="151">
        <v>42871</v>
      </c>
      <c r="J28" s="149" t="s">
        <v>36</v>
      </c>
      <c r="K28" s="149" t="s">
        <v>154</v>
      </c>
      <c r="L28" s="149" t="s">
        <v>1687</v>
      </c>
      <c r="M28" s="149" t="s">
        <v>2563</v>
      </c>
      <c r="N28" s="149" t="s">
        <v>2568</v>
      </c>
      <c r="O28" s="149" t="s">
        <v>2734</v>
      </c>
      <c r="P28" s="149" t="s">
        <v>2736</v>
      </c>
      <c r="Q28" s="149" t="s">
        <v>2390</v>
      </c>
      <c r="R28" s="149" t="s">
        <v>2713</v>
      </c>
      <c r="S28" s="149">
        <v>9.6000000000000002E-2</v>
      </c>
      <c r="T28" s="149">
        <v>3.8671999999999984E-2</v>
      </c>
      <c r="U28" s="70">
        <f t="shared" si="0"/>
        <v>5.7328000000000018E-2</v>
      </c>
      <c r="V28" s="149">
        <v>6.4669999999999996</v>
      </c>
      <c r="W28" s="149">
        <f>9.692+10.07</f>
        <v>19.762</v>
      </c>
      <c r="X28" s="149">
        <f t="shared" si="1"/>
        <v>127.800854</v>
      </c>
      <c r="Y28" s="149"/>
    </row>
    <row r="29" spans="1:25" ht="16">
      <c r="A29" s="149" t="s">
        <v>12</v>
      </c>
      <c r="B29" s="150" t="s">
        <v>65</v>
      </c>
      <c r="C29" s="149" t="s">
        <v>1744</v>
      </c>
      <c r="D29" s="149" t="str">
        <f t="shared" si="2"/>
        <v>COFFS</v>
      </c>
      <c r="E29" s="149" t="s">
        <v>2533</v>
      </c>
      <c r="F29" s="160">
        <v>-29.941600000000001</v>
      </c>
      <c r="G29" s="70">
        <v>153.12843699999999</v>
      </c>
      <c r="H29" s="70">
        <v>0</v>
      </c>
      <c r="I29" s="151">
        <v>42880</v>
      </c>
      <c r="J29" s="149" t="s">
        <v>2788</v>
      </c>
      <c r="K29" s="149" t="s">
        <v>177</v>
      </c>
      <c r="L29" s="149" t="s">
        <v>2566</v>
      </c>
      <c r="M29" s="149" t="s">
        <v>2567</v>
      </c>
      <c r="N29" s="149" t="s">
        <v>2668</v>
      </c>
      <c r="O29" s="149" t="s">
        <v>2105</v>
      </c>
      <c r="P29" s="140" t="s">
        <v>2105</v>
      </c>
      <c r="Q29" s="149" t="s">
        <v>2387</v>
      </c>
      <c r="R29" s="149" t="s">
        <v>2713</v>
      </c>
      <c r="S29" s="149">
        <v>1.6000000000000001E-3</v>
      </c>
      <c r="T29" s="149">
        <v>0</v>
      </c>
      <c r="U29" s="70">
        <f t="shared" si="0"/>
        <v>1.6000000000000001E-3</v>
      </c>
      <c r="V29" s="149">
        <v>1.726</v>
      </c>
      <c r="W29" s="149">
        <f>3.516+3.337</f>
        <v>6.8529999999999998</v>
      </c>
      <c r="X29" s="149">
        <f t="shared" si="1"/>
        <v>11.828277999999999</v>
      </c>
      <c r="Y29" s="149"/>
    </row>
    <row r="30" spans="1:25" ht="16">
      <c r="A30" s="149" t="s">
        <v>12</v>
      </c>
      <c r="B30" s="150" t="s">
        <v>66</v>
      </c>
      <c r="C30" s="149" t="s">
        <v>1744</v>
      </c>
      <c r="D30" s="149" t="str">
        <f t="shared" si="2"/>
        <v>COFFS</v>
      </c>
      <c r="E30" s="149" t="s">
        <v>2534</v>
      </c>
      <c r="F30" s="160">
        <v>-29.983162</v>
      </c>
      <c r="G30" s="70">
        <v>153.229219</v>
      </c>
      <c r="H30" s="70">
        <v>0</v>
      </c>
      <c r="I30" s="151">
        <v>42877</v>
      </c>
      <c r="J30" s="149" t="s">
        <v>2100</v>
      </c>
      <c r="K30" s="149" t="s">
        <v>154</v>
      </c>
      <c r="L30" s="149" t="s">
        <v>1687</v>
      </c>
      <c r="M30" s="149" t="s">
        <v>2563</v>
      </c>
      <c r="N30" s="149" t="s">
        <v>2568</v>
      </c>
      <c r="O30" s="149" t="s">
        <v>2734</v>
      </c>
      <c r="P30" s="149" t="s">
        <v>2736</v>
      </c>
      <c r="Q30" s="149" t="s">
        <v>2390</v>
      </c>
      <c r="R30" s="149" t="s">
        <v>2713</v>
      </c>
      <c r="S30" s="149">
        <v>0.156</v>
      </c>
      <c r="T30" s="149">
        <v>9.6175999999999984E-2</v>
      </c>
      <c r="U30" s="70">
        <f t="shared" si="0"/>
        <v>5.9824000000000016E-2</v>
      </c>
      <c r="V30" s="149">
        <v>6.5830000000000002</v>
      </c>
      <c r="W30" s="149">
        <f>9.4835+12.314</f>
        <v>21.797499999999999</v>
      </c>
      <c r="X30" s="149">
        <f t="shared" si="1"/>
        <v>143.4929425</v>
      </c>
      <c r="Y30" s="149"/>
    </row>
    <row r="31" spans="1:25" ht="16">
      <c r="A31" s="149" t="s">
        <v>12</v>
      </c>
      <c r="B31" s="150" t="s">
        <v>69</v>
      </c>
      <c r="C31" s="149" t="s">
        <v>1744</v>
      </c>
      <c r="D31" s="149" t="str">
        <f t="shared" si="2"/>
        <v>COFFS</v>
      </c>
      <c r="E31" s="149" t="s">
        <v>2535</v>
      </c>
      <c r="F31" s="160">
        <v>-30.011405</v>
      </c>
      <c r="G31" s="70">
        <v>153.11167499999999</v>
      </c>
      <c r="H31" s="70">
        <v>0</v>
      </c>
      <c r="I31" s="151">
        <v>42878</v>
      </c>
      <c r="J31" s="149" t="s">
        <v>2788</v>
      </c>
      <c r="K31" s="149" t="s">
        <v>177</v>
      </c>
      <c r="L31" s="149" t="s">
        <v>1687</v>
      </c>
      <c r="M31" s="149" t="s">
        <v>2564</v>
      </c>
      <c r="N31" s="149" t="s">
        <v>2577</v>
      </c>
      <c r="O31" s="149" t="s">
        <v>2742</v>
      </c>
      <c r="P31" s="149" t="s">
        <v>2740</v>
      </c>
      <c r="Q31" s="149" t="s">
        <v>2389</v>
      </c>
      <c r="R31" s="149" t="s">
        <v>2713</v>
      </c>
      <c r="S31" s="149">
        <v>0.21590000000000001</v>
      </c>
      <c r="T31" s="149">
        <v>9.6175999999999984E-2</v>
      </c>
      <c r="U31" s="70">
        <f t="shared" si="0"/>
        <v>0.11972400000000002</v>
      </c>
      <c r="V31" s="149">
        <v>8.0190000000000001</v>
      </c>
      <c r="W31" s="149">
        <f>14.087+12.198</f>
        <v>26.285</v>
      </c>
      <c r="X31" s="149">
        <f t="shared" si="1"/>
        <v>210.779415</v>
      </c>
      <c r="Y31" s="149"/>
    </row>
    <row r="32" spans="1:25" ht="16">
      <c r="A32" s="149" t="s">
        <v>12</v>
      </c>
      <c r="B32" s="150" t="s">
        <v>70</v>
      </c>
      <c r="C32" s="149" t="s">
        <v>1744</v>
      </c>
      <c r="D32" s="149" t="str">
        <f t="shared" si="2"/>
        <v>COFFS</v>
      </c>
      <c r="E32" s="149" t="s">
        <v>2523</v>
      </c>
      <c r="F32" s="160">
        <v>-30.011327999999999</v>
      </c>
      <c r="G32" s="70">
        <v>153.150711</v>
      </c>
      <c r="H32" s="70">
        <v>0</v>
      </c>
      <c r="I32" s="151">
        <v>42871</v>
      </c>
      <c r="J32" s="149" t="s">
        <v>2098</v>
      </c>
      <c r="K32" s="149" t="s">
        <v>177</v>
      </c>
      <c r="L32" s="149" t="s">
        <v>1687</v>
      </c>
      <c r="M32" s="149" t="s">
        <v>2564</v>
      </c>
      <c r="N32" s="149" t="s">
        <v>2565</v>
      </c>
      <c r="O32" s="149" t="s">
        <v>2095</v>
      </c>
      <c r="P32" s="149" t="s">
        <v>2095</v>
      </c>
      <c r="Q32" s="149" t="s">
        <v>2686</v>
      </c>
      <c r="R32" s="149" t="s">
        <v>2713</v>
      </c>
      <c r="S32" s="149">
        <v>6.9699999999999998E-2</v>
      </c>
      <c r="T32" s="149">
        <v>6.7166000000000003E-2</v>
      </c>
      <c r="U32" s="70">
        <f t="shared" si="0"/>
        <v>2.5339999999999946E-3</v>
      </c>
      <c r="V32" s="149">
        <v>2.2509999999999999</v>
      </c>
      <c r="W32" s="149">
        <f>5.715+4.666</f>
        <v>10.381</v>
      </c>
      <c r="X32" s="149">
        <f t="shared" si="1"/>
        <v>23.367630999999999</v>
      </c>
      <c r="Y32" s="149"/>
    </row>
    <row r="33" spans="1:25" ht="16">
      <c r="A33" s="149" t="s">
        <v>12</v>
      </c>
      <c r="B33" s="150" t="s">
        <v>71</v>
      </c>
      <c r="C33" s="149" t="s">
        <v>1744</v>
      </c>
      <c r="D33" s="149" t="str">
        <f t="shared" si="2"/>
        <v>COFFS</v>
      </c>
      <c r="E33" s="149" t="s">
        <v>2523</v>
      </c>
      <c r="F33" s="160">
        <v>-30.011327999999999</v>
      </c>
      <c r="G33" s="70">
        <v>153.150711</v>
      </c>
      <c r="H33" s="70">
        <v>0</v>
      </c>
      <c r="I33" s="151">
        <v>42871</v>
      </c>
      <c r="J33" s="149" t="s">
        <v>2098</v>
      </c>
      <c r="K33" s="149" t="s">
        <v>177</v>
      </c>
      <c r="L33" s="149" t="s">
        <v>2566</v>
      </c>
      <c r="M33" s="149" t="s">
        <v>2574</v>
      </c>
      <c r="N33" s="140" t="s">
        <v>3191</v>
      </c>
      <c r="O33" s="149" t="s">
        <v>2397</v>
      </c>
      <c r="P33" s="149" t="s">
        <v>2397</v>
      </c>
      <c r="Q33" s="149" t="s">
        <v>2687</v>
      </c>
      <c r="R33" s="149" t="s">
        <v>2713</v>
      </c>
      <c r="S33" s="149">
        <v>8.9499999999999996E-2</v>
      </c>
      <c r="T33" s="149">
        <v>6.7166000000000003E-2</v>
      </c>
      <c r="U33" s="70">
        <f t="shared" si="0"/>
        <v>2.2333999999999993E-2</v>
      </c>
      <c r="V33" s="149">
        <v>4.3390000000000004</v>
      </c>
      <c r="W33" s="149">
        <v>16.844999999999999</v>
      </c>
      <c r="X33" s="149">
        <f t="shared" si="1"/>
        <v>73.090455000000006</v>
      </c>
      <c r="Y33" s="149"/>
    </row>
    <row r="34" spans="1:25" ht="16">
      <c r="A34" s="149" t="s">
        <v>12</v>
      </c>
      <c r="B34" s="150" t="s">
        <v>73</v>
      </c>
      <c r="C34" s="149" t="s">
        <v>1744</v>
      </c>
      <c r="D34" s="149" t="str">
        <f t="shared" si="2"/>
        <v>COFFS</v>
      </c>
      <c r="E34" s="149" t="s">
        <v>2522</v>
      </c>
      <c r="F34" s="160">
        <v>-29.943010999999998</v>
      </c>
      <c r="G34" s="70">
        <v>153.12657400000001</v>
      </c>
      <c r="H34" s="70">
        <v>0</v>
      </c>
      <c r="I34" s="151">
        <v>42871</v>
      </c>
      <c r="J34" s="149" t="s">
        <v>2785</v>
      </c>
      <c r="K34" s="149" t="s">
        <v>177</v>
      </c>
      <c r="L34" s="149" t="s">
        <v>2569</v>
      </c>
      <c r="M34" s="149" t="s">
        <v>2570</v>
      </c>
      <c r="N34" s="149" t="s">
        <v>2571</v>
      </c>
      <c r="O34" s="149" t="s">
        <v>2369</v>
      </c>
      <c r="P34" s="140" t="s">
        <v>2737</v>
      </c>
      <c r="Q34" s="149" t="s">
        <v>2373</v>
      </c>
      <c r="R34" s="149" t="s">
        <v>2713</v>
      </c>
      <c r="S34" s="149">
        <v>7.4800000000000005E-2</v>
      </c>
      <c r="T34" s="149">
        <v>6.7166000000000003E-2</v>
      </c>
      <c r="U34" s="70">
        <f t="shared" si="0"/>
        <v>7.6340000000000019E-3</v>
      </c>
      <c r="V34" s="149">
        <v>2.9649999999999999</v>
      </c>
      <c r="W34" s="149">
        <v>11.666</v>
      </c>
      <c r="X34" s="149">
        <f t="shared" si="1"/>
        <v>34.589689999999997</v>
      </c>
      <c r="Y34" s="149"/>
    </row>
    <row r="35" spans="1:25" ht="16">
      <c r="A35" s="149" t="s">
        <v>12</v>
      </c>
      <c r="B35" s="150" t="s">
        <v>74</v>
      </c>
      <c r="C35" s="149" t="s">
        <v>1744</v>
      </c>
      <c r="D35" s="149" t="str">
        <f t="shared" si="2"/>
        <v>COFFS</v>
      </c>
      <c r="E35" s="149" t="s">
        <v>2522</v>
      </c>
      <c r="F35" s="160">
        <v>-29.943010999999998</v>
      </c>
      <c r="G35" s="70">
        <v>153.12657400000001</v>
      </c>
      <c r="H35" s="70">
        <v>0</v>
      </c>
      <c r="I35" s="151">
        <v>42871</v>
      </c>
      <c r="J35" s="149" t="s">
        <v>2785</v>
      </c>
      <c r="K35" s="149" t="s">
        <v>177</v>
      </c>
      <c r="L35" s="149" t="s">
        <v>2569</v>
      </c>
      <c r="M35" s="149" t="s">
        <v>2570</v>
      </c>
      <c r="N35" s="149" t="s">
        <v>2571</v>
      </c>
      <c r="O35" s="149" t="s">
        <v>2369</v>
      </c>
      <c r="P35" s="149" t="s">
        <v>2737</v>
      </c>
      <c r="Q35" s="149" t="s">
        <v>2396</v>
      </c>
      <c r="R35" s="149" t="s">
        <v>2713</v>
      </c>
      <c r="S35" s="149">
        <v>5.5300000000000002E-2</v>
      </c>
      <c r="T35" s="149">
        <v>3.8671999999999984E-2</v>
      </c>
      <c r="U35" s="70">
        <f t="shared" si="0"/>
        <v>1.6628000000000018E-2</v>
      </c>
      <c r="V35" s="149">
        <v>4.3150000000000004</v>
      </c>
      <c r="W35" s="149">
        <v>13.86</v>
      </c>
      <c r="X35" s="149">
        <f t="shared" si="1"/>
        <v>59.805900000000001</v>
      </c>
      <c r="Y35" s="149"/>
    </row>
    <row r="36" spans="1:25" ht="16">
      <c r="A36" s="149" t="s">
        <v>12</v>
      </c>
      <c r="B36" s="150" t="s">
        <v>75</v>
      </c>
      <c r="C36" s="149" t="s">
        <v>1744</v>
      </c>
      <c r="D36" s="149" t="str">
        <f t="shared" si="2"/>
        <v>COFFS</v>
      </c>
      <c r="E36" s="149" t="s">
        <v>2522</v>
      </c>
      <c r="F36" s="160">
        <v>-29.943010999999998</v>
      </c>
      <c r="G36" s="70">
        <v>153.12657400000001</v>
      </c>
      <c r="H36" s="70">
        <v>0</v>
      </c>
      <c r="I36" s="151">
        <v>42871</v>
      </c>
      <c r="J36" s="149" t="s">
        <v>2785</v>
      </c>
      <c r="K36" s="149" t="s">
        <v>177</v>
      </c>
      <c r="L36" s="149" t="s">
        <v>1687</v>
      </c>
      <c r="M36" s="149" t="s">
        <v>2563</v>
      </c>
      <c r="N36" s="149" t="s">
        <v>2562</v>
      </c>
      <c r="O36" s="149" t="s">
        <v>2103</v>
      </c>
      <c r="P36" s="149" t="s">
        <v>2103</v>
      </c>
      <c r="Q36" s="149" t="s">
        <v>2104</v>
      </c>
      <c r="R36" s="149" t="s">
        <v>2713</v>
      </c>
      <c r="S36" s="149">
        <v>6.9199999999999998E-2</v>
      </c>
      <c r="T36" s="149">
        <v>6.7166000000000003E-2</v>
      </c>
      <c r="U36" s="70">
        <f t="shared" si="0"/>
        <v>2.0339999999999941E-3</v>
      </c>
      <c r="V36" s="149">
        <v>1.7889999999999999</v>
      </c>
      <c r="W36" s="149">
        <v>6.51</v>
      </c>
      <c r="X36" s="149">
        <f t="shared" si="1"/>
        <v>11.646389999999998</v>
      </c>
      <c r="Y36" s="149"/>
    </row>
    <row r="37" spans="1:25" ht="16">
      <c r="A37" s="149" t="s">
        <v>12</v>
      </c>
      <c r="B37" s="150" t="s">
        <v>79</v>
      </c>
      <c r="C37" s="149" t="s">
        <v>1744</v>
      </c>
      <c r="D37" s="149" t="str">
        <f t="shared" si="2"/>
        <v>COFFS</v>
      </c>
      <c r="E37" s="149" t="s">
        <v>2522</v>
      </c>
      <c r="F37" s="160">
        <v>-29.943010999999998</v>
      </c>
      <c r="G37" s="70">
        <v>153.12657400000001</v>
      </c>
      <c r="H37" s="70">
        <v>0</v>
      </c>
      <c r="I37" s="151">
        <v>42871</v>
      </c>
      <c r="J37" s="149" t="s">
        <v>2785</v>
      </c>
      <c r="K37" s="149" t="s">
        <v>177</v>
      </c>
      <c r="L37" s="149" t="s">
        <v>2566</v>
      </c>
      <c r="M37" s="149" t="s">
        <v>2567</v>
      </c>
      <c r="N37" s="149" t="s">
        <v>2668</v>
      </c>
      <c r="O37" s="140" t="s">
        <v>2600</v>
      </c>
      <c r="P37" s="149" t="s">
        <v>2735</v>
      </c>
      <c r="Q37" s="149" t="s">
        <v>2700</v>
      </c>
      <c r="R37" s="149" t="s">
        <v>2712</v>
      </c>
      <c r="S37" s="149">
        <v>4.19E-2</v>
      </c>
      <c r="T37" s="149">
        <v>3.8671999999999984E-2</v>
      </c>
      <c r="U37" s="70">
        <f t="shared" si="0"/>
        <v>3.2280000000000156E-3</v>
      </c>
      <c r="V37" s="149">
        <v>2.1520000000000001</v>
      </c>
      <c r="W37" s="149">
        <f>4.43+1.267+2.782</f>
        <v>8.4789999999999992</v>
      </c>
      <c r="X37" s="149">
        <f t="shared" si="1"/>
        <v>18.246807999999998</v>
      </c>
      <c r="Y37" s="149"/>
    </row>
    <row r="38" spans="1:25" ht="16">
      <c r="A38" s="149" t="s">
        <v>12</v>
      </c>
      <c r="B38" s="150" t="s">
        <v>82</v>
      </c>
      <c r="C38" s="149" t="s">
        <v>1744</v>
      </c>
      <c r="D38" s="149" t="str">
        <f t="shared" si="2"/>
        <v>COFFS</v>
      </c>
      <c r="E38" s="149" t="s">
        <v>2522</v>
      </c>
      <c r="F38" s="160">
        <v>-29.943010999999998</v>
      </c>
      <c r="G38" s="70">
        <v>153.12657400000001</v>
      </c>
      <c r="H38" s="70">
        <v>0</v>
      </c>
      <c r="I38" s="151">
        <v>42871</v>
      </c>
      <c r="J38" s="149" t="s">
        <v>2785</v>
      </c>
      <c r="K38" s="149" t="s">
        <v>177</v>
      </c>
      <c r="L38" s="149" t="s">
        <v>2566</v>
      </c>
      <c r="M38" s="149" t="s">
        <v>2567</v>
      </c>
      <c r="N38" s="149" t="s">
        <v>2668</v>
      </c>
      <c r="O38" s="149" t="s">
        <v>2105</v>
      </c>
      <c r="P38" s="140" t="s">
        <v>2105</v>
      </c>
      <c r="Q38" s="149" t="s">
        <v>2387</v>
      </c>
      <c r="R38" s="149" t="s">
        <v>2712</v>
      </c>
      <c r="S38" s="149">
        <v>6.9999999999999999E-4</v>
      </c>
      <c r="T38" s="149">
        <v>0</v>
      </c>
      <c r="U38" s="70">
        <f t="shared" si="0"/>
        <v>6.9999999999999999E-4</v>
      </c>
      <c r="V38" s="149">
        <v>1.2989999999999999</v>
      </c>
      <c r="W38" s="149">
        <f>2.462+0.981+1.265</f>
        <v>4.7080000000000002</v>
      </c>
      <c r="X38" s="149">
        <f t="shared" si="1"/>
        <v>6.1156920000000001</v>
      </c>
      <c r="Y38" s="149"/>
    </row>
    <row r="39" spans="1:25" ht="16">
      <c r="A39" s="149" t="s">
        <v>12</v>
      </c>
      <c r="B39" s="150" t="s">
        <v>83</v>
      </c>
      <c r="C39" s="149" t="s">
        <v>1744</v>
      </c>
      <c r="D39" s="149" t="str">
        <f t="shared" si="2"/>
        <v>COFFS</v>
      </c>
      <c r="E39" s="149" t="s">
        <v>2522</v>
      </c>
      <c r="F39" s="160">
        <v>-29.943010999999998</v>
      </c>
      <c r="G39" s="70">
        <v>153.12657400000001</v>
      </c>
      <c r="H39" s="70">
        <v>0</v>
      </c>
      <c r="I39" s="151">
        <v>42871</v>
      </c>
      <c r="J39" s="149" t="s">
        <v>2785</v>
      </c>
      <c r="K39" s="149" t="s">
        <v>177</v>
      </c>
      <c r="L39" s="149" t="s">
        <v>1687</v>
      </c>
      <c r="M39" s="149" t="s">
        <v>2563</v>
      </c>
      <c r="N39" s="149" t="s">
        <v>2575</v>
      </c>
      <c r="O39" s="149" t="s">
        <v>2379</v>
      </c>
      <c r="P39" s="149" t="s">
        <v>2379</v>
      </c>
      <c r="Q39" s="149" t="s">
        <v>2380</v>
      </c>
      <c r="R39" s="149" t="s">
        <v>2712</v>
      </c>
      <c r="S39" s="149">
        <v>9.3100000000000002E-2</v>
      </c>
      <c r="T39" s="149">
        <v>6.7166000000000003E-2</v>
      </c>
      <c r="U39" s="70">
        <f t="shared" si="0"/>
        <v>2.5933999999999999E-2</v>
      </c>
      <c r="V39" s="149">
        <v>4.9630000000000001</v>
      </c>
      <c r="W39" s="149">
        <v>15.112</v>
      </c>
      <c r="X39" s="149">
        <f t="shared" si="1"/>
        <v>75.000855999999999</v>
      </c>
      <c r="Y39" s="149"/>
    </row>
    <row r="40" spans="1:25" ht="16">
      <c r="A40" s="149" t="s">
        <v>12</v>
      </c>
      <c r="B40" s="150" t="s">
        <v>84</v>
      </c>
      <c r="C40" s="149" t="s">
        <v>1744</v>
      </c>
      <c r="D40" s="149" t="str">
        <f t="shared" si="2"/>
        <v>COFFS</v>
      </c>
      <c r="E40" s="149" t="s">
        <v>2523</v>
      </c>
      <c r="F40" s="160">
        <v>-30.011327999999999</v>
      </c>
      <c r="G40" s="70">
        <v>153.150711</v>
      </c>
      <c r="H40" s="70">
        <v>0</v>
      </c>
      <c r="I40" s="151">
        <v>42871</v>
      </c>
      <c r="J40" s="149" t="s">
        <v>2098</v>
      </c>
      <c r="K40" s="149" t="s">
        <v>177</v>
      </c>
      <c r="L40" s="149" t="s">
        <v>1687</v>
      </c>
      <c r="M40" s="149" t="s">
        <v>2564</v>
      </c>
      <c r="N40" s="149" t="s">
        <v>2565</v>
      </c>
      <c r="O40" s="149" t="s">
        <v>2733</v>
      </c>
      <c r="P40" s="149" t="s">
        <v>2733</v>
      </c>
      <c r="Q40" s="149" t="s">
        <v>2381</v>
      </c>
      <c r="R40" s="149" t="s">
        <v>2713</v>
      </c>
      <c r="S40" s="149">
        <v>4.2599999999999999E-2</v>
      </c>
      <c r="T40" s="149">
        <v>3.8671999999999984E-2</v>
      </c>
      <c r="U40" s="70">
        <f t="shared" si="0"/>
        <v>3.9280000000000148E-3</v>
      </c>
      <c r="V40" s="149">
        <v>2.4209999999999998</v>
      </c>
      <c r="W40" s="149">
        <v>11.164999999999999</v>
      </c>
      <c r="X40" s="149">
        <f t="shared" si="1"/>
        <v>27.030464999999996</v>
      </c>
      <c r="Y40" s="149"/>
    </row>
    <row r="41" spans="1:25" ht="16">
      <c r="A41" s="149" t="s">
        <v>12</v>
      </c>
      <c r="B41" s="150" t="s">
        <v>88</v>
      </c>
      <c r="C41" s="149" t="s">
        <v>1744</v>
      </c>
      <c r="D41" s="149" t="str">
        <f t="shared" si="2"/>
        <v>COFFS</v>
      </c>
      <c r="E41" s="149" t="s">
        <v>2523</v>
      </c>
      <c r="F41" s="160">
        <v>-30.011327999999999</v>
      </c>
      <c r="G41" s="70">
        <v>153.150711</v>
      </c>
      <c r="H41" s="70">
        <v>0</v>
      </c>
      <c r="I41" s="151">
        <v>42871</v>
      </c>
      <c r="J41" s="149" t="s">
        <v>2785</v>
      </c>
      <c r="K41" s="149" t="s">
        <v>177</v>
      </c>
      <c r="L41" s="149" t="s">
        <v>1687</v>
      </c>
      <c r="M41" s="149" t="s">
        <v>2563</v>
      </c>
      <c r="N41" s="149" t="s">
        <v>2562</v>
      </c>
      <c r="O41" s="149" t="s">
        <v>2103</v>
      </c>
      <c r="P41" s="149" t="s">
        <v>2103</v>
      </c>
      <c r="Q41" s="149" t="s">
        <v>2104</v>
      </c>
      <c r="R41" s="149" t="s">
        <v>2713</v>
      </c>
      <c r="S41" s="149">
        <v>4.1099999999999998E-2</v>
      </c>
      <c r="T41" s="149">
        <v>3.8671999999999984E-2</v>
      </c>
      <c r="U41" s="70">
        <f t="shared" si="0"/>
        <v>2.4280000000000135E-3</v>
      </c>
      <c r="V41" s="149">
        <v>1.9750000000000001</v>
      </c>
      <c r="W41" s="149">
        <f>3.578+2.782</f>
        <v>6.3599999999999994</v>
      </c>
      <c r="X41" s="149">
        <f t="shared" si="1"/>
        <v>12.561</v>
      </c>
      <c r="Y41" s="149"/>
    </row>
    <row r="42" spans="1:25" ht="16">
      <c r="A42" s="149" t="s">
        <v>12</v>
      </c>
      <c r="B42" s="150" t="s">
        <v>89</v>
      </c>
      <c r="C42" s="149" t="s">
        <v>1744</v>
      </c>
      <c r="D42" s="149" t="str">
        <f t="shared" si="2"/>
        <v>COFFS</v>
      </c>
      <c r="E42" s="149" t="s">
        <v>2523</v>
      </c>
      <c r="F42" s="160">
        <v>-30.011327999999999</v>
      </c>
      <c r="G42" s="70">
        <v>153.150711</v>
      </c>
      <c r="H42" s="70">
        <v>0</v>
      </c>
      <c r="I42" s="151">
        <v>42871</v>
      </c>
      <c r="J42" s="149" t="s">
        <v>2785</v>
      </c>
      <c r="K42" s="149" t="s">
        <v>177</v>
      </c>
      <c r="L42" s="149" t="s">
        <v>1687</v>
      </c>
      <c r="M42" s="149" t="s">
        <v>2563</v>
      </c>
      <c r="N42" s="149" t="s">
        <v>2562</v>
      </c>
      <c r="O42" s="149" t="s">
        <v>2103</v>
      </c>
      <c r="P42" s="149" t="s">
        <v>2103</v>
      </c>
      <c r="Q42" s="149" t="s">
        <v>2104</v>
      </c>
      <c r="R42" s="149" t="s">
        <v>2713</v>
      </c>
      <c r="S42" s="149">
        <v>4.0500000000000001E-2</v>
      </c>
      <c r="T42" s="149">
        <v>3.8671999999999984E-2</v>
      </c>
      <c r="U42" s="70">
        <f t="shared" si="0"/>
        <v>1.8280000000000171E-3</v>
      </c>
      <c r="V42" s="149">
        <v>2.044</v>
      </c>
      <c r="W42" s="149">
        <f>4.123+2.837</f>
        <v>6.9600000000000009</v>
      </c>
      <c r="X42" s="149">
        <f t="shared" si="1"/>
        <v>14.226240000000002</v>
      </c>
      <c r="Y42" s="149"/>
    </row>
    <row r="43" spans="1:25" ht="16">
      <c r="A43" s="149" t="s">
        <v>12</v>
      </c>
      <c r="B43" s="150" t="s">
        <v>90</v>
      </c>
      <c r="C43" s="149" t="s">
        <v>1744</v>
      </c>
      <c r="D43" s="149" t="str">
        <f t="shared" si="2"/>
        <v>COFFS</v>
      </c>
      <c r="E43" s="149" t="s">
        <v>2523</v>
      </c>
      <c r="F43" s="160">
        <v>-30.011327999999999</v>
      </c>
      <c r="G43" s="70">
        <v>153.150711</v>
      </c>
      <c r="H43" s="70">
        <v>0</v>
      </c>
      <c r="I43" s="151">
        <v>42871</v>
      </c>
      <c r="J43" s="149" t="s">
        <v>2098</v>
      </c>
      <c r="K43" s="149" t="s">
        <v>177</v>
      </c>
      <c r="L43" s="149" t="s">
        <v>2569</v>
      </c>
      <c r="M43" s="149" t="s">
        <v>2570</v>
      </c>
      <c r="N43" s="149" t="s">
        <v>2571</v>
      </c>
      <c r="O43" s="149" t="s">
        <v>2369</v>
      </c>
      <c r="P43" s="149" t="s">
        <v>2737</v>
      </c>
      <c r="Q43" s="149" t="s">
        <v>2394</v>
      </c>
      <c r="R43" s="149" t="s">
        <v>2713</v>
      </c>
      <c r="S43" s="149">
        <v>0.13769999999999999</v>
      </c>
      <c r="T43" s="149">
        <v>9.6175999999999984E-2</v>
      </c>
      <c r="U43" s="70">
        <f t="shared" si="0"/>
        <v>4.1524000000000005E-2</v>
      </c>
      <c r="V43" s="149">
        <v>6.2220000000000004</v>
      </c>
      <c r="W43" s="149">
        <v>20.071999999999999</v>
      </c>
      <c r="X43" s="149">
        <f t="shared" si="1"/>
        <v>124.887984</v>
      </c>
      <c r="Y43" s="149"/>
    </row>
    <row r="44" spans="1:25" ht="16">
      <c r="A44" s="149" t="s">
        <v>12</v>
      </c>
      <c r="B44" s="150" t="s">
        <v>91</v>
      </c>
      <c r="C44" s="149" t="s">
        <v>1744</v>
      </c>
      <c r="D44" s="149" t="str">
        <f t="shared" si="2"/>
        <v>COFFS</v>
      </c>
      <c r="E44" s="149" t="s">
        <v>2522</v>
      </c>
      <c r="F44" s="160">
        <v>-29.943010999999998</v>
      </c>
      <c r="G44" s="70">
        <v>153.12657400000001</v>
      </c>
      <c r="H44" s="70">
        <v>0</v>
      </c>
      <c r="I44" s="151">
        <v>42871</v>
      </c>
      <c r="J44" s="149" t="s">
        <v>2785</v>
      </c>
      <c r="K44" s="149" t="s">
        <v>177</v>
      </c>
      <c r="L44" s="149" t="s">
        <v>2566</v>
      </c>
      <c r="M44" s="149" t="s">
        <v>2574</v>
      </c>
      <c r="N44" s="140" t="s">
        <v>3191</v>
      </c>
      <c r="O44" s="149" t="s">
        <v>2111</v>
      </c>
      <c r="P44" s="149" t="s">
        <v>2739</v>
      </c>
      <c r="Q44" s="149" t="s">
        <v>2689</v>
      </c>
      <c r="R44" s="149" t="s">
        <v>2712</v>
      </c>
      <c r="S44" s="149">
        <v>7.8899999999999998E-2</v>
      </c>
      <c r="T44" s="149">
        <v>6.7166000000000003E-2</v>
      </c>
      <c r="U44" s="70">
        <f t="shared" si="0"/>
        <v>1.1733999999999994E-2</v>
      </c>
      <c r="V44" s="149">
        <v>3.6059999999999999</v>
      </c>
      <c r="W44" s="149">
        <f>6.749+6.837</f>
        <v>13.585999999999999</v>
      </c>
      <c r="X44" s="149">
        <f t="shared" si="1"/>
        <v>48.991115999999991</v>
      </c>
      <c r="Y44" s="149"/>
    </row>
    <row r="45" spans="1:25" ht="16">
      <c r="A45" s="149" t="s">
        <v>12</v>
      </c>
      <c r="B45" s="150" t="s">
        <v>93</v>
      </c>
      <c r="C45" s="149" t="s">
        <v>1744</v>
      </c>
      <c r="D45" s="149" t="str">
        <f t="shared" si="2"/>
        <v>COFFS</v>
      </c>
      <c r="E45" s="149" t="s">
        <v>2522</v>
      </c>
      <c r="F45" s="160">
        <v>-29.943010999999998</v>
      </c>
      <c r="G45" s="70">
        <v>153.12657400000001</v>
      </c>
      <c r="H45" s="70">
        <v>0</v>
      </c>
      <c r="I45" s="151">
        <v>42872</v>
      </c>
      <c r="J45" s="149" t="s">
        <v>36</v>
      </c>
      <c r="K45" s="149" t="s">
        <v>2787</v>
      </c>
      <c r="L45" s="149" t="s">
        <v>2566</v>
      </c>
      <c r="M45" s="149" t="s">
        <v>2567</v>
      </c>
      <c r="N45" s="149" t="s">
        <v>2668</v>
      </c>
      <c r="O45" s="149" t="s">
        <v>2105</v>
      </c>
      <c r="P45" s="140" t="s">
        <v>2105</v>
      </c>
      <c r="Q45" s="149" t="s">
        <v>2387</v>
      </c>
      <c r="R45" s="149" t="s">
        <v>2713</v>
      </c>
      <c r="S45" s="149">
        <v>2.5999999999999999E-3</v>
      </c>
      <c r="T45" s="149">
        <v>0</v>
      </c>
      <c r="U45" s="70">
        <f t="shared" si="0"/>
        <v>2.5999999999999999E-3</v>
      </c>
      <c r="V45" s="149">
        <v>1.645</v>
      </c>
      <c r="W45" s="149">
        <f>3.831+3.404</f>
        <v>7.2349999999999994</v>
      </c>
      <c r="X45" s="149">
        <f t="shared" si="1"/>
        <v>11.901574999999999</v>
      </c>
      <c r="Y45" s="149"/>
    </row>
    <row r="46" spans="1:25" ht="16">
      <c r="A46" s="149" t="s">
        <v>12</v>
      </c>
      <c r="B46" s="150" t="s">
        <v>97</v>
      </c>
      <c r="C46" s="149" t="s">
        <v>1744</v>
      </c>
      <c r="D46" s="149" t="str">
        <f t="shared" si="2"/>
        <v>COFFS</v>
      </c>
      <c r="E46" s="149" t="s">
        <v>2522</v>
      </c>
      <c r="F46" s="160">
        <v>-29.943010999999998</v>
      </c>
      <c r="G46" s="70">
        <v>153.12657400000001</v>
      </c>
      <c r="H46" s="70">
        <v>0</v>
      </c>
      <c r="I46" s="151">
        <v>42872</v>
      </c>
      <c r="J46" s="149" t="s">
        <v>36</v>
      </c>
      <c r="K46" s="149" t="s">
        <v>2787</v>
      </c>
      <c r="L46" s="149" t="s">
        <v>2566</v>
      </c>
      <c r="M46" s="149" t="s">
        <v>2567</v>
      </c>
      <c r="N46" s="149" t="s">
        <v>2668</v>
      </c>
      <c r="O46" s="140" t="s">
        <v>2600</v>
      </c>
      <c r="P46" s="149" t="s">
        <v>2735</v>
      </c>
      <c r="Q46" s="149" t="s">
        <v>2384</v>
      </c>
      <c r="R46" s="149" t="s">
        <v>2713</v>
      </c>
      <c r="S46" s="149">
        <v>7.6600000000000001E-2</v>
      </c>
      <c r="T46" s="149">
        <v>6.7166000000000003E-2</v>
      </c>
      <c r="U46" s="70">
        <f t="shared" si="0"/>
        <v>9.4339999999999979E-3</v>
      </c>
      <c r="V46" s="149">
        <v>3.3220000000000001</v>
      </c>
      <c r="W46" s="149">
        <f>6.429+7.053</f>
        <v>13.481999999999999</v>
      </c>
      <c r="X46" s="149">
        <f t="shared" si="1"/>
        <v>44.787203999999996</v>
      </c>
      <c r="Y46" s="149"/>
    </row>
    <row r="47" spans="1:25" ht="16">
      <c r="A47" s="149" t="s">
        <v>12</v>
      </c>
      <c r="B47" s="150" t="s">
        <v>98</v>
      </c>
      <c r="C47" s="149" t="s">
        <v>1744</v>
      </c>
      <c r="D47" s="149" t="str">
        <f t="shared" si="2"/>
        <v>COFFS</v>
      </c>
      <c r="E47" s="149" t="s">
        <v>2522</v>
      </c>
      <c r="F47" s="160">
        <v>-29.943010999999998</v>
      </c>
      <c r="G47" s="70">
        <v>153.12657400000001</v>
      </c>
      <c r="H47" s="70">
        <v>0</v>
      </c>
      <c r="I47" s="151">
        <v>42872</v>
      </c>
      <c r="J47" s="149" t="s">
        <v>36</v>
      </c>
      <c r="K47" s="149" t="s">
        <v>2787</v>
      </c>
      <c r="L47" s="149" t="s">
        <v>2566</v>
      </c>
      <c r="M47" s="149" t="s">
        <v>2567</v>
      </c>
      <c r="N47" s="149" t="s">
        <v>2668</v>
      </c>
      <c r="O47" s="140" t="s">
        <v>2600</v>
      </c>
      <c r="P47" s="149" t="s">
        <v>2735</v>
      </c>
      <c r="Q47" s="149" t="s">
        <v>2384</v>
      </c>
      <c r="R47" s="149" t="s">
        <v>2713</v>
      </c>
      <c r="S47" s="149">
        <v>7.5499999999999998E-2</v>
      </c>
      <c r="T47" s="149">
        <v>6.7166000000000003E-2</v>
      </c>
      <c r="U47" s="70">
        <f t="shared" si="0"/>
        <v>8.3339999999999942E-3</v>
      </c>
      <c r="V47" s="149">
        <v>3.319</v>
      </c>
      <c r="W47" s="149">
        <f>6.201+4.797</f>
        <v>10.997999999999999</v>
      </c>
      <c r="X47" s="149">
        <f t="shared" si="1"/>
        <v>36.502361999999998</v>
      </c>
      <c r="Y47" s="149"/>
    </row>
    <row r="48" spans="1:25" ht="16">
      <c r="A48" s="149" t="s">
        <v>12</v>
      </c>
      <c r="B48" s="150" t="s">
        <v>99</v>
      </c>
      <c r="C48" s="149" t="s">
        <v>1744</v>
      </c>
      <c r="D48" s="149" t="str">
        <f t="shared" si="2"/>
        <v>COFFS</v>
      </c>
      <c r="E48" s="149" t="s">
        <v>2522</v>
      </c>
      <c r="F48" s="160">
        <v>-29.943010999999998</v>
      </c>
      <c r="G48" s="70">
        <v>153.12657400000001</v>
      </c>
      <c r="H48" s="70">
        <v>0</v>
      </c>
      <c r="I48" s="151">
        <v>42872</v>
      </c>
      <c r="J48" s="149" t="s">
        <v>36</v>
      </c>
      <c r="K48" s="149" t="s">
        <v>2787</v>
      </c>
      <c r="L48" s="149" t="s">
        <v>2566</v>
      </c>
      <c r="M48" s="149" t="s">
        <v>2567</v>
      </c>
      <c r="N48" s="149" t="s">
        <v>2668</v>
      </c>
      <c r="O48" s="140" t="s">
        <v>2600</v>
      </c>
      <c r="P48" s="149" t="s">
        <v>2735</v>
      </c>
      <c r="Q48" s="149" t="s">
        <v>2384</v>
      </c>
      <c r="R48" s="149" t="s">
        <v>2713</v>
      </c>
      <c r="S48" s="149">
        <v>4.4999999999999998E-2</v>
      </c>
      <c r="T48" s="149">
        <v>3.8671999999999984E-2</v>
      </c>
      <c r="U48" s="70">
        <f t="shared" si="0"/>
        <v>6.3280000000000142E-3</v>
      </c>
      <c r="V48" s="149">
        <v>3.0659999999999998</v>
      </c>
      <c r="W48" s="149">
        <f>5.774+4.913</f>
        <v>10.687000000000001</v>
      </c>
      <c r="X48" s="149">
        <f t="shared" si="1"/>
        <v>32.766342000000002</v>
      </c>
      <c r="Y48" s="149"/>
    </row>
    <row r="49" spans="1:25" ht="16">
      <c r="A49" s="149" t="s">
        <v>12</v>
      </c>
      <c r="B49" s="150" t="s">
        <v>100</v>
      </c>
      <c r="C49" s="149" t="s">
        <v>1744</v>
      </c>
      <c r="D49" s="149" t="str">
        <f t="shared" si="2"/>
        <v>COFFS</v>
      </c>
      <c r="E49" s="149" t="s">
        <v>2522</v>
      </c>
      <c r="F49" s="160">
        <v>-29.943010999999998</v>
      </c>
      <c r="G49" s="70">
        <v>153.12657400000001</v>
      </c>
      <c r="H49" s="70">
        <v>0</v>
      </c>
      <c r="I49" s="151">
        <v>42872</v>
      </c>
      <c r="J49" s="149" t="s">
        <v>36</v>
      </c>
      <c r="K49" s="149" t="s">
        <v>2787</v>
      </c>
      <c r="L49" s="149" t="s">
        <v>2566</v>
      </c>
      <c r="M49" s="149" t="s">
        <v>2567</v>
      </c>
      <c r="N49" s="149" t="s">
        <v>2668</v>
      </c>
      <c r="O49" s="140" t="s">
        <v>2600</v>
      </c>
      <c r="P49" s="149" t="s">
        <v>2735</v>
      </c>
      <c r="Q49" s="149" t="s">
        <v>2384</v>
      </c>
      <c r="R49" s="149" t="s">
        <v>2713</v>
      </c>
      <c r="S49" s="149">
        <v>4.6699999999999998E-2</v>
      </c>
      <c r="T49" s="149">
        <v>3.8671999999999984E-2</v>
      </c>
      <c r="U49" s="70">
        <f t="shared" si="0"/>
        <v>8.0280000000000143E-3</v>
      </c>
      <c r="V49" s="149">
        <v>3.3530000000000002</v>
      </c>
      <c r="W49" s="149">
        <v>13.441000000000001</v>
      </c>
      <c r="X49" s="149">
        <f t="shared" si="1"/>
        <v>45.067673000000006</v>
      </c>
      <c r="Y49" s="149"/>
    </row>
    <row r="50" spans="1:25" ht="16">
      <c r="A50" s="149" t="s">
        <v>12</v>
      </c>
      <c r="B50" s="150" t="s">
        <v>101</v>
      </c>
      <c r="C50" s="149" t="s">
        <v>1744</v>
      </c>
      <c r="D50" s="149" t="str">
        <f t="shared" si="2"/>
        <v>COFFS</v>
      </c>
      <c r="E50" s="149" t="s">
        <v>2522</v>
      </c>
      <c r="F50" s="160">
        <v>-29.943010999999998</v>
      </c>
      <c r="G50" s="70">
        <v>153.12657400000001</v>
      </c>
      <c r="H50" s="70">
        <v>0</v>
      </c>
      <c r="I50" s="151">
        <v>42872</v>
      </c>
      <c r="J50" s="149" t="s">
        <v>36</v>
      </c>
      <c r="K50" s="149" t="s">
        <v>2787</v>
      </c>
      <c r="L50" s="149" t="s">
        <v>2566</v>
      </c>
      <c r="M50" s="149" t="s">
        <v>2567</v>
      </c>
      <c r="N50" s="149" t="s">
        <v>2668</v>
      </c>
      <c r="O50" s="140" t="s">
        <v>2600</v>
      </c>
      <c r="P50" s="149" t="s">
        <v>2735</v>
      </c>
      <c r="Q50" s="149" t="s">
        <v>2384</v>
      </c>
      <c r="R50" s="149" t="s">
        <v>2713</v>
      </c>
      <c r="S50" s="149">
        <v>4.7E-2</v>
      </c>
      <c r="T50" s="149">
        <v>3.8671999999999984E-2</v>
      </c>
      <c r="U50" s="70">
        <f t="shared" si="0"/>
        <v>8.3280000000000159E-3</v>
      </c>
      <c r="V50" s="149">
        <v>3.161</v>
      </c>
      <c r="W50" s="149">
        <v>11.659000000000001</v>
      </c>
      <c r="X50" s="149">
        <f t="shared" si="1"/>
        <v>36.854099000000005</v>
      </c>
      <c r="Y50" s="149"/>
    </row>
    <row r="51" spans="1:25" ht="16">
      <c r="A51" s="149" t="s">
        <v>12</v>
      </c>
      <c r="B51" s="150" t="s">
        <v>102</v>
      </c>
      <c r="C51" s="149" t="s">
        <v>1744</v>
      </c>
      <c r="D51" s="149" t="str">
        <f t="shared" si="2"/>
        <v>COFFS</v>
      </c>
      <c r="E51" s="149" t="s">
        <v>2522</v>
      </c>
      <c r="F51" s="160">
        <v>-29.943010999999998</v>
      </c>
      <c r="G51" s="70">
        <v>153.12657400000001</v>
      </c>
      <c r="H51" s="70">
        <v>0</v>
      </c>
      <c r="I51" s="151">
        <v>42872</v>
      </c>
      <c r="J51" s="149" t="s">
        <v>36</v>
      </c>
      <c r="K51" s="149" t="s">
        <v>2787</v>
      </c>
      <c r="L51" s="149" t="s">
        <v>2566</v>
      </c>
      <c r="M51" s="149" t="s">
        <v>2567</v>
      </c>
      <c r="N51" s="149" t="s">
        <v>2668</v>
      </c>
      <c r="O51" s="140" t="s">
        <v>2600</v>
      </c>
      <c r="P51" s="149" t="s">
        <v>2735</v>
      </c>
      <c r="Q51" s="149" t="s">
        <v>2384</v>
      </c>
      <c r="R51" s="149" t="s">
        <v>2713</v>
      </c>
      <c r="S51" s="149">
        <v>4.6600000000000003E-2</v>
      </c>
      <c r="T51" s="149">
        <v>3.8671999999999984E-2</v>
      </c>
      <c r="U51" s="70">
        <f t="shared" si="0"/>
        <v>7.9280000000000184E-3</v>
      </c>
      <c r="V51" s="149">
        <v>3.2320000000000002</v>
      </c>
      <c r="W51" s="149">
        <f>6.04+6.466</f>
        <v>12.506</v>
      </c>
      <c r="X51" s="149">
        <f t="shared" si="1"/>
        <v>40.419392000000002</v>
      </c>
      <c r="Y51" s="149"/>
    </row>
    <row r="52" spans="1:25" ht="16">
      <c r="A52" s="149" t="s">
        <v>12</v>
      </c>
      <c r="B52" s="150" t="s">
        <v>103</v>
      </c>
      <c r="C52" s="149" t="s">
        <v>1744</v>
      </c>
      <c r="D52" s="149" t="str">
        <f t="shared" si="2"/>
        <v>COFFS</v>
      </c>
      <c r="E52" s="149" t="s">
        <v>2522</v>
      </c>
      <c r="F52" s="160">
        <v>-29.943010999999998</v>
      </c>
      <c r="G52" s="70">
        <v>153.12657400000001</v>
      </c>
      <c r="H52" s="70">
        <v>0</v>
      </c>
      <c r="I52" s="151">
        <v>42872</v>
      </c>
      <c r="J52" s="149" t="s">
        <v>36</v>
      </c>
      <c r="K52" s="149" t="s">
        <v>2787</v>
      </c>
      <c r="L52" s="149" t="s">
        <v>2566</v>
      </c>
      <c r="M52" s="149" t="s">
        <v>2567</v>
      </c>
      <c r="N52" s="149" t="s">
        <v>2668</v>
      </c>
      <c r="O52" s="140" t="s">
        <v>2600</v>
      </c>
      <c r="P52" s="149" t="s">
        <v>2735</v>
      </c>
      <c r="Q52" s="149" t="s">
        <v>2384</v>
      </c>
      <c r="R52" s="149" t="s">
        <v>2713</v>
      </c>
      <c r="S52" s="149">
        <v>4.6899999999999997E-2</v>
      </c>
      <c r="T52" s="149">
        <v>3.8671999999999984E-2</v>
      </c>
      <c r="U52" s="70">
        <f t="shared" si="0"/>
        <v>8.2280000000000131E-3</v>
      </c>
      <c r="V52" s="149">
        <v>3.2690000000000001</v>
      </c>
      <c r="W52" s="149">
        <f>6.007+6.24</f>
        <v>12.247</v>
      </c>
      <c r="X52" s="149">
        <f t="shared" si="1"/>
        <v>40.035443000000001</v>
      </c>
      <c r="Y52" s="149"/>
    </row>
    <row r="53" spans="1:25" ht="16">
      <c r="A53" s="149" t="s">
        <v>12</v>
      </c>
      <c r="B53" s="150" t="s">
        <v>104</v>
      </c>
      <c r="C53" s="149" t="s">
        <v>1744</v>
      </c>
      <c r="D53" s="149" t="str">
        <f t="shared" si="2"/>
        <v>COFFS</v>
      </c>
      <c r="E53" s="149" t="s">
        <v>2522</v>
      </c>
      <c r="F53" s="160">
        <v>-29.943010999999998</v>
      </c>
      <c r="G53" s="70">
        <v>153.12657400000001</v>
      </c>
      <c r="H53" s="70">
        <v>0</v>
      </c>
      <c r="I53" s="151">
        <v>42872</v>
      </c>
      <c r="J53" s="149" t="s">
        <v>36</v>
      </c>
      <c r="K53" s="149" t="s">
        <v>2787</v>
      </c>
      <c r="L53" s="149" t="s">
        <v>2566</v>
      </c>
      <c r="M53" s="149" t="s">
        <v>2574</v>
      </c>
      <c r="N53" s="140" t="s">
        <v>3191</v>
      </c>
      <c r="O53" s="149" t="s">
        <v>2111</v>
      </c>
      <c r="P53" s="149" t="s">
        <v>2739</v>
      </c>
      <c r="Q53" s="149" t="s">
        <v>2401</v>
      </c>
      <c r="R53" s="149" t="s">
        <v>2713</v>
      </c>
      <c r="S53" s="149">
        <v>4.7899999999999998E-2</v>
      </c>
      <c r="T53" s="149">
        <v>3.8671999999999984E-2</v>
      </c>
      <c r="U53" s="70">
        <f t="shared" si="0"/>
        <v>9.228000000000014E-3</v>
      </c>
      <c r="V53" s="149">
        <v>2.6680000000000001</v>
      </c>
      <c r="W53" s="149">
        <v>10.456</v>
      </c>
      <c r="X53" s="149">
        <f t="shared" si="1"/>
        <v>27.896608000000001</v>
      </c>
      <c r="Y53" s="149"/>
    </row>
    <row r="54" spans="1:25" ht="16">
      <c r="A54" s="149" t="s">
        <v>12</v>
      </c>
      <c r="B54" s="150" t="s">
        <v>105</v>
      </c>
      <c r="C54" s="149" t="s">
        <v>1744</v>
      </c>
      <c r="D54" s="149" t="str">
        <f t="shared" si="2"/>
        <v>COFFS</v>
      </c>
      <c r="E54" s="149" t="s">
        <v>2522</v>
      </c>
      <c r="F54" s="160">
        <v>-29.943010999999998</v>
      </c>
      <c r="G54" s="70">
        <v>153.12657400000001</v>
      </c>
      <c r="H54" s="70">
        <v>0</v>
      </c>
      <c r="I54" s="151">
        <v>42872</v>
      </c>
      <c r="J54" s="149" t="s">
        <v>36</v>
      </c>
      <c r="K54" s="149" t="s">
        <v>2787</v>
      </c>
      <c r="L54" s="149" t="s">
        <v>2566</v>
      </c>
      <c r="M54" s="149" t="s">
        <v>2567</v>
      </c>
      <c r="N54" s="149" t="s">
        <v>2668</v>
      </c>
      <c r="O54" s="140" t="s">
        <v>2600</v>
      </c>
      <c r="P54" s="149" t="s">
        <v>2735</v>
      </c>
      <c r="Q54" s="149" t="s">
        <v>2384</v>
      </c>
      <c r="R54" s="149" t="s">
        <v>2713</v>
      </c>
      <c r="S54" s="149">
        <v>4.6300000000000001E-2</v>
      </c>
      <c r="T54" s="149">
        <v>3.8671999999999984E-2</v>
      </c>
      <c r="U54" s="70">
        <f t="shared" si="0"/>
        <v>7.6280000000000167E-3</v>
      </c>
      <c r="V54" s="149">
        <v>3.1059999999999999</v>
      </c>
      <c r="W54" s="149">
        <f>6.026+5.568</f>
        <v>11.593999999999999</v>
      </c>
      <c r="X54" s="149">
        <f t="shared" si="1"/>
        <v>36.010963999999994</v>
      </c>
      <c r="Y54" s="149"/>
    </row>
    <row r="55" spans="1:25" ht="16">
      <c r="A55" s="149" t="s">
        <v>12</v>
      </c>
      <c r="B55" s="150" t="s">
        <v>106</v>
      </c>
      <c r="C55" s="149" t="s">
        <v>1744</v>
      </c>
      <c r="D55" s="149" t="str">
        <f t="shared" si="2"/>
        <v>COFFS</v>
      </c>
      <c r="E55" s="149" t="s">
        <v>2522</v>
      </c>
      <c r="F55" s="160">
        <v>-29.943010999999998</v>
      </c>
      <c r="G55" s="70">
        <v>153.12657400000001</v>
      </c>
      <c r="H55" s="70">
        <v>0</v>
      </c>
      <c r="I55" s="151">
        <v>42872</v>
      </c>
      <c r="J55" s="149" t="s">
        <v>36</v>
      </c>
      <c r="K55" s="149" t="s">
        <v>2787</v>
      </c>
      <c r="L55" s="149" t="s">
        <v>2566</v>
      </c>
      <c r="M55" s="149" t="s">
        <v>2567</v>
      </c>
      <c r="N55" s="149" t="s">
        <v>2668</v>
      </c>
      <c r="O55" s="149" t="s">
        <v>2105</v>
      </c>
      <c r="P55" s="149" t="s">
        <v>2105</v>
      </c>
      <c r="Q55" s="149" t="s">
        <v>2386</v>
      </c>
      <c r="R55" s="149" t="s">
        <v>2713</v>
      </c>
      <c r="S55" s="149">
        <v>7.2700000000000001E-2</v>
      </c>
      <c r="T55" s="149">
        <v>6.7166000000000003E-2</v>
      </c>
      <c r="U55" s="70">
        <f t="shared" si="0"/>
        <v>5.5339999999999973E-3</v>
      </c>
      <c r="V55" s="149">
        <v>2.6760000000000002</v>
      </c>
      <c r="W55" s="149">
        <f>5.447+4.868</f>
        <v>10.315000000000001</v>
      </c>
      <c r="X55" s="149">
        <f t="shared" si="1"/>
        <v>27.602940000000004</v>
      </c>
      <c r="Y55" s="149"/>
    </row>
    <row r="56" spans="1:25" ht="16">
      <c r="A56" s="149" t="s">
        <v>12</v>
      </c>
      <c r="B56" s="150" t="s">
        <v>107</v>
      </c>
      <c r="C56" s="149" t="s">
        <v>1744</v>
      </c>
      <c r="D56" s="149" t="str">
        <f t="shared" si="2"/>
        <v>COFFS</v>
      </c>
      <c r="E56" s="149" t="s">
        <v>2522</v>
      </c>
      <c r="F56" s="160">
        <v>-29.943010999999998</v>
      </c>
      <c r="G56" s="70">
        <v>153.12657400000001</v>
      </c>
      <c r="H56" s="70">
        <v>0</v>
      </c>
      <c r="I56" s="151">
        <v>42872</v>
      </c>
      <c r="J56" s="149" t="s">
        <v>36</v>
      </c>
      <c r="K56" s="149" t="s">
        <v>2787</v>
      </c>
      <c r="L56" s="149" t="s">
        <v>2566</v>
      </c>
      <c r="M56" s="149" t="s">
        <v>2567</v>
      </c>
      <c r="N56" s="149" t="s">
        <v>2668</v>
      </c>
      <c r="O56" s="140" t="s">
        <v>2600</v>
      </c>
      <c r="P56" s="149" t="s">
        <v>2735</v>
      </c>
      <c r="Q56" s="149" t="s">
        <v>2384</v>
      </c>
      <c r="R56" s="149" t="s">
        <v>2713</v>
      </c>
      <c r="S56" s="149">
        <v>4.8099999999999997E-2</v>
      </c>
      <c r="T56" s="149">
        <v>3.8671999999999984E-2</v>
      </c>
      <c r="U56" s="70">
        <f t="shared" si="0"/>
        <v>9.4280000000000128E-3</v>
      </c>
      <c r="V56" s="149">
        <v>2.9950000000000001</v>
      </c>
      <c r="W56" s="149">
        <f>5.899+5.274</f>
        <v>11.173</v>
      </c>
      <c r="X56" s="149">
        <f t="shared" si="1"/>
        <v>33.463135000000001</v>
      </c>
      <c r="Y56" s="149"/>
    </row>
    <row r="57" spans="1:25" ht="16">
      <c r="A57" s="149" t="s">
        <v>12</v>
      </c>
      <c r="B57" s="150" t="s">
        <v>108</v>
      </c>
      <c r="C57" s="149" t="s">
        <v>1744</v>
      </c>
      <c r="D57" s="149" t="str">
        <f t="shared" si="2"/>
        <v>COFFS</v>
      </c>
      <c r="E57" s="149" t="s">
        <v>2522</v>
      </c>
      <c r="F57" s="160">
        <v>-29.943010999999998</v>
      </c>
      <c r="G57" s="70">
        <v>153.12657400000001</v>
      </c>
      <c r="H57" s="70">
        <v>0</v>
      </c>
      <c r="I57" s="151">
        <v>42872</v>
      </c>
      <c r="J57" s="149" t="s">
        <v>36</v>
      </c>
      <c r="K57" s="149" t="s">
        <v>2787</v>
      </c>
      <c r="L57" s="149" t="s">
        <v>2566</v>
      </c>
      <c r="M57" s="149" t="s">
        <v>2567</v>
      </c>
      <c r="N57" s="149" t="s">
        <v>2668</v>
      </c>
      <c r="O57" s="140" t="s">
        <v>2600</v>
      </c>
      <c r="P57" s="149" t="s">
        <v>2735</v>
      </c>
      <c r="Q57" s="149" t="s">
        <v>2384</v>
      </c>
      <c r="R57" s="149" t="s">
        <v>2713</v>
      </c>
      <c r="S57" s="149">
        <v>4.7100000000000003E-2</v>
      </c>
      <c r="T57" s="149">
        <v>3.8671999999999984E-2</v>
      </c>
      <c r="U57" s="70">
        <f t="shared" si="0"/>
        <v>8.4280000000000188E-3</v>
      </c>
      <c r="V57" s="149">
        <v>3.1240000000000001</v>
      </c>
      <c r="W57" s="149">
        <f>6.246+5.577</f>
        <v>11.823</v>
      </c>
      <c r="X57" s="149">
        <f t="shared" si="1"/>
        <v>36.935052000000006</v>
      </c>
      <c r="Y57" s="149"/>
    </row>
    <row r="58" spans="1:25" ht="16">
      <c r="A58" s="149" t="s">
        <v>12</v>
      </c>
      <c r="B58" s="150" t="s">
        <v>109</v>
      </c>
      <c r="C58" s="149" t="s">
        <v>1744</v>
      </c>
      <c r="D58" s="149" t="str">
        <f t="shared" si="2"/>
        <v>COFFS</v>
      </c>
      <c r="E58" s="149" t="s">
        <v>2522</v>
      </c>
      <c r="F58" s="160">
        <v>-29.943010999999998</v>
      </c>
      <c r="G58" s="70">
        <v>153.12657400000001</v>
      </c>
      <c r="H58" s="70">
        <v>0</v>
      </c>
      <c r="I58" s="151">
        <v>42872</v>
      </c>
      <c r="J58" s="149" t="s">
        <v>36</v>
      </c>
      <c r="K58" s="149" t="s">
        <v>2787</v>
      </c>
      <c r="L58" s="149" t="s">
        <v>2566</v>
      </c>
      <c r="M58" s="149" t="s">
        <v>2567</v>
      </c>
      <c r="N58" s="149" t="s">
        <v>2668</v>
      </c>
      <c r="O58" s="140" t="s">
        <v>2600</v>
      </c>
      <c r="P58" s="149" t="s">
        <v>2735</v>
      </c>
      <c r="Q58" s="149" t="s">
        <v>2384</v>
      </c>
      <c r="R58" s="149" t="s">
        <v>2713</v>
      </c>
      <c r="S58" s="149">
        <v>7.7200000000000005E-2</v>
      </c>
      <c r="T58" s="149">
        <v>6.7166000000000003E-2</v>
      </c>
      <c r="U58" s="70">
        <f t="shared" si="0"/>
        <v>1.0034000000000001E-2</v>
      </c>
      <c r="V58" s="149">
        <v>2.794</v>
      </c>
      <c r="W58" s="149">
        <f>5.99+5.714</f>
        <v>11.704000000000001</v>
      </c>
      <c r="X58" s="149">
        <f t="shared" si="1"/>
        <v>32.700976000000004</v>
      </c>
      <c r="Y58" s="149"/>
    </row>
    <row r="59" spans="1:25" ht="16">
      <c r="A59" s="149" t="s">
        <v>12</v>
      </c>
      <c r="B59" s="150" t="s">
        <v>110</v>
      </c>
      <c r="C59" s="149" t="s">
        <v>1744</v>
      </c>
      <c r="D59" s="149" t="str">
        <f t="shared" si="2"/>
        <v>COFFS</v>
      </c>
      <c r="E59" s="149" t="s">
        <v>2522</v>
      </c>
      <c r="F59" s="160">
        <v>-29.943010999999998</v>
      </c>
      <c r="G59" s="70">
        <v>153.12657400000001</v>
      </c>
      <c r="H59" s="70">
        <v>0</v>
      </c>
      <c r="I59" s="151">
        <v>42872</v>
      </c>
      <c r="J59" s="149" t="s">
        <v>36</v>
      </c>
      <c r="K59" s="149" t="s">
        <v>2787</v>
      </c>
      <c r="L59" s="149" t="s">
        <v>2566</v>
      </c>
      <c r="M59" s="149" t="s">
        <v>2567</v>
      </c>
      <c r="N59" s="149" t="s">
        <v>2668</v>
      </c>
      <c r="O59" s="140" t="s">
        <v>2600</v>
      </c>
      <c r="P59" s="149" t="s">
        <v>2735</v>
      </c>
      <c r="Q59" s="149" t="s">
        <v>2384</v>
      </c>
      <c r="R59" s="149" t="s">
        <v>2713</v>
      </c>
      <c r="S59" s="149">
        <v>7.5999999999999998E-2</v>
      </c>
      <c r="T59" s="149">
        <v>6.7166000000000003E-2</v>
      </c>
      <c r="U59" s="70">
        <f t="shared" si="0"/>
        <v>8.8339999999999946E-3</v>
      </c>
      <c r="V59" s="149">
        <v>3.1179999999999999</v>
      </c>
      <c r="W59" s="149">
        <f>5.996+6.09</f>
        <v>12.086</v>
      </c>
      <c r="X59" s="149">
        <f t="shared" si="1"/>
        <v>37.684148</v>
      </c>
      <c r="Y59" s="149"/>
    </row>
    <row r="60" spans="1:25" ht="16">
      <c r="A60" s="149" t="s">
        <v>12</v>
      </c>
      <c r="B60" s="150" t="s">
        <v>114</v>
      </c>
      <c r="C60" s="149" t="s">
        <v>1744</v>
      </c>
      <c r="D60" s="149" t="str">
        <f t="shared" si="2"/>
        <v>COFFS</v>
      </c>
      <c r="E60" s="149" t="s">
        <v>2537</v>
      </c>
      <c r="F60" s="160">
        <v>-30.091795000000001</v>
      </c>
      <c r="G60" s="70">
        <v>153.161948</v>
      </c>
      <c r="H60" s="70">
        <v>0</v>
      </c>
      <c r="I60" s="151">
        <v>42878</v>
      </c>
      <c r="J60" s="149" t="s">
        <v>115</v>
      </c>
      <c r="K60" s="149" t="s">
        <v>177</v>
      </c>
      <c r="L60" s="149" t="s">
        <v>2566</v>
      </c>
      <c r="M60" s="149" t="s">
        <v>2567</v>
      </c>
      <c r="N60" s="149" t="s">
        <v>2668</v>
      </c>
      <c r="O60" s="140" t="s">
        <v>2600</v>
      </c>
      <c r="P60" s="149" t="s">
        <v>2735</v>
      </c>
      <c r="Q60" s="149" t="s">
        <v>2384</v>
      </c>
      <c r="R60" s="149" t="s">
        <v>2713</v>
      </c>
      <c r="S60" s="149">
        <v>4.4400000000000002E-2</v>
      </c>
      <c r="T60" s="149">
        <v>3.8671999999999984E-2</v>
      </c>
      <c r="U60" s="70">
        <f t="shared" si="0"/>
        <v>5.7280000000000178E-3</v>
      </c>
      <c r="V60" s="149">
        <v>2.9159999999999999</v>
      </c>
      <c r="W60" s="149">
        <v>11.068</v>
      </c>
      <c r="X60" s="149">
        <f t="shared" si="1"/>
        <v>32.274287999999999</v>
      </c>
      <c r="Y60" s="149"/>
    </row>
    <row r="61" spans="1:25" ht="16">
      <c r="A61" s="149" t="s">
        <v>12</v>
      </c>
      <c r="B61" s="150" t="s">
        <v>116</v>
      </c>
      <c r="C61" s="149" t="s">
        <v>1744</v>
      </c>
      <c r="D61" s="149" t="str">
        <f t="shared" si="2"/>
        <v>COFFS</v>
      </c>
      <c r="E61" s="149" t="s">
        <v>2537</v>
      </c>
      <c r="F61" s="160">
        <v>-30.091795000000001</v>
      </c>
      <c r="G61" s="70">
        <v>153.161948</v>
      </c>
      <c r="H61" s="70">
        <v>0</v>
      </c>
      <c r="I61" s="151">
        <v>42878</v>
      </c>
      <c r="J61" s="149" t="s">
        <v>117</v>
      </c>
      <c r="K61" s="149" t="s">
        <v>177</v>
      </c>
      <c r="L61" s="149" t="s">
        <v>2566</v>
      </c>
      <c r="M61" s="149" t="s">
        <v>2567</v>
      </c>
      <c r="N61" s="149" t="s">
        <v>2668</v>
      </c>
      <c r="O61" s="140" t="s">
        <v>2600</v>
      </c>
      <c r="P61" s="149" t="s">
        <v>2775</v>
      </c>
      <c r="Q61" s="149" t="s">
        <v>2371</v>
      </c>
      <c r="R61" s="149" t="s">
        <v>2712</v>
      </c>
      <c r="S61" s="149">
        <v>7.2800000000000004E-2</v>
      </c>
      <c r="T61" s="149">
        <v>6.7166000000000003E-2</v>
      </c>
      <c r="U61" s="70">
        <f t="shared" si="0"/>
        <v>5.6340000000000001E-3</v>
      </c>
      <c r="V61" s="149">
        <v>2.8109999999999999</v>
      </c>
      <c r="W61" s="149">
        <f>6.298+4.722</f>
        <v>11.02</v>
      </c>
      <c r="X61" s="149">
        <f t="shared" si="1"/>
        <v>30.977219999999999</v>
      </c>
      <c r="Y61" s="149"/>
    </row>
    <row r="62" spans="1:25" ht="16">
      <c r="A62" s="149" t="s">
        <v>12</v>
      </c>
      <c r="B62" s="150" t="s">
        <v>118</v>
      </c>
      <c r="C62" s="149" t="s">
        <v>1744</v>
      </c>
      <c r="D62" s="149" t="str">
        <f t="shared" si="2"/>
        <v>COFFS</v>
      </c>
      <c r="E62" s="149" t="s">
        <v>2537</v>
      </c>
      <c r="F62" s="160">
        <v>-30.091795000000001</v>
      </c>
      <c r="G62" s="70">
        <v>153.161948</v>
      </c>
      <c r="H62" s="70">
        <v>0</v>
      </c>
      <c r="I62" s="151">
        <v>42878</v>
      </c>
      <c r="J62" s="149" t="s">
        <v>117</v>
      </c>
      <c r="K62" s="149" t="s">
        <v>177</v>
      </c>
      <c r="L62" s="149" t="s">
        <v>2566</v>
      </c>
      <c r="M62" s="149" t="s">
        <v>2567</v>
      </c>
      <c r="N62" s="149" t="s">
        <v>2668</v>
      </c>
      <c r="O62" s="140" t="s">
        <v>2600</v>
      </c>
      <c r="P62" s="149" t="s">
        <v>2775</v>
      </c>
      <c r="Q62" s="149" t="s">
        <v>2371</v>
      </c>
      <c r="R62" s="149" t="s">
        <v>2712</v>
      </c>
      <c r="S62" s="149">
        <v>7.2599999999999998E-2</v>
      </c>
      <c r="T62" s="149">
        <v>6.7166000000000003E-2</v>
      </c>
      <c r="U62" s="70">
        <f t="shared" si="0"/>
        <v>5.4339999999999944E-3</v>
      </c>
      <c r="V62" s="149">
        <v>2.48</v>
      </c>
      <c r="W62" s="149">
        <f>5.696+5.883</f>
        <v>11.579000000000001</v>
      </c>
      <c r="X62" s="149">
        <f t="shared" si="1"/>
        <v>28.715920000000001</v>
      </c>
      <c r="Y62" s="149"/>
    </row>
    <row r="63" spans="1:25" ht="16">
      <c r="A63" s="149" t="s">
        <v>12</v>
      </c>
      <c r="B63" s="150" t="s">
        <v>120</v>
      </c>
      <c r="C63" s="149" t="s">
        <v>1744</v>
      </c>
      <c r="D63" s="149" t="str">
        <f t="shared" si="2"/>
        <v>COFFS</v>
      </c>
      <c r="E63" s="149" t="s">
        <v>2538</v>
      </c>
      <c r="F63" s="160">
        <v>-30.011405</v>
      </c>
      <c r="G63" s="70">
        <v>153.11167499999999</v>
      </c>
      <c r="H63" s="70">
        <v>0</v>
      </c>
      <c r="I63" s="151">
        <v>42878</v>
      </c>
      <c r="J63" s="149" t="s">
        <v>2788</v>
      </c>
      <c r="K63" s="149" t="s">
        <v>177</v>
      </c>
      <c r="L63" s="149" t="s">
        <v>2572</v>
      </c>
      <c r="M63" s="149" t="s">
        <v>2576</v>
      </c>
      <c r="N63" s="149" t="s">
        <v>3192</v>
      </c>
      <c r="O63" s="149" t="s">
        <v>2777</v>
      </c>
      <c r="P63" s="149" t="s">
        <v>2776</v>
      </c>
      <c r="Q63" s="149" t="s">
        <v>2402</v>
      </c>
      <c r="R63" s="149" t="s">
        <v>2712</v>
      </c>
      <c r="S63" s="149">
        <v>4.4499999999999998E-2</v>
      </c>
      <c r="T63" s="149">
        <v>3.8671999999999984E-2</v>
      </c>
      <c r="U63" s="70">
        <f t="shared" si="0"/>
        <v>5.8280000000000137E-3</v>
      </c>
      <c r="V63" s="149">
        <v>2.798</v>
      </c>
      <c r="W63" s="149">
        <f>7.311+6.4076</f>
        <v>13.7186</v>
      </c>
      <c r="X63" s="149">
        <f t="shared" si="1"/>
        <v>38.384642800000002</v>
      </c>
      <c r="Y63" s="149"/>
    </row>
    <row r="64" spans="1:25" ht="16">
      <c r="A64" s="149" t="s">
        <v>12</v>
      </c>
      <c r="B64" s="150" t="s">
        <v>123</v>
      </c>
      <c r="C64" s="149" t="s">
        <v>1744</v>
      </c>
      <c r="D64" s="149" t="str">
        <f t="shared" si="2"/>
        <v>COFFS</v>
      </c>
      <c r="E64" s="149" t="s">
        <v>2537</v>
      </c>
      <c r="F64" s="160">
        <v>-30.091795000000001</v>
      </c>
      <c r="G64" s="70">
        <v>153.161948</v>
      </c>
      <c r="H64" s="70">
        <v>0</v>
      </c>
      <c r="I64" s="151">
        <v>42878</v>
      </c>
      <c r="J64" s="149" t="s">
        <v>124</v>
      </c>
      <c r="K64" s="149" t="s">
        <v>177</v>
      </c>
      <c r="L64" s="149" t="s">
        <v>2566</v>
      </c>
      <c r="M64" s="149" t="s">
        <v>2567</v>
      </c>
      <c r="N64" s="149" t="s">
        <v>2668</v>
      </c>
      <c r="O64" s="140" t="s">
        <v>2600</v>
      </c>
      <c r="P64" s="149" t="s">
        <v>2775</v>
      </c>
      <c r="Q64" s="149" t="s">
        <v>2371</v>
      </c>
      <c r="R64" s="149" t="s">
        <v>2713</v>
      </c>
      <c r="S64" s="149">
        <v>4.7300000000000002E-2</v>
      </c>
      <c r="T64" s="149">
        <v>3.8671999999999984E-2</v>
      </c>
      <c r="U64" s="70">
        <f t="shared" si="0"/>
        <v>8.6280000000000176E-3</v>
      </c>
      <c r="V64" s="149">
        <v>3.11</v>
      </c>
      <c r="W64" s="149">
        <f>6.189+5.417</f>
        <v>11.606</v>
      </c>
      <c r="X64" s="149">
        <f t="shared" si="1"/>
        <v>36.094659999999998</v>
      </c>
      <c r="Y64" s="149"/>
    </row>
    <row r="65" spans="1:25" ht="16">
      <c r="A65" s="149" t="s">
        <v>12</v>
      </c>
      <c r="B65" s="150" t="s">
        <v>129</v>
      </c>
      <c r="C65" s="149" t="s">
        <v>1744</v>
      </c>
      <c r="D65" s="149" t="str">
        <f t="shared" si="2"/>
        <v>COFFS</v>
      </c>
      <c r="E65" s="149" t="s">
        <v>2538</v>
      </c>
      <c r="F65" s="160">
        <v>-30.011405</v>
      </c>
      <c r="G65" s="70">
        <v>153.11167499999999</v>
      </c>
      <c r="H65" s="70">
        <v>0</v>
      </c>
      <c r="I65" s="151">
        <v>42878</v>
      </c>
      <c r="J65" s="149" t="s">
        <v>2785</v>
      </c>
      <c r="K65" s="149" t="s">
        <v>177</v>
      </c>
      <c r="L65" s="149" t="s">
        <v>2566</v>
      </c>
      <c r="M65" s="149" t="s">
        <v>2574</v>
      </c>
      <c r="N65" s="140" t="s">
        <v>3191</v>
      </c>
      <c r="O65" s="149" t="s">
        <v>2111</v>
      </c>
      <c r="P65" s="149" t="s">
        <v>2739</v>
      </c>
      <c r="Q65" s="149" t="s">
        <v>2399</v>
      </c>
      <c r="R65" s="149" t="s">
        <v>2712</v>
      </c>
      <c r="S65" s="149">
        <v>8.6499999999999994E-2</v>
      </c>
      <c r="T65" s="149">
        <v>6.7166000000000003E-2</v>
      </c>
      <c r="U65" s="70">
        <f t="shared" si="0"/>
        <v>1.933399999999999E-2</v>
      </c>
      <c r="V65" s="149">
        <v>4.4969999999999999</v>
      </c>
      <c r="W65" s="149">
        <v>16.451000000000001</v>
      </c>
      <c r="X65" s="149">
        <f t="shared" si="1"/>
        <v>73.980147000000002</v>
      </c>
      <c r="Y65" s="149"/>
    </row>
    <row r="66" spans="1:25" ht="16">
      <c r="A66" s="149" t="s">
        <v>12</v>
      </c>
      <c r="B66" s="150" t="s">
        <v>130</v>
      </c>
      <c r="C66" s="149" t="s">
        <v>1744</v>
      </c>
      <c r="D66" s="149" t="str">
        <f t="shared" si="2"/>
        <v>COFFS</v>
      </c>
      <c r="E66" s="149" t="s">
        <v>2537</v>
      </c>
      <c r="F66" s="160">
        <v>-30.091795000000001</v>
      </c>
      <c r="G66" s="70">
        <v>153.161948</v>
      </c>
      <c r="H66" s="70">
        <v>0</v>
      </c>
      <c r="I66" s="151">
        <v>42878</v>
      </c>
      <c r="J66" s="149" t="s">
        <v>131</v>
      </c>
      <c r="K66" s="149" t="s">
        <v>177</v>
      </c>
      <c r="L66" s="149" t="s">
        <v>2566</v>
      </c>
      <c r="M66" s="149" t="s">
        <v>2567</v>
      </c>
      <c r="N66" s="149" t="s">
        <v>2668</v>
      </c>
      <c r="O66" s="140" t="s">
        <v>2600</v>
      </c>
      <c r="P66" s="149" t="s">
        <v>2775</v>
      </c>
      <c r="Q66" s="149" t="s">
        <v>2371</v>
      </c>
      <c r="R66" s="149" t="s">
        <v>2712</v>
      </c>
      <c r="S66" s="149">
        <v>4.4999999999999998E-2</v>
      </c>
      <c r="T66" s="149">
        <v>3.8671999999999984E-2</v>
      </c>
      <c r="U66" s="70">
        <f t="shared" ref="U66:U129" si="3">S66-T66</f>
        <v>6.3280000000000142E-3</v>
      </c>
      <c r="V66" s="149">
        <v>3.1440000000000001</v>
      </c>
      <c r="W66" s="149">
        <f>6.411+5.707</f>
        <v>12.117999999999999</v>
      </c>
      <c r="X66" s="149">
        <f t="shared" ref="X66:X129" si="4">V66*W66</f>
        <v>38.098991999999996</v>
      </c>
      <c r="Y66" s="149"/>
    </row>
    <row r="67" spans="1:25" ht="16">
      <c r="A67" s="149" t="s">
        <v>12</v>
      </c>
      <c r="B67" s="150" t="s">
        <v>132</v>
      </c>
      <c r="C67" s="149" t="s">
        <v>1744</v>
      </c>
      <c r="D67" s="149" t="str">
        <f t="shared" ref="D67:D130" si="5">LEFT(E67,5)</f>
        <v>COFFS</v>
      </c>
      <c r="E67" s="149" t="s">
        <v>2538</v>
      </c>
      <c r="F67" s="160">
        <v>-30.011405</v>
      </c>
      <c r="G67" s="70">
        <v>153.11167499999999</v>
      </c>
      <c r="H67" s="70">
        <v>0</v>
      </c>
      <c r="I67" s="151">
        <v>42878</v>
      </c>
      <c r="J67" s="149" t="s">
        <v>2785</v>
      </c>
      <c r="K67" s="149" t="s">
        <v>177</v>
      </c>
      <c r="L67" s="149" t="s">
        <v>1687</v>
      </c>
      <c r="M67" s="149" t="s">
        <v>2563</v>
      </c>
      <c r="N67" s="149" t="s">
        <v>2562</v>
      </c>
      <c r="O67" s="149" t="s">
        <v>2103</v>
      </c>
      <c r="P67" s="149" t="s">
        <v>2103</v>
      </c>
      <c r="Q67" s="149" t="s">
        <v>2104</v>
      </c>
      <c r="R67" s="149" t="s">
        <v>2713</v>
      </c>
      <c r="S67" s="149">
        <v>4.0399999999999998E-2</v>
      </c>
      <c r="T67" s="149">
        <v>3.8671999999999984E-2</v>
      </c>
      <c r="U67" s="70">
        <f t="shared" si="3"/>
        <v>1.7280000000000142E-3</v>
      </c>
      <c r="V67" s="149">
        <v>1.974</v>
      </c>
      <c r="W67" s="149">
        <v>6.7080000000000002</v>
      </c>
      <c r="X67" s="149">
        <f t="shared" si="4"/>
        <v>13.241592000000001</v>
      </c>
      <c r="Y67" s="149"/>
    </row>
    <row r="68" spans="1:25" ht="16">
      <c r="A68" s="149" t="s">
        <v>12</v>
      </c>
      <c r="B68" s="150" t="s">
        <v>135</v>
      </c>
      <c r="C68" s="149" t="s">
        <v>1744</v>
      </c>
      <c r="D68" s="149" t="str">
        <f t="shared" si="5"/>
        <v>COFFS</v>
      </c>
      <c r="E68" s="149" t="s">
        <v>2537</v>
      </c>
      <c r="F68" s="160">
        <v>-30.091795000000001</v>
      </c>
      <c r="G68" s="70">
        <v>153.161948</v>
      </c>
      <c r="H68" s="70">
        <v>0</v>
      </c>
      <c r="I68" s="151">
        <v>42878</v>
      </c>
      <c r="J68" s="149" t="s">
        <v>124</v>
      </c>
      <c r="K68" s="149" t="s">
        <v>177</v>
      </c>
      <c r="L68" s="149" t="s">
        <v>2566</v>
      </c>
      <c r="M68" s="149" t="s">
        <v>2567</v>
      </c>
      <c r="N68" s="149" t="s">
        <v>2668</v>
      </c>
      <c r="O68" s="140" t="s">
        <v>2600</v>
      </c>
      <c r="P68" s="149" t="s">
        <v>2735</v>
      </c>
      <c r="Q68" s="149" t="s">
        <v>2384</v>
      </c>
      <c r="R68" s="149" t="s">
        <v>2713</v>
      </c>
      <c r="S68" s="149">
        <v>5.62E-2</v>
      </c>
      <c r="T68" s="149">
        <v>3.8671999999999984E-2</v>
      </c>
      <c r="U68" s="70">
        <f t="shared" si="3"/>
        <v>1.7528000000000016E-2</v>
      </c>
      <c r="V68" s="149">
        <v>3.2959999999999998</v>
      </c>
      <c r="W68" s="149">
        <f>6.912+7.205</f>
        <v>14.117000000000001</v>
      </c>
      <c r="X68" s="149">
        <f t="shared" si="4"/>
        <v>46.529631999999999</v>
      </c>
      <c r="Y68" s="149"/>
    </row>
    <row r="69" spans="1:25" ht="16">
      <c r="A69" s="149" t="s">
        <v>12</v>
      </c>
      <c r="B69" s="150" t="s">
        <v>139</v>
      </c>
      <c r="C69" s="149" t="s">
        <v>1744</v>
      </c>
      <c r="D69" s="149" t="str">
        <f t="shared" si="5"/>
        <v>COFFS</v>
      </c>
      <c r="E69" s="149" t="s">
        <v>2538</v>
      </c>
      <c r="F69" s="160">
        <v>-30.011405</v>
      </c>
      <c r="G69" s="70">
        <v>153.11167499999999</v>
      </c>
      <c r="H69" s="70">
        <v>0</v>
      </c>
      <c r="I69" s="151">
        <v>42879</v>
      </c>
      <c r="J69" s="149" t="s">
        <v>140</v>
      </c>
      <c r="K69" s="149" t="s">
        <v>177</v>
      </c>
      <c r="L69" s="149" t="s">
        <v>2572</v>
      </c>
      <c r="M69" s="149" t="s">
        <v>2576</v>
      </c>
      <c r="N69" s="149" t="s">
        <v>3192</v>
      </c>
      <c r="O69" s="149" t="s">
        <v>2777</v>
      </c>
      <c r="P69" s="149" t="s">
        <v>2776</v>
      </c>
      <c r="Q69" s="149" t="s">
        <v>2402</v>
      </c>
      <c r="R69" s="149" t="s">
        <v>2712</v>
      </c>
      <c r="S69" s="149">
        <v>4.5999999999999999E-2</v>
      </c>
      <c r="T69" s="149">
        <v>3.8671999999999984E-2</v>
      </c>
      <c r="U69" s="70">
        <f t="shared" si="3"/>
        <v>7.3280000000000151E-3</v>
      </c>
      <c r="V69" s="149">
        <v>3.0329999999999999</v>
      </c>
      <c r="W69" s="149">
        <f>5.931+6.901</f>
        <v>12.832000000000001</v>
      </c>
      <c r="X69" s="149">
        <f t="shared" si="4"/>
        <v>38.919456000000004</v>
      </c>
      <c r="Y69" s="149"/>
    </row>
    <row r="70" spans="1:25" ht="16">
      <c r="A70" s="149" t="s">
        <v>12</v>
      </c>
      <c r="B70" s="150" t="s">
        <v>141</v>
      </c>
      <c r="C70" s="149" t="s">
        <v>1744</v>
      </c>
      <c r="D70" s="149" t="str">
        <f t="shared" si="5"/>
        <v>COFFS</v>
      </c>
      <c r="E70" s="149" t="s">
        <v>2538</v>
      </c>
      <c r="F70" s="160">
        <v>-30.011405</v>
      </c>
      <c r="G70" s="70">
        <v>153.11167499999999</v>
      </c>
      <c r="H70" s="70">
        <v>0</v>
      </c>
      <c r="I70" s="151">
        <v>42879</v>
      </c>
      <c r="J70" s="149" t="s">
        <v>140</v>
      </c>
      <c r="K70" s="149" t="s">
        <v>177</v>
      </c>
      <c r="L70" s="149" t="s">
        <v>2572</v>
      </c>
      <c r="M70" s="149" t="s">
        <v>2576</v>
      </c>
      <c r="N70" s="149" t="s">
        <v>3192</v>
      </c>
      <c r="O70" s="149" t="s">
        <v>2777</v>
      </c>
      <c r="P70" s="149" t="s">
        <v>2776</v>
      </c>
      <c r="Q70" s="149" t="s">
        <v>2402</v>
      </c>
      <c r="R70" s="149" t="s">
        <v>2712</v>
      </c>
      <c r="S70" s="149">
        <v>4.53E-2</v>
      </c>
      <c r="T70" s="149">
        <v>3.8671999999999984E-2</v>
      </c>
      <c r="U70" s="70">
        <f t="shared" si="3"/>
        <v>6.6280000000000158E-3</v>
      </c>
      <c r="V70" s="149">
        <v>2.702</v>
      </c>
      <c r="W70" s="149">
        <f>6.531+5.114</f>
        <v>11.645</v>
      </c>
      <c r="X70" s="149">
        <f t="shared" si="4"/>
        <v>31.464789999999997</v>
      </c>
      <c r="Y70" s="149"/>
    </row>
    <row r="71" spans="1:25" ht="16">
      <c r="A71" s="149" t="s">
        <v>12</v>
      </c>
      <c r="B71" s="150" t="s">
        <v>142</v>
      </c>
      <c r="C71" s="149" t="s">
        <v>1744</v>
      </c>
      <c r="D71" s="149" t="str">
        <f t="shared" si="5"/>
        <v>COFFS</v>
      </c>
      <c r="E71" s="149" t="s">
        <v>2538</v>
      </c>
      <c r="F71" s="160">
        <v>-30.011405</v>
      </c>
      <c r="G71" s="70">
        <v>153.11167499999999</v>
      </c>
      <c r="H71" s="70">
        <v>0</v>
      </c>
      <c r="I71" s="151">
        <v>42879</v>
      </c>
      <c r="J71" s="149" t="s">
        <v>140</v>
      </c>
      <c r="K71" s="149" t="s">
        <v>177</v>
      </c>
      <c r="L71" s="149" t="s">
        <v>1687</v>
      </c>
      <c r="M71" s="149" t="s">
        <v>2564</v>
      </c>
      <c r="N71" s="149" t="s">
        <v>2577</v>
      </c>
      <c r="O71" s="149" t="s">
        <v>2742</v>
      </c>
      <c r="P71" s="149" t="s">
        <v>2740</v>
      </c>
      <c r="Q71" s="149" t="s">
        <v>2389</v>
      </c>
      <c r="R71" s="149" t="s">
        <v>2713</v>
      </c>
      <c r="S71" s="149">
        <v>0.1817</v>
      </c>
      <c r="T71" s="149">
        <v>9.6175999999999984E-2</v>
      </c>
      <c r="U71" s="70">
        <f t="shared" si="3"/>
        <v>8.5524000000000017E-2</v>
      </c>
      <c r="V71" s="149">
        <v>6.9409999999999998</v>
      </c>
      <c r="W71" s="149">
        <f>10.373+10.374</f>
        <v>20.747</v>
      </c>
      <c r="X71" s="149">
        <f t="shared" si="4"/>
        <v>144.00492700000001</v>
      </c>
      <c r="Y71" s="149"/>
    </row>
    <row r="72" spans="1:25" ht="16">
      <c r="A72" s="149" t="s">
        <v>12</v>
      </c>
      <c r="B72" s="150" t="s">
        <v>146</v>
      </c>
      <c r="C72" s="149" t="s">
        <v>1744</v>
      </c>
      <c r="D72" s="149" t="str">
        <f t="shared" si="5"/>
        <v>COFFS</v>
      </c>
      <c r="E72" s="149" t="s">
        <v>2538</v>
      </c>
      <c r="F72" s="160">
        <v>-30.011405</v>
      </c>
      <c r="G72" s="70">
        <v>153.11167499999999</v>
      </c>
      <c r="H72" s="70">
        <v>0</v>
      </c>
      <c r="I72" s="151">
        <v>42879</v>
      </c>
      <c r="J72" s="149" t="s">
        <v>140</v>
      </c>
      <c r="K72" s="149" t="s">
        <v>177</v>
      </c>
      <c r="L72" s="149" t="s">
        <v>1687</v>
      </c>
      <c r="M72" s="149" t="s">
        <v>2564</v>
      </c>
      <c r="N72" s="149" t="s">
        <v>2565</v>
      </c>
      <c r="O72" s="149" t="s">
        <v>2733</v>
      </c>
      <c r="P72" s="149" t="s">
        <v>2733</v>
      </c>
      <c r="Q72" s="149" t="s">
        <v>2381</v>
      </c>
      <c r="R72" s="149" t="s">
        <v>2713</v>
      </c>
      <c r="S72" s="149">
        <v>4.3799999999999999E-2</v>
      </c>
      <c r="T72" s="149">
        <v>3.8671999999999984E-2</v>
      </c>
      <c r="U72" s="70">
        <f t="shared" si="3"/>
        <v>5.1280000000000145E-3</v>
      </c>
      <c r="V72" s="149">
        <v>2.7130000000000001</v>
      </c>
      <c r="W72" s="149">
        <v>11.228</v>
      </c>
      <c r="X72" s="149">
        <f t="shared" si="4"/>
        <v>30.461563999999999</v>
      </c>
      <c r="Y72" s="149"/>
    </row>
    <row r="73" spans="1:25" ht="16">
      <c r="A73" s="152" t="s">
        <v>12</v>
      </c>
      <c r="B73" s="150" t="s">
        <v>149</v>
      </c>
      <c r="C73" s="149" t="s">
        <v>1744</v>
      </c>
      <c r="D73" s="149" t="str">
        <f t="shared" si="5"/>
        <v>COFFS</v>
      </c>
      <c r="E73" s="152" t="s">
        <v>2538</v>
      </c>
      <c r="F73" s="160">
        <v>-30.011405</v>
      </c>
      <c r="G73" s="70">
        <v>153.11167499999999</v>
      </c>
      <c r="H73" s="70">
        <v>0</v>
      </c>
      <c r="I73" s="153">
        <v>42880</v>
      </c>
      <c r="J73" s="152" t="s">
        <v>140</v>
      </c>
      <c r="K73" s="149" t="s">
        <v>177</v>
      </c>
      <c r="L73" s="149" t="s">
        <v>2566</v>
      </c>
      <c r="M73" s="149" t="s">
        <v>2567</v>
      </c>
      <c r="N73" s="152" t="s">
        <v>2668</v>
      </c>
      <c r="O73" s="140" t="s">
        <v>2600</v>
      </c>
      <c r="P73" s="149" t="s">
        <v>2735</v>
      </c>
      <c r="Q73" s="149" t="s">
        <v>2384</v>
      </c>
      <c r="R73" s="152" t="s">
        <v>2713</v>
      </c>
      <c r="S73" s="149">
        <v>4.7E-2</v>
      </c>
      <c r="T73" s="149">
        <v>3.8671999999999984E-2</v>
      </c>
      <c r="U73" s="70">
        <f t="shared" si="3"/>
        <v>8.3280000000000159E-3</v>
      </c>
      <c r="V73" s="149">
        <v>2.9980000000000002</v>
      </c>
      <c r="W73" s="149">
        <f>5.831+5.565</f>
        <v>11.396000000000001</v>
      </c>
      <c r="X73" s="149">
        <f t="shared" si="4"/>
        <v>34.165208000000007</v>
      </c>
      <c r="Y73" s="149"/>
    </row>
    <row r="74" spans="1:25" ht="16">
      <c r="A74" s="149" t="s">
        <v>12</v>
      </c>
      <c r="B74" s="150" t="s">
        <v>155</v>
      </c>
      <c r="C74" s="149" t="s">
        <v>1744</v>
      </c>
      <c r="D74" s="149" t="str">
        <f t="shared" si="5"/>
        <v>COFFS</v>
      </c>
      <c r="E74" s="149" t="s">
        <v>2540</v>
      </c>
      <c r="F74" s="160">
        <v>-30.037337000000001</v>
      </c>
      <c r="G74" s="70">
        <v>153.147063</v>
      </c>
      <c r="H74" s="70">
        <v>0</v>
      </c>
      <c r="I74" s="151">
        <v>42886</v>
      </c>
      <c r="J74" s="149" t="s">
        <v>36</v>
      </c>
      <c r="K74" s="149" t="s">
        <v>154</v>
      </c>
      <c r="L74" s="149" t="s">
        <v>2566</v>
      </c>
      <c r="M74" s="149" t="s">
        <v>2567</v>
      </c>
      <c r="N74" s="149" t="s">
        <v>2668</v>
      </c>
      <c r="O74" s="149" t="s">
        <v>2105</v>
      </c>
      <c r="P74" s="140" t="s">
        <v>2105</v>
      </c>
      <c r="Q74" s="149" t="s">
        <v>2387</v>
      </c>
      <c r="R74" s="149" t="s">
        <v>2713</v>
      </c>
      <c r="S74" s="149">
        <v>8.0000000000000004E-4</v>
      </c>
      <c r="T74" s="149">
        <v>0</v>
      </c>
      <c r="U74" s="70">
        <f t="shared" si="3"/>
        <v>8.0000000000000004E-4</v>
      </c>
      <c r="V74" s="149">
        <v>1.4770000000000001</v>
      </c>
      <c r="W74" s="149">
        <v>6.0410000000000004</v>
      </c>
      <c r="X74" s="149">
        <f t="shared" si="4"/>
        <v>8.9225570000000012</v>
      </c>
      <c r="Y74" s="149"/>
    </row>
    <row r="75" spans="1:25" ht="16">
      <c r="A75" s="149" t="s">
        <v>12</v>
      </c>
      <c r="B75" s="150" t="s">
        <v>156</v>
      </c>
      <c r="C75" s="149" t="s">
        <v>1744</v>
      </c>
      <c r="D75" s="149" t="str">
        <f t="shared" si="5"/>
        <v>COFFS</v>
      </c>
      <c r="E75" s="149" t="s">
        <v>2538</v>
      </c>
      <c r="F75" s="160">
        <v>-30.011405</v>
      </c>
      <c r="G75" s="70">
        <v>153.11167499999999</v>
      </c>
      <c r="H75" s="70">
        <v>0</v>
      </c>
      <c r="I75" s="151">
        <v>42879</v>
      </c>
      <c r="J75" s="149" t="s">
        <v>140</v>
      </c>
      <c r="K75" s="149" t="s">
        <v>177</v>
      </c>
      <c r="L75" s="149" t="s">
        <v>1687</v>
      </c>
      <c r="M75" s="149" t="s">
        <v>2564</v>
      </c>
      <c r="N75" s="149" t="s">
        <v>2577</v>
      </c>
      <c r="O75" s="149" t="s">
        <v>2742</v>
      </c>
      <c r="P75" s="149" t="s">
        <v>2740</v>
      </c>
      <c r="Q75" s="149" t="s">
        <v>2389</v>
      </c>
      <c r="R75" s="149" t="s">
        <v>2713</v>
      </c>
      <c r="S75" s="149">
        <v>0.19159999999999999</v>
      </c>
      <c r="T75" s="149">
        <v>9.6175999999999984E-2</v>
      </c>
      <c r="U75" s="70">
        <f t="shared" si="3"/>
        <v>9.5424000000000009E-2</v>
      </c>
      <c r="V75" s="149">
        <v>7.867</v>
      </c>
      <c r="W75" s="149">
        <f>12.357+11.935</f>
        <v>24.292000000000002</v>
      </c>
      <c r="X75" s="149">
        <f t="shared" si="4"/>
        <v>191.105164</v>
      </c>
      <c r="Y75" s="149"/>
    </row>
    <row r="76" spans="1:25" ht="16">
      <c r="A76" s="149" t="s">
        <v>12</v>
      </c>
      <c r="B76" s="150" t="s">
        <v>157</v>
      </c>
      <c r="C76" s="149" t="s">
        <v>1744</v>
      </c>
      <c r="D76" s="149" t="str">
        <f t="shared" si="5"/>
        <v>COFFS</v>
      </c>
      <c r="E76" s="149" t="s">
        <v>2538</v>
      </c>
      <c r="F76" s="160">
        <v>-30.011405</v>
      </c>
      <c r="G76" s="70">
        <v>153.11167499999999</v>
      </c>
      <c r="H76" s="70">
        <v>0</v>
      </c>
      <c r="I76" s="151">
        <v>42879</v>
      </c>
      <c r="J76" s="149" t="s">
        <v>140</v>
      </c>
      <c r="K76" s="149" t="s">
        <v>177</v>
      </c>
      <c r="L76" s="149" t="s">
        <v>1687</v>
      </c>
      <c r="M76" s="149" t="s">
        <v>2564</v>
      </c>
      <c r="N76" s="149" t="s">
        <v>2577</v>
      </c>
      <c r="O76" s="149" t="s">
        <v>2742</v>
      </c>
      <c r="P76" s="149" t="s">
        <v>2740</v>
      </c>
      <c r="Q76" s="149" t="s">
        <v>2389</v>
      </c>
      <c r="R76" s="149" t="s">
        <v>2713</v>
      </c>
      <c r="S76" s="149">
        <v>0.1867</v>
      </c>
      <c r="T76" s="149">
        <v>9.6175999999999984E-2</v>
      </c>
      <c r="U76" s="70">
        <f t="shared" si="3"/>
        <v>9.0524000000000021E-2</v>
      </c>
      <c r="V76" s="149">
        <v>7.6130000000000004</v>
      </c>
      <c r="W76" s="149">
        <f>11.431+12.2099</f>
        <v>23.640899999999998</v>
      </c>
      <c r="X76" s="149">
        <f t="shared" si="4"/>
        <v>179.97817169999999</v>
      </c>
      <c r="Y76" s="149"/>
    </row>
    <row r="77" spans="1:25" ht="16">
      <c r="A77" s="149" t="s">
        <v>12</v>
      </c>
      <c r="B77" s="150" t="s">
        <v>160</v>
      </c>
      <c r="C77" s="149" t="s">
        <v>1744</v>
      </c>
      <c r="D77" s="149" t="str">
        <f t="shared" si="5"/>
        <v>COFFS</v>
      </c>
      <c r="E77" s="149" t="s">
        <v>2538</v>
      </c>
      <c r="F77" s="160">
        <v>-30.011405</v>
      </c>
      <c r="G77" s="70">
        <v>153.11167499999999</v>
      </c>
      <c r="H77" s="70">
        <v>0</v>
      </c>
      <c r="I77" s="151">
        <v>42879</v>
      </c>
      <c r="J77" s="149" t="s">
        <v>140</v>
      </c>
      <c r="K77" s="149" t="s">
        <v>177</v>
      </c>
      <c r="L77" s="149" t="s">
        <v>2566</v>
      </c>
      <c r="M77" s="149" t="s">
        <v>2574</v>
      </c>
      <c r="N77" s="140" t="s">
        <v>3191</v>
      </c>
      <c r="O77" s="149" t="s">
        <v>2111</v>
      </c>
      <c r="P77" s="149" t="s">
        <v>2739</v>
      </c>
      <c r="Q77" s="149" t="s">
        <v>2399</v>
      </c>
      <c r="R77" s="149" t="s">
        <v>2712</v>
      </c>
      <c r="S77" s="149">
        <v>5.8599999999999999E-2</v>
      </c>
      <c r="T77" s="149">
        <v>3.8671999999999984E-2</v>
      </c>
      <c r="U77" s="70">
        <f t="shared" si="3"/>
        <v>1.9928000000000015E-2</v>
      </c>
      <c r="V77" s="149">
        <v>4.4029999999999996</v>
      </c>
      <c r="W77" s="149">
        <f>7.834+8.942</f>
        <v>16.776</v>
      </c>
      <c r="X77" s="149">
        <f t="shared" si="4"/>
        <v>73.864727999999985</v>
      </c>
      <c r="Y77" s="149"/>
    </row>
    <row r="78" spans="1:25" ht="16">
      <c r="A78" s="149" t="s">
        <v>12</v>
      </c>
      <c r="B78" s="150" t="s">
        <v>161</v>
      </c>
      <c r="C78" s="149" t="s">
        <v>1744</v>
      </c>
      <c r="D78" s="149" t="str">
        <f t="shared" si="5"/>
        <v>COFFS</v>
      </c>
      <c r="E78" s="149" t="s">
        <v>2538</v>
      </c>
      <c r="F78" s="160">
        <v>-30.011405</v>
      </c>
      <c r="G78" s="70">
        <v>153.11167499999999</v>
      </c>
      <c r="H78" s="70">
        <v>0</v>
      </c>
      <c r="I78" s="151">
        <v>42880</v>
      </c>
      <c r="J78" s="149" t="s">
        <v>140</v>
      </c>
      <c r="K78" s="149" t="s">
        <v>177</v>
      </c>
      <c r="L78" s="149" t="s">
        <v>2566</v>
      </c>
      <c r="M78" s="149" t="s">
        <v>2567</v>
      </c>
      <c r="N78" s="149" t="s">
        <v>2668</v>
      </c>
      <c r="O78" s="140" t="s">
        <v>2600</v>
      </c>
      <c r="P78" s="149" t="s">
        <v>2735</v>
      </c>
      <c r="Q78" s="149" t="s">
        <v>2384</v>
      </c>
      <c r="R78" s="149" t="s">
        <v>2713</v>
      </c>
      <c r="S78" s="149">
        <v>4.4600000000000001E-2</v>
      </c>
      <c r="T78" s="149">
        <v>3.8671999999999984E-2</v>
      </c>
      <c r="U78" s="70">
        <f t="shared" si="3"/>
        <v>5.9280000000000166E-3</v>
      </c>
      <c r="V78" s="149">
        <v>2.9180000000000001</v>
      </c>
      <c r="W78" s="149">
        <v>11.334</v>
      </c>
      <c r="X78" s="149">
        <f t="shared" si="4"/>
        <v>33.072611999999999</v>
      </c>
      <c r="Y78" s="149"/>
    </row>
    <row r="79" spans="1:25" ht="16">
      <c r="A79" s="149" t="s">
        <v>12</v>
      </c>
      <c r="B79" s="150" t="s">
        <v>162</v>
      </c>
      <c r="C79" s="149" t="s">
        <v>1744</v>
      </c>
      <c r="D79" s="149" t="str">
        <f t="shared" si="5"/>
        <v>COFFS</v>
      </c>
      <c r="E79" s="149" t="s">
        <v>2538</v>
      </c>
      <c r="F79" s="160">
        <v>-30.011405</v>
      </c>
      <c r="G79" s="70">
        <v>153.11167499999999</v>
      </c>
      <c r="H79" s="70">
        <v>0</v>
      </c>
      <c r="I79" s="151">
        <v>42879</v>
      </c>
      <c r="J79" s="149" t="s">
        <v>140</v>
      </c>
      <c r="K79" s="149" t="s">
        <v>177</v>
      </c>
      <c r="L79" s="149" t="s">
        <v>2566</v>
      </c>
      <c r="M79" s="149" t="s">
        <v>2567</v>
      </c>
      <c r="N79" s="149" t="s">
        <v>2668</v>
      </c>
      <c r="O79" s="140" t="s">
        <v>2600</v>
      </c>
      <c r="P79" s="149" t="s">
        <v>2735</v>
      </c>
      <c r="Q79" s="149" t="s">
        <v>2384</v>
      </c>
      <c r="R79" s="149" t="s">
        <v>2713</v>
      </c>
      <c r="S79" s="149">
        <v>4.3799999999999999E-2</v>
      </c>
      <c r="T79" s="149">
        <v>3.8671999999999984E-2</v>
      </c>
      <c r="U79" s="70">
        <f t="shared" si="3"/>
        <v>5.1280000000000145E-3</v>
      </c>
      <c r="V79" s="149">
        <v>2.7269999999999999</v>
      </c>
      <c r="W79" s="149">
        <v>11.199</v>
      </c>
      <c r="X79" s="149">
        <f t="shared" si="4"/>
        <v>30.539672999999997</v>
      </c>
      <c r="Y79" s="149"/>
    </row>
    <row r="80" spans="1:25" ht="16">
      <c r="A80" s="149" t="s">
        <v>12</v>
      </c>
      <c r="B80" s="150" t="s">
        <v>163</v>
      </c>
      <c r="C80" s="149" t="s">
        <v>1744</v>
      </c>
      <c r="D80" s="149" t="str">
        <f t="shared" si="5"/>
        <v>COFFS</v>
      </c>
      <c r="E80" s="149" t="s">
        <v>2541</v>
      </c>
      <c r="F80" s="160">
        <v>-30.033556999999998</v>
      </c>
      <c r="G80" s="70">
        <v>153.18147200000001</v>
      </c>
      <c r="H80" s="70">
        <v>0</v>
      </c>
      <c r="I80" s="151">
        <v>42885</v>
      </c>
      <c r="J80" s="149" t="s">
        <v>36</v>
      </c>
      <c r="K80" s="149" t="s">
        <v>154</v>
      </c>
      <c r="L80" s="149" t="s">
        <v>1687</v>
      </c>
      <c r="M80" s="149" t="s">
        <v>2563</v>
      </c>
      <c r="N80" s="149" t="s">
        <v>2568</v>
      </c>
      <c r="O80" s="149" t="s">
        <v>2734</v>
      </c>
      <c r="P80" s="149" t="s">
        <v>2736</v>
      </c>
      <c r="Q80" s="149" t="s">
        <v>2390</v>
      </c>
      <c r="R80" s="149" t="s">
        <v>2713</v>
      </c>
      <c r="S80" s="149">
        <v>0.161</v>
      </c>
      <c r="T80" s="149">
        <v>9.6175999999999984E-2</v>
      </c>
      <c r="U80" s="70">
        <f t="shared" si="3"/>
        <v>6.482400000000002E-2</v>
      </c>
      <c r="V80" s="149">
        <v>6.5229999999999997</v>
      </c>
      <c r="W80" s="149">
        <f>9.32+11.149</f>
        <v>20.469000000000001</v>
      </c>
      <c r="X80" s="149">
        <f t="shared" si="4"/>
        <v>133.51928699999999</v>
      </c>
      <c r="Y80" s="149"/>
    </row>
    <row r="81" spans="1:25" ht="16">
      <c r="A81" s="149" t="s">
        <v>12</v>
      </c>
      <c r="B81" s="150" t="s">
        <v>164</v>
      </c>
      <c r="C81" s="149" t="s">
        <v>1744</v>
      </c>
      <c r="D81" s="149" t="str">
        <f t="shared" si="5"/>
        <v>COFFS</v>
      </c>
      <c r="E81" s="149" t="s">
        <v>2538</v>
      </c>
      <c r="F81" s="160">
        <v>-30.011405</v>
      </c>
      <c r="G81" s="70">
        <v>153.11167499999999</v>
      </c>
      <c r="H81" s="70">
        <v>0</v>
      </c>
      <c r="I81" s="151">
        <v>42879</v>
      </c>
      <c r="J81" s="149" t="s">
        <v>140</v>
      </c>
      <c r="K81" s="149" t="s">
        <v>177</v>
      </c>
      <c r="L81" s="149" t="s">
        <v>2572</v>
      </c>
      <c r="M81" s="149" t="s">
        <v>2576</v>
      </c>
      <c r="N81" s="149" t="s">
        <v>3192</v>
      </c>
      <c r="O81" s="149" t="s">
        <v>2777</v>
      </c>
      <c r="P81" s="149" t="s">
        <v>2776</v>
      </c>
      <c r="Q81" s="149" t="s">
        <v>2402</v>
      </c>
      <c r="R81" s="149" t="s">
        <v>2712</v>
      </c>
      <c r="S81" s="149">
        <v>4.4900000000000002E-2</v>
      </c>
      <c r="T81" s="149">
        <v>3.8671999999999984E-2</v>
      </c>
      <c r="U81" s="70">
        <f t="shared" si="3"/>
        <v>6.2280000000000182E-3</v>
      </c>
      <c r="V81" s="149">
        <v>2.867</v>
      </c>
      <c r="W81" s="149">
        <f>5.061+6.783</f>
        <v>11.844000000000001</v>
      </c>
      <c r="X81" s="149">
        <f t="shared" si="4"/>
        <v>33.956748000000005</v>
      </c>
      <c r="Y81" s="149"/>
    </row>
    <row r="82" spans="1:25" ht="16">
      <c r="A82" s="149" t="s">
        <v>12</v>
      </c>
      <c r="B82" s="150" t="s">
        <v>165</v>
      </c>
      <c r="C82" s="149" t="s">
        <v>1744</v>
      </c>
      <c r="D82" s="149" t="str">
        <f t="shared" si="5"/>
        <v>COFFS</v>
      </c>
      <c r="E82" s="149" t="s">
        <v>2538</v>
      </c>
      <c r="F82" s="160">
        <v>-30.011405</v>
      </c>
      <c r="G82" s="70">
        <v>153.11167499999999</v>
      </c>
      <c r="H82" s="70">
        <v>0</v>
      </c>
      <c r="I82" s="151">
        <v>42880</v>
      </c>
      <c r="J82" s="149" t="s">
        <v>140</v>
      </c>
      <c r="K82" s="149" t="s">
        <v>177</v>
      </c>
      <c r="L82" s="149" t="s">
        <v>2572</v>
      </c>
      <c r="M82" s="149" t="s">
        <v>2573</v>
      </c>
      <c r="N82" s="149" t="s">
        <v>36</v>
      </c>
      <c r="O82" s="149" t="s">
        <v>2606</v>
      </c>
      <c r="P82" s="149" t="s">
        <v>2778</v>
      </c>
      <c r="Q82" s="149" t="s">
        <v>2376</v>
      </c>
      <c r="R82" s="149" t="s">
        <v>2713</v>
      </c>
      <c r="S82" s="149">
        <v>4.7600000000000003E-2</v>
      </c>
      <c r="T82" s="149">
        <v>3.8671999999999984E-2</v>
      </c>
      <c r="U82" s="70">
        <f t="shared" si="3"/>
        <v>8.9280000000000193E-3</v>
      </c>
      <c r="V82" s="149">
        <v>3.214</v>
      </c>
      <c r="W82" s="149">
        <f>5.109+6.736</f>
        <v>11.844999999999999</v>
      </c>
      <c r="X82" s="149">
        <f t="shared" si="4"/>
        <v>38.069829999999996</v>
      </c>
      <c r="Y82" s="149"/>
    </row>
    <row r="83" spans="1:25" ht="16">
      <c r="A83" s="149" t="s">
        <v>12</v>
      </c>
      <c r="B83" s="150" t="s">
        <v>166</v>
      </c>
      <c r="C83" s="149" t="s">
        <v>1744</v>
      </c>
      <c r="D83" s="149" t="str">
        <f t="shared" si="5"/>
        <v>COFFS</v>
      </c>
      <c r="E83" s="149" t="s">
        <v>2538</v>
      </c>
      <c r="F83" s="160">
        <v>-30.011405</v>
      </c>
      <c r="G83" s="70">
        <v>153.11167499999999</v>
      </c>
      <c r="H83" s="70">
        <v>0</v>
      </c>
      <c r="I83" s="151">
        <v>42879</v>
      </c>
      <c r="J83" s="149" t="s">
        <v>140</v>
      </c>
      <c r="K83" s="149" t="s">
        <v>177</v>
      </c>
      <c r="L83" s="149" t="s">
        <v>2566</v>
      </c>
      <c r="M83" s="149" t="s">
        <v>2574</v>
      </c>
      <c r="N83" s="140" t="s">
        <v>3191</v>
      </c>
      <c r="O83" s="149" t="s">
        <v>2111</v>
      </c>
      <c r="P83" s="149" t="s">
        <v>2739</v>
      </c>
      <c r="Q83" s="149" t="s">
        <v>2399</v>
      </c>
      <c r="R83" s="149" t="s">
        <v>2712</v>
      </c>
      <c r="S83" s="149">
        <v>5.9700000000000003E-2</v>
      </c>
      <c r="T83" s="149">
        <v>3.8671999999999984E-2</v>
      </c>
      <c r="U83" s="70">
        <f t="shared" si="3"/>
        <v>2.1028000000000019E-2</v>
      </c>
      <c r="V83" s="149">
        <v>4.4630000000000001</v>
      </c>
      <c r="W83" s="149">
        <f>8.097+8.203</f>
        <v>16.299999999999997</v>
      </c>
      <c r="X83" s="149">
        <f t="shared" si="4"/>
        <v>72.746899999999982</v>
      </c>
      <c r="Y83" s="149"/>
    </row>
    <row r="84" spans="1:25" ht="16">
      <c r="A84" s="149" t="s">
        <v>12</v>
      </c>
      <c r="B84" s="150" t="s">
        <v>167</v>
      </c>
      <c r="C84" s="149" t="s">
        <v>1744</v>
      </c>
      <c r="D84" s="149" t="str">
        <f t="shared" si="5"/>
        <v>COFFS</v>
      </c>
      <c r="E84" s="149" t="s">
        <v>2538</v>
      </c>
      <c r="F84" s="160">
        <v>-30.011405</v>
      </c>
      <c r="G84" s="70">
        <v>153.11167499999999</v>
      </c>
      <c r="H84" s="70">
        <v>0</v>
      </c>
      <c r="I84" s="151">
        <v>42880</v>
      </c>
      <c r="J84" s="149" t="s">
        <v>126</v>
      </c>
      <c r="K84" s="149" t="s">
        <v>177</v>
      </c>
      <c r="L84" s="149" t="s">
        <v>2566</v>
      </c>
      <c r="M84" s="149" t="s">
        <v>2574</v>
      </c>
      <c r="N84" s="140" t="s">
        <v>3191</v>
      </c>
      <c r="O84" s="149" t="s">
        <v>2111</v>
      </c>
      <c r="P84" s="149" t="s">
        <v>2739</v>
      </c>
      <c r="Q84" s="149" t="s">
        <v>2399</v>
      </c>
      <c r="R84" s="149" t="s">
        <v>2712</v>
      </c>
      <c r="S84" s="149">
        <v>6.2100000000000002E-2</v>
      </c>
      <c r="T84" s="149">
        <v>3.8671999999999984E-2</v>
      </c>
      <c r="U84" s="70">
        <f t="shared" si="3"/>
        <v>2.3428000000000018E-2</v>
      </c>
      <c r="V84" s="149">
        <v>4.3630000000000004</v>
      </c>
      <c r="W84" s="149">
        <f>7.699+7.995</f>
        <v>15.693999999999999</v>
      </c>
      <c r="X84" s="149">
        <f t="shared" si="4"/>
        <v>68.472921999999997</v>
      </c>
      <c r="Y84" s="149"/>
    </row>
    <row r="85" spans="1:25" ht="16">
      <c r="A85" s="149" t="s">
        <v>12</v>
      </c>
      <c r="B85" s="150" t="s">
        <v>168</v>
      </c>
      <c r="C85" s="149" t="s">
        <v>1744</v>
      </c>
      <c r="D85" s="149" t="str">
        <f t="shared" si="5"/>
        <v>COFFS</v>
      </c>
      <c r="E85" s="149" t="s">
        <v>2538</v>
      </c>
      <c r="F85" s="160">
        <v>-30.011405</v>
      </c>
      <c r="G85" s="70">
        <v>153.11167499999999</v>
      </c>
      <c r="H85" s="70">
        <v>0</v>
      </c>
      <c r="I85" s="151">
        <v>42886</v>
      </c>
      <c r="J85" s="149" t="s">
        <v>36</v>
      </c>
      <c r="K85" s="149" t="s">
        <v>154</v>
      </c>
      <c r="L85" s="149" t="s">
        <v>2566</v>
      </c>
      <c r="M85" s="149" t="s">
        <v>2567</v>
      </c>
      <c r="N85" s="149" t="s">
        <v>2668</v>
      </c>
      <c r="O85" s="140" t="s">
        <v>2600</v>
      </c>
      <c r="P85" s="149" t="s">
        <v>2735</v>
      </c>
      <c r="Q85" s="149" t="s">
        <v>2384</v>
      </c>
      <c r="R85" s="149" t="s">
        <v>2713</v>
      </c>
      <c r="S85" s="149">
        <v>4.65E-2</v>
      </c>
      <c r="T85" s="149">
        <v>3.8671999999999984E-2</v>
      </c>
      <c r="U85" s="70">
        <f t="shared" si="3"/>
        <v>7.8280000000000155E-3</v>
      </c>
      <c r="V85" s="149">
        <v>3.0710000000000002</v>
      </c>
      <c r="W85" s="149">
        <v>11.821</v>
      </c>
      <c r="X85" s="149">
        <f t="shared" si="4"/>
        <v>36.302291000000004</v>
      </c>
      <c r="Y85" s="149"/>
    </row>
    <row r="86" spans="1:25" ht="16">
      <c r="A86" s="149" t="s">
        <v>12</v>
      </c>
      <c r="B86" s="150" t="s">
        <v>169</v>
      </c>
      <c r="C86" s="149" t="s">
        <v>1744</v>
      </c>
      <c r="D86" s="149" t="str">
        <f t="shared" si="5"/>
        <v>COFFS</v>
      </c>
      <c r="E86" s="149" t="s">
        <v>2538</v>
      </c>
      <c r="F86" s="160">
        <v>-30.011405</v>
      </c>
      <c r="G86" s="70">
        <v>153.11167499999999</v>
      </c>
      <c r="H86" s="70">
        <v>0</v>
      </c>
      <c r="I86" s="151">
        <v>42886</v>
      </c>
      <c r="J86" s="149" t="s">
        <v>36</v>
      </c>
      <c r="K86" s="149" t="s">
        <v>154</v>
      </c>
      <c r="L86" s="149" t="s">
        <v>2566</v>
      </c>
      <c r="M86" s="149" t="s">
        <v>2567</v>
      </c>
      <c r="N86" s="149" t="s">
        <v>2668</v>
      </c>
      <c r="O86" s="149" t="s">
        <v>2105</v>
      </c>
      <c r="P86" s="140" t="s">
        <v>2105</v>
      </c>
      <c r="Q86" s="149" t="s">
        <v>2387</v>
      </c>
      <c r="R86" s="149" t="s">
        <v>2713</v>
      </c>
      <c r="S86" s="149">
        <v>1.9E-3</v>
      </c>
      <c r="T86" s="149">
        <v>0</v>
      </c>
      <c r="U86" s="70">
        <f t="shared" si="3"/>
        <v>1.9E-3</v>
      </c>
      <c r="V86" s="149">
        <v>1.6519999999999999</v>
      </c>
      <c r="W86" s="149">
        <f>3.106+3.446</f>
        <v>6.5519999999999996</v>
      </c>
      <c r="X86" s="149">
        <f t="shared" si="4"/>
        <v>10.823903999999999</v>
      </c>
      <c r="Y86" s="149"/>
    </row>
    <row r="87" spans="1:25" ht="16">
      <c r="A87" s="149" t="s">
        <v>12</v>
      </c>
      <c r="B87" s="150" t="s">
        <v>175</v>
      </c>
      <c r="C87" s="149" t="s">
        <v>1744</v>
      </c>
      <c r="D87" s="149" t="str">
        <f t="shared" si="5"/>
        <v>COFFS</v>
      </c>
      <c r="E87" s="149" t="s">
        <v>2542</v>
      </c>
      <c r="F87" s="160">
        <v>-30.009444999999999</v>
      </c>
      <c r="G87" s="70">
        <v>153.10040100000001</v>
      </c>
      <c r="H87" s="70">
        <v>0</v>
      </c>
      <c r="I87" s="151">
        <v>42863</v>
      </c>
      <c r="J87" s="149" t="s">
        <v>36</v>
      </c>
      <c r="K87" s="149" t="s">
        <v>154</v>
      </c>
      <c r="L87" s="149" t="s">
        <v>1687</v>
      </c>
      <c r="M87" s="149" t="s">
        <v>2563</v>
      </c>
      <c r="N87" s="149" t="s">
        <v>2562</v>
      </c>
      <c r="O87" s="149" t="s">
        <v>2103</v>
      </c>
      <c r="P87" s="149" t="s">
        <v>2103</v>
      </c>
      <c r="Q87" s="149" t="s">
        <v>2104</v>
      </c>
      <c r="R87" s="149" t="s">
        <v>2713</v>
      </c>
      <c r="S87" s="149">
        <v>1.5E-3</v>
      </c>
      <c r="T87" s="149">
        <v>0</v>
      </c>
      <c r="U87" s="70">
        <f t="shared" si="3"/>
        <v>1.5E-3</v>
      </c>
      <c r="V87" s="149">
        <v>1.784</v>
      </c>
      <c r="W87" s="149">
        <f>3.252+3.373</f>
        <v>6.625</v>
      </c>
      <c r="X87" s="149">
        <f t="shared" si="4"/>
        <v>11.819000000000001</v>
      </c>
      <c r="Y87" s="149"/>
    </row>
    <row r="88" spans="1:25" ht="16">
      <c r="A88" s="149" t="s">
        <v>12</v>
      </c>
      <c r="B88" s="150" t="s">
        <v>176</v>
      </c>
      <c r="C88" s="149" t="s">
        <v>1744</v>
      </c>
      <c r="D88" s="149" t="str">
        <f t="shared" si="5"/>
        <v>COFFS</v>
      </c>
      <c r="E88" s="149" t="s">
        <v>2529</v>
      </c>
      <c r="F88" s="70">
        <v>-29.997240000000001</v>
      </c>
      <c r="G88" s="70">
        <v>153.14993100000001</v>
      </c>
      <c r="H88" s="70">
        <v>0</v>
      </c>
      <c r="I88" s="151">
        <v>42863</v>
      </c>
      <c r="J88" s="149" t="s">
        <v>2785</v>
      </c>
      <c r="K88" s="149" t="s">
        <v>177</v>
      </c>
      <c r="L88" s="149" t="s">
        <v>2566</v>
      </c>
      <c r="M88" s="149" t="s">
        <v>2567</v>
      </c>
      <c r="N88" s="149" t="s">
        <v>2668</v>
      </c>
      <c r="O88" s="140" t="s">
        <v>2600</v>
      </c>
      <c r="P88" s="149" t="s">
        <v>2735</v>
      </c>
      <c r="Q88" s="149" t="s">
        <v>2697</v>
      </c>
      <c r="R88" s="149" t="s">
        <v>2712</v>
      </c>
      <c r="S88" s="149">
        <v>2.3E-3</v>
      </c>
      <c r="T88" s="149">
        <v>0</v>
      </c>
      <c r="U88" s="70">
        <f t="shared" si="3"/>
        <v>2.3E-3</v>
      </c>
      <c r="V88" s="149">
        <v>2.0059999999999998</v>
      </c>
      <c r="W88" s="149">
        <f>4.542+1.256+2.438</f>
        <v>8.2360000000000007</v>
      </c>
      <c r="X88" s="149">
        <f t="shared" si="4"/>
        <v>16.521415999999999</v>
      </c>
      <c r="Y88" s="149"/>
    </row>
    <row r="89" spans="1:25" ht="16">
      <c r="A89" s="149" t="s">
        <v>12</v>
      </c>
      <c r="B89" s="154" t="s">
        <v>178</v>
      </c>
      <c r="C89" s="149" t="s">
        <v>1744</v>
      </c>
      <c r="D89" s="149" t="str">
        <f t="shared" si="5"/>
        <v>COFFS</v>
      </c>
      <c r="E89" s="155" t="s">
        <v>2528</v>
      </c>
      <c r="F89" s="160">
        <v>-30.016062000000002</v>
      </c>
      <c r="G89" s="70">
        <v>153.12394800000001</v>
      </c>
      <c r="H89" s="70">
        <v>0</v>
      </c>
      <c r="I89" s="156">
        <v>42863</v>
      </c>
      <c r="J89" s="149" t="s">
        <v>36</v>
      </c>
      <c r="K89" s="155" t="s">
        <v>154</v>
      </c>
      <c r="L89" s="149" t="s">
        <v>2566</v>
      </c>
      <c r="M89" s="149" t="s">
        <v>2567</v>
      </c>
      <c r="N89" s="155" t="s">
        <v>2668</v>
      </c>
      <c r="O89" s="149" t="s">
        <v>2105</v>
      </c>
      <c r="P89" s="140" t="s">
        <v>2105</v>
      </c>
      <c r="Q89" s="149" t="s">
        <v>2387</v>
      </c>
      <c r="R89" s="149" t="s">
        <v>2713</v>
      </c>
      <c r="S89" s="149">
        <f>0.0019/2</f>
        <v>9.5E-4</v>
      </c>
      <c r="T89" s="149">
        <v>0</v>
      </c>
      <c r="U89" s="70">
        <f t="shared" si="3"/>
        <v>9.5E-4</v>
      </c>
      <c r="V89" s="149">
        <v>1.5609999999999999</v>
      </c>
      <c r="W89" s="149">
        <f>3.505+2.962</f>
        <v>6.4670000000000005</v>
      </c>
      <c r="X89" s="149">
        <f t="shared" si="4"/>
        <v>10.094987</v>
      </c>
      <c r="Y89" s="149"/>
    </row>
    <row r="90" spans="1:25" ht="16">
      <c r="A90" s="149" t="s">
        <v>12</v>
      </c>
      <c r="B90" s="150" t="s">
        <v>2109</v>
      </c>
      <c r="C90" s="149" t="s">
        <v>1744</v>
      </c>
      <c r="D90" s="149" t="str">
        <f t="shared" si="5"/>
        <v>COFFS</v>
      </c>
      <c r="E90" s="149" t="s">
        <v>2528</v>
      </c>
      <c r="F90" s="160">
        <v>-30.016062000000002</v>
      </c>
      <c r="G90" s="70">
        <v>153.12394800000001</v>
      </c>
      <c r="H90" s="70">
        <v>0</v>
      </c>
      <c r="I90" s="151">
        <v>42863</v>
      </c>
      <c r="J90" s="149" t="s">
        <v>36</v>
      </c>
      <c r="K90" s="149" t="s">
        <v>154</v>
      </c>
      <c r="L90" s="149" t="s">
        <v>2566</v>
      </c>
      <c r="M90" s="149" t="s">
        <v>2567</v>
      </c>
      <c r="N90" s="149" t="s">
        <v>2668</v>
      </c>
      <c r="O90" s="149" t="s">
        <v>2105</v>
      </c>
      <c r="P90" s="140" t="s">
        <v>2105</v>
      </c>
      <c r="Q90" s="149" t="s">
        <v>2387</v>
      </c>
      <c r="R90" s="149" t="s">
        <v>2713</v>
      </c>
      <c r="S90" s="149">
        <f>0.0019/2</f>
        <v>9.5E-4</v>
      </c>
      <c r="T90" s="149">
        <v>0</v>
      </c>
      <c r="U90" s="70">
        <f t="shared" si="3"/>
        <v>9.5E-4</v>
      </c>
      <c r="V90" s="149">
        <v>1.5469999999999999</v>
      </c>
      <c r="W90" s="149">
        <f>2.757+1.763+1.496</f>
        <v>6.016</v>
      </c>
      <c r="X90" s="149">
        <f t="shared" si="4"/>
        <v>9.3067519999999995</v>
      </c>
      <c r="Y90" s="149"/>
    </row>
    <row r="91" spans="1:25" ht="16">
      <c r="A91" s="149" t="s">
        <v>12</v>
      </c>
      <c r="B91" s="150" t="s">
        <v>179</v>
      </c>
      <c r="C91" s="149" t="s">
        <v>1744</v>
      </c>
      <c r="D91" s="149" t="str">
        <f t="shared" si="5"/>
        <v>COFFS</v>
      </c>
      <c r="E91" s="149" t="s">
        <v>2532</v>
      </c>
      <c r="F91" s="160">
        <v>-30.004933000000001</v>
      </c>
      <c r="G91" s="70">
        <v>153.09672599999999</v>
      </c>
      <c r="H91" s="70">
        <v>0</v>
      </c>
      <c r="I91" s="151">
        <v>42863</v>
      </c>
      <c r="J91" s="149" t="s">
        <v>36</v>
      </c>
      <c r="K91" s="149" t="s">
        <v>154</v>
      </c>
      <c r="L91" s="149" t="s">
        <v>1687</v>
      </c>
      <c r="M91" s="149" t="s">
        <v>2563</v>
      </c>
      <c r="N91" s="149" t="s">
        <v>2562</v>
      </c>
      <c r="O91" s="149" t="s">
        <v>2106</v>
      </c>
      <c r="P91" s="149" t="s">
        <v>2106</v>
      </c>
      <c r="Q91" s="149" t="s">
        <v>2107</v>
      </c>
      <c r="R91" s="149" t="s">
        <v>2713</v>
      </c>
      <c r="S91" s="149">
        <v>1.8E-3</v>
      </c>
      <c r="T91" s="149">
        <v>0</v>
      </c>
      <c r="U91" s="70">
        <f t="shared" si="3"/>
        <v>1.8E-3</v>
      </c>
      <c r="V91" s="149">
        <v>2.2189999999999999</v>
      </c>
      <c r="W91" s="149">
        <f>2.597+3.903</f>
        <v>6.5</v>
      </c>
      <c r="X91" s="149">
        <f t="shared" si="4"/>
        <v>14.423499999999999</v>
      </c>
      <c r="Y91" s="149"/>
    </row>
    <row r="92" spans="1:25" ht="16">
      <c r="A92" s="149" t="s">
        <v>12</v>
      </c>
      <c r="B92" s="150" t="s">
        <v>180</v>
      </c>
      <c r="C92" s="149" t="s">
        <v>1744</v>
      </c>
      <c r="D92" s="149" t="str">
        <f t="shared" si="5"/>
        <v>COFFS</v>
      </c>
      <c r="E92" s="149" t="s">
        <v>2542</v>
      </c>
      <c r="F92" s="160">
        <v>-30.009444999999999</v>
      </c>
      <c r="G92" s="70">
        <v>153.10040100000001</v>
      </c>
      <c r="H92" s="70">
        <v>0</v>
      </c>
      <c r="I92" s="151">
        <v>42863</v>
      </c>
      <c r="J92" s="149" t="s">
        <v>36</v>
      </c>
      <c r="K92" s="149" t="s">
        <v>154</v>
      </c>
      <c r="L92" s="149" t="s">
        <v>1687</v>
      </c>
      <c r="M92" s="149" t="s">
        <v>2563</v>
      </c>
      <c r="N92" s="149" t="s">
        <v>2562</v>
      </c>
      <c r="O92" s="149" t="s">
        <v>2103</v>
      </c>
      <c r="P92" s="149" t="s">
        <v>2103</v>
      </c>
      <c r="Q92" s="149" t="s">
        <v>2104</v>
      </c>
      <c r="R92" s="149" t="s">
        <v>2713</v>
      </c>
      <c r="S92" s="149">
        <v>1.4E-3</v>
      </c>
      <c r="T92" s="149">
        <v>0</v>
      </c>
      <c r="U92" s="70">
        <f t="shared" si="3"/>
        <v>1.4E-3</v>
      </c>
      <c r="V92" s="149">
        <v>1.772</v>
      </c>
      <c r="W92" s="149">
        <f>2.506+3.565</f>
        <v>6.0709999999999997</v>
      </c>
      <c r="X92" s="149">
        <f t="shared" si="4"/>
        <v>10.757811999999999</v>
      </c>
      <c r="Y92" s="149"/>
    </row>
    <row r="93" spans="1:25" ht="16">
      <c r="A93" s="149" t="s">
        <v>12</v>
      </c>
      <c r="B93" s="150" t="s">
        <v>181</v>
      </c>
      <c r="C93" s="149" t="s">
        <v>1744</v>
      </c>
      <c r="D93" s="149" t="str">
        <f t="shared" si="5"/>
        <v>COFFS</v>
      </c>
      <c r="E93" s="149" t="s">
        <v>2532</v>
      </c>
      <c r="F93" s="160">
        <v>-30.004933000000001</v>
      </c>
      <c r="G93" s="70">
        <v>153.09672599999999</v>
      </c>
      <c r="H93" s="70">
        <v>0</v>
      </c>
      <c r="I93" s="151">
        <v>42863</v>
      </c>
      <c r="J93" s="149" t="s">
        <v>36</v>
      </c>
      <c r="K93" s="149" t="s">
        <v>154</v>
      </c>
      <c r="L93" s="149" t="s">
        <v>1687</v>
      </c>
      <c r="M93" s="149" t="s">
        <v>2563</v>
      </c>
      <c r="N93" s="149" t="s">
        <v>2562</v>
      </c>
      <c r="O93" s="149" t="s">
        <v>2106</v>
      </c>
      <c r="P93" s="149" t="s">
        <v>2106</v>
      </c>
      <c r="Q93" s="149" t="s">
        <v>2107</v>
      </c>
      <c r="R93" s="149" t="s">
        <v>2713</v>
      </c>
      <c r="S93" s="149">
        <v>2.3E-3</v>
      </c>
      <c r="T93" s="149">
        <v>0</v>
      </c>
      <c r="U93" s="70">
        <f t="shared" si="3"/>
        <v>2.3E-3</v>
      </c>
      <c r="V93" s="149">
        <v>2.266</v>
      </c>
      <c r="W93" s="149">
        <f>2.53+3.701</f>
        <v>6.2309999999999999</v>
      </c>
      <c r="X93" s="149">
        <f t="shared" si="4"/>
        <v>14.119446</v>
      </c>
      <c r="Y93" s="149"/>
    </row>
    <row r="94" spans="1:25" ht="16">
      <c r="A94" s="149" t="s">
        <v>12</v>
      </c>
      <c r="B94" s="150" t="s">
        <v>182</v>
      </c>
      <c r="C94" s="149" t="s">
        <v>1744</v>
      </c>
      <c r="D94" s="149" t="str">
        <f t="shared" si="5"/>
        <v>COFFS</v>
      </c>
      <c r="E94" s="149" t="s">
        <v>2532</v>
      </c>
      <c r="F94" s="160">
        <v>-30.004933000000001</v>
      </c>
      <c r="G94" s="70">
        <v>153.09672599999999</v>
      </c>
      <c r="H94" s="70">
        <v>0</v>
      </c>
      <c r="I94" s="151">
        <v>42857</v>
      </c>
      <c r="J94" s="149" t="s">
        <v>36</v>
      </c>
      <c r="K94" s="149" t="s">
        <v>154</v>
      </c>
      <c r="L94" s="149" t="s">
        <v>1687</v>
      </c>
      <c r="M94" s="149" t="s">
        <v>2563</v>
      </c>
      <c r="N94" s="149" t="s">
        <v>2562</v>
      </c>
      <c r="O94" s="149" t="s">
        <v>2106</v>
      </c>
      <c r="P94" s="149" t="s">
        <v>2106</v>
      </c>
      <c r="Q94" s="149" t="s">
        <v>2107</v>
      </c>
      <c r="R94" s="149" t="s">
        <v>2713</v>
      </c>
      <c r="S94" s="149">
        <v>2.5999999999999999E-3</v>
      </c>
      <c r="T94" s="149">
        <v>0</v>
      </c>
      <c r="U94" s="70">
        <f t="shared" si="3"/>
        <v>2.5999999999999999E-3</v>
      </c>
      <c r="V94" s="149">
        <v>2.2589999999999999</v>
      </c>
      <c r="W94" s="149">
        <v>6.516</v>
      </c>
      <c r="X94" s="149">
        <f t="shared" si="4"/>
        <v>14.719643999999999</v>
      </c>
      <c r="Y94" s="149"/>
    </row>
    <row r="95" spans="1:25" ht="16">
      <c r="A95" s="149" t="s">
        <v>12</v>
      </c>
      <c r="B95" s="150" t="s">
        <v>183</v>
      </c>
      <c r="C95" s="149" t="s">
        <v>1744</v>
      </c>
      <c r="D95" s="149" t="str">
        <f t="shared" si="5"/>
        <v>COFFS</v>
      </c>
      <c r="E95" s="149" t="s">
        <v>2542</v>
      </c>
      <c r="F95" s="160">
        <v>-30.009444999999999</v>
      </c>
      <c r="G95" s="70">
        <v>153.10040100000001</v>
      </c>
      <c r="H95" s="70">
        <v>0</v>
      </c>
      <c r="I95" s="151">
        <v>42859</v>
      </c>
      <c r="J95" s="149" t="s">
        <v>36</v>
      </c>
      <c r="K95" s="149" t="s">
        <v>154</v>
      </c>
      <c r="L95" s="149" t="s">
        <v>2566</v>
      </c>
      <c r="M95" s="149" t="s">
        <v>2567</v>
      </c>
      <c r="N95" s="149" t="s">
        <v>2668</v>
      </c>
      <c r="O95" s="140" t="s">
        <v>2600</v>
      </c>
      <c r="P95" s="149" t="s">
        <v>2735</v>
      </c>
      <c r="Q95" s="149" t="s">
        <v>2697</v>
      </c>
      <c r="R95" s="149" t="s">
        <v>2713</v>
      </c>
      <c r="S95" s="149">
        <v>3.0000000000000001E-3</v>
      </c>
      <c r="T95" s="149">
        <v>0</v>
      </c>
      <c r="U95" s="70">
        <f t="shared" si="3"/>
        <v>3.0000000000000001E-3</v>
      </c>
      <c r="V95" s="149">
        <v>1.82</v>
      </c>
      <c r="W95" s="149">
        <f>4.081+3.894</f>
        <v>7.9750000000000005</v>
      </c>
      <c r="X95" s="149">
        <f t="shared" si="4"/>
        <v>14.514500000000002</v>
      </c>
      <c r="Y95" s="149"/>
    </row>
    <row r="96" spans="1:25" ht="16">
      <c r="A96" s="149" t="s">
        <v>12</v>
      </c>
      <c r="B96" s="150" t="s">
        <v>184</v>
      </c>
      <c r="C96" s="149" t="s">
        <v>1744</v>
      </c>
      <c r="D96" s="149" t="str">
        <f t="shared" si="5"/>
        <v>COFFS</v>
      </c>
      <c r="E96" s="149" t="s">
        <v>2542</v>
      </c>
      <c r="F96" s="160">
        <v>-30.009444999999999</v>
      </c>
      <c r="G96" s="70">
        <v>153.10040100000001</v>
      </c>
      <c r="H96" s="70">
        <v>0</v>
      </c>
      <c r="I96" s="151">
        <v>42857</v>
      </c>
      <c r="J96" s="149" t="s">
        <v>36</v>
      </c>
      <c r="K96" s="149" t="s">
        <v>154</v>
      </c>
      <c r="L96" s="149" t="s">
        <v>1687</v>
      </c>
      <c r="M96" s="149" t="s">
        <v>2563</v>
      </c>
      <c r="N96" s="149" t="s">
        <v>2562</v>
      </c>
      <c r="O96" s="149" t="s">
        <v>2106</v>
      </c>
      <c r="P96" s="149" t="s">
        <v>2106</v>
      </c>
      <c r="Q96" s="149" t="s">
        <v>2107</v>
      </c>
      <c r="R96" s="149" t="s">
        <v>2713</v>
      </c>
      <c r="S96" s="149">
        <v>2.3E-3</v>
      </c>
      <c r="T96" s="149">
        <v>0</v>
      </c>
      <c r="U96" s="70">
        <f t="shared" si="3"/>
        <v>2.3E-3</v>
      </c>
      <c r="V96" s="149">
        <v>2.153</v>
      </c>
      <c r="W96" s="149">
        <v>6.4829999999999997</v>
      </c>
      <c r="X96" s="149">
        <f t="shared" si="4"/>
        <v>13.957898999999999</v>
      </c>
      <c r="Y96" s="149"/>
    </row>
    <row r="97" spans="1:25" ht="16">
      <c r="A97" s="149" t="s">
        <v>12</v>
      </c>
      <c r="B97" s="150" t="s">
        <v>185</v>
      </c>
      <c r="C97" s="149" t="s">
        <v>1744</v>
      </c>
      <c r="D97" s="149" t="str">
        <f t="shared" si="5"/>
        <v>COFFS</v>
      </c>
      <c r="E97" s="149" t="s">
        <v>2542</v>
      </c>
      <c r="F97" s="160">
        <v>-30.009444999999999</v>
      </c>
      <c r="G97" s="70">
        <v>153.10040100000001</v>
      </c>
      <c r="H97" s="70">
        <v>0</v>
      </c>
      <c r="I97" s="151">
        <v>42858</v>
      </c>
      <c r="J97" s="149" t="s">
        <v>36</v>
      </c>
      <c r="K97" s="149" t="s">
        <v>154</v>
      </c>
      <c r="L97" s="149" t="s">
        <v>1687</v>
      </c>
      <c r="M97" s="149" t="s">
        <v>2563</v>
      </c>
      <c r="N97" s="149" t="s">
        <v>2562</v>
      </c>
      <c r="O97" s="149" t="s">
        <v>2103</v>
      </c>
      <c r="P97" s="149" t="s">
        <v>2103</v>
      </c>
      <c r="Q97" s="149" t="s">
        <v>2104</v>
      </c>
      <c r="R97" s="149" t="s">
        <v>2713</v>
      </c>
      <c r="S97" s="149">
        <v>1.6000000000000001E-3</v>
      </c>
      <c r="T97" s="149">
        <v>0</v>
      </c>
      <c r="U97" s="70">
        <f t="shared" si="3"/>
        <v>1.6000000000000001E-3</v>
      </c>
      <c r="V97" s="149">
        <v>2.0049999999999999</v>
      </c>
      <c r="W97" s="149">
        <v>6.5940000000000003</v>
      </c>
      <c r="X97" s="149">
        <f t="shared" si="4"/>
        <v>13.220969999999999</v>
      </c>
      <c r="Y97" s="149"/>
    </row>
    <row r="98" spans="1:25" ht="16">
      <c r="A98" s="149" t="s">
        <v>12</v>
      </c>
      <c r="B98" s="150" t="s">
        <v>186</v>
      </c>
      <c r="C98" s="149" t="s">
        <v>1744</v>
      </c>
      <c r="D98" s="149" t="str">
        <f t="shared" si="5"/>
        <v>COFFS</v>
      </c>
      <c r="E98" s="149" t="s">
        <v>2542</v>
      </c>
      <c r="F98" s="160">
        <v>-30.009444999999999</v>
      </c>
      <c r="G98" s="70">
        <v>153.10040100000001</v>
      </c>
      <c r="H98" s="70">
        <v>0</v>
      </c>
      <c r="I98" s="151">
        <v>42858</v>
      </c>
      <c r="J98" s="149" t="s">
        <v>36</v>
      </c>
      <c r="K98" s="149" t="s">
        <v>187</v>
      </c>
      <c r="L98" s="149" t="s">
        <v>2566</v>
      </c>
      <c r="M98" s="149" t="s">
        <v>2567</v>
      </c>
      <c r="N98" s="149" t="s">
        <v>2668</v>
      </c>
      <c r="O98" s="140" t="s">
        <v>2600</v>
      </c>
      <c r="P98" s="149" t="s">
        <v>2735</v>
      </c>
      <c r="Q98" s="149" t="s">
        <v>2683</v>
      </c>
      <c r="R98" s="149" t="s">
        <v>2713</v>
      </c>
      <c r="S98" s="149">
        <v>1.5E-3</v>
      </c>
      <c r="T98" s="149">
        <v>0</v>
      </c>
      <c r="U98" s="70">
        <f t="shared" si="3"/>
        <v>1.5E-3</v>
      </c>
      <c r="V98" s="149">
        <v>1.6659999999999999</v>
      </c>
      <c r="W98" s="149">
        <v>7.093</v>
      </c>
      <c r="X98" s="149">
        <f t="shared" si="4"/>
        <v>11.816937999999999</v>
      </c>
      <c r="Y98" s="149"/>
    </row>
    <row r="99" spans="1:25" ht="16">
      <c r="A99" s="149" t="s">
        <v>12</v>
      </c>
      <c r="B99" s="150" t="s">
        <v>188</v>
      </c>
      <c r="C99" s="149" t="s">
        <v>1744</v>
      </c>
      <c r="D99" s="149" t="str">
        <f t="shared" si="5"/>
        <v>COFFS</v>
      </c>
      <c r="E99" s="149" t="s">
        <v>2542</v>
      </c>
      <c r="F99" s="160">
        <v>-30.009444999999999</v>
      </c>
      <c r="G99" s="70">
        <v>153.10040100000001</v>
      </c>
      <c r="H99" s="70">
        <v>0</v>
      </c>
      <c r="I99" s="151">
        <v>42857</v>
      </c>
      <c r="J99" s="149" t="s">
        <v>36</v>
      </c>
      <c r="K99" s="149" t="s">
        <v>154</v>
      </c>
      <c r="L99" s="149" t="s">
        <v>1687</v>
      </c>
      <c r="M99" s="149" t="s">
        <v>2563</v>
      </c>
      <c r="N99" s="149" t="s">
        <v>2562</v>
      </c>
      <c r="O99" s="149" t="s">
        <v>2106</v>
      </c>
      <c r="P99" s="149" t="s">
        <v>2106</v>
      </c>
      <c r="Q99" s="149" t="s">
        <v>2107</v>
      </c>
      <c r="R99" s="149" t="s">
        <v>2713</v>
      </c>
      <c r="S99" s="149">
        <v>2.3E-3</v>
      </c>
      <c r="T99" s="149">
        <v>0</v>
      </c>
      <c r="U99" s="70">
        <f t="shared" si="3"/>
        <v>2.3E-3</v>
      </c>
      <c r="V99" s="149">
        <v>2.2490000000000001</v>
      </c>
      <c r="W99" s="149">
        <v>6.6280000000000001</v>
      </c>
      <c r="X99" s="149">
        <f t="shared" si="4"/>
        <v>14.906372000000001</v>
      </c>
      <c r="Y99" s="149"/>
    </row>
    <row r="100" spans="1:25" ht="16">
      <c r="A100" s="149" t="s">
        <v>12</v>
      </c>
      <c r="B100" s="150" t="s">
        <v>189</v>
      </c>
      <c r="C100" s="149" t="s">
        <v>1744</v>
      </c>
      <c r="D100" s="149" t="str">
        <f t="shared" si="5"/>
        <v>COFFS</v>
      </c>
      <c r="E100" s="149" t="s">
        <v>2532</v>
      </c>
      <c r="F100" s="160">
        <v>-30.004933000000001</v>
      </c>
      <c r="G100" s="70">
        <v>153.09672599999999</v>
      </c>
      <c r="H100" s="70">
        <v>0</v>
      </c>
      <c r="I100" s="151">
        <v>42863</v>
      </c>
      <c r="J100" s="149" t="s">
        <v>36</v>
      </c>
      <c r="K100" s="149" t="s">
        <v>154</v>
      </c>
      <c r="L100" s="149" t="s">
        <v>1687</v>
      </c>
      <c r="M100" s="149" t="s">
        <v>2563</v>
      </c>
      <c r="N100" s="149" t="s">
        <v>2562</v>
      </c>
      <c r="O100" s="149" t="s">
        <v>2103</v>
      </c>
      <c r="P100" s="149" t="s">
        <v>2103</v>
      </c>
      <c r="Q100" s="149" t="s">
        <v>2104</v>
      </c>
      <c r="R100" s="149" t="s">
        <v>2713</v>
      </c>
      <c r="S100" s="149">
        <v>1.4E-3</v>
      </c>
      <c r="T100" s="149">
        <v>0</v>
      </c>
      <c r="U100" s="70">
        <f t="shared" si="3"/>
        <v>1.4E-3</v>
      </c>
      <c r="V100" s="149">
        <v>1.7250000000000001</v>
      </c>
      <c r="W100" s="149">
        <f>3.243+2.774</f>
        <v>6.0169999999999995</v>
      </c>
      <c r="X100" s="149">
        <f t="shared" si="4"/>
        <v>10.379325</v>
      </c>
      <c r="Y100" s="149"/>
    </row>
    <row r="101" spans="1:25" ht="16">
      <c r="A101" s="149" t="s">
        <v>12</v>
      </c>
      <c r="B101" s="150" t="s">
        <v>190</v>
      </c>
      <c r="C101" s="149" t="s">
        <v>1744</v>
      </c>
      <c r="D101" s="149" t="str">
        <f t="shared" si="5"/>
        <v>COFFS</v>
      </c>
      <c r="E101" s="149" t="s">
        <v>2542</v>
      </c>
      <c r="F101" s="160">
        <v>-30.009444999999999</v>
      </c>
      <c r="G101" s="70">
        <v>153.10040100000001</v>
      </c>
      <c r="H101" s="70">
        <v>0</v>
      </c>
      <c r="I101" s="151">
        <v>42863</v>
      </c>
      <c r="J101" s="149" t="s">
        <v>36</v>
      </c>
      <c r="K101" s="149" t="s">
        <v>154</v>
      </c>
      <c r="L101" s="149" t="s">
        <v>1687</v>
      </c>
      <c r="M101" s="149" t="s">
        <v>2563</v>
      </c>
      <c r="N101" s="149" t="s">
        <v>2562</v>
      </c>
      <c r="O101" s="149" t="s">
        <v>2106</v>
      </c>
      <c r="P101" s="149" t="s">
        <v>2106</v>
      </c>
      <c r="Q101" s="149" t="s">
        <v>2107</v>
      </c>
      <c r="R101" s="149" t="s">
        <v>2713</v>
      </c>
      <c r="S101" s="149">
        <v>2.3E-3</v>
      </c>
      <c r="T101" s="149">
        <v>0</v>
      </c>
      <c r="U101" s="70">
        <f t="shared" si="3"/>
        <v>2.3E-3</v>
      </c>
      <c r="V101" s="149">
        <v>2.1709999999999998</v>
      </c>
      <c r="W101" s="149">
        <v>6.2789999999999999</v>
      </c>
      <c r="X101" s="149">
        <f t="shared" si="4"/>
        <v>13.631708999999999</v>
      </c>
      <c r="Y101" s="149"/>
    </row>
    <row r="102" spans="1:25" ht="16">
      <c r="A102" s="149" t="s">
        <v>12</v>
      </c>
      <c r="B102" s="150" t="s">
        <v>191</v>
      </c>
      <c r="C102" s="149" t="s">
        <v>1744</v>
      </c>
      <c r="D102" s="149" t="str">
        <f t="shared" si="5"/>
        <v>COFFS</v>
      </c>
      <c r="E102" s="149" t="s">
        <v>2542</v>
      </c>
      <c r="F102" s="160">
        <v>-30.009444999999999</v>
      </c>
      <c r="G102" s="70">
        <v>153.10040100000001</v>
      </c>
      <c r="H102" s="70">
        <v>0</v>
      </c>
      <c r="I102" s="151">
        <v>42863</v>
      </c>
      <c r="J102" s="149" t="s">
        <v>36</v>
      </c>
      <c r="K102" s="149" t="s">
        <v>187</v>
      </c>
      <c r="L102" s="149" t="s">
        <v>1687</v>
      </c>
      <c r="M102" s="149" t="s">
        <v>2563</v>
      </c>
      <c r="N102" s="149" t="s">
        <v>2562</v>
      </c>
      <c r="O102" s="149" t="s">
        <v>2106</v>
      </c>
      <c r="P102" s="149" t="s">
        <v>2106</v>
      </c>
      <c r="Q102" s="149" t="s">
        <v>2107</v>
      </c>
      <c r="R102" s="149" t="s">
        <v>2713</v>
      </c>
      <c r="S102" s="149">
        <v>2.0999999999999999E-3</v>
      </c>
      <c r="T102" s="149">
        <v>0</v>
      </c>
      <c r="U102" s="70">
        <f t="shared" si="3"/>
        <v>2.0999999999999999E-3</v>
      </c>
      <c r="V102" s="149">
        <v>1.9990000000000001</v>
      </c>
      <c r="W102" s="149">
        <f>2.53+3.406</f>
        <v>5.9359999999999999</v>
      </c>
      <c r="X102" s="149">
        <f t="shared" si="4"/>
        <v>11.866064</v>
      </c>
      <c r="Y102" s="149"/>
    </row>
    <row r="103" spans="1:25" ht="16">
      <c r="A103" s="149" t="s">
        <v>12</v>
      </c>
      <c r="B103" s="150" t="s">
        <v>195</v>
      </c>
      <c r="C103" s="149" t="s">
        <v>1744</v>
      </c>
      <c r="D103" s="149" t="str">
        <f t="shared" si="5"/>
        <v>COFFS</v>
      </c>
      <c r="E103" s="149" t="s">
        <v>2528</v>
      </c>
      <c r="F103" s="160">
        <v>-30.016062000000002</v>
      </c>
      <c r="G103" s="70">
        <v>153.12394800000001</v>
      </c>
      <c r="H103" s="70">
        <v>0</v>
      </c>
      <c r="I103" s="151">
        <v>42864</v>
      </c>
      <c r="J103" s="149" t="s">
        <v>36</v>
      </c>
      <c r="K103" s="149" t="s">
        <v>187</v>
      </c>
      <c r="L103" s="149" t="s">
        <v>2566</v>
      </c>
      <c r="M103" s="149" t="s">
        <v>2567</v>
      </c>
      <c r="N103" s="149" t="s">
        <v>2668</v>
      </c>
      <c r="O103" s="140" t="s">
        <v>2600</v>
      </c>
      <c r="P103" s="149" t="s">
        <v>2735</v>
      </c>
      <c r="Q103" s="149" t="s">
        <v>2384</v>
      </c>
      <c r="R103" s="149" t="s">
        <v>2713</v>
      </c>
      <c r="S103" s="149">
        <v>7.9899999999999999E-2</v>
      </c>
      <c r="T103" s="149">
        <v>6.7166000000000003E-2</v>
      </c>
      <c r="U103" s="70">
        <f t="shared" si="3"/>
        <v>1.2733999999999995E-2</v>
      </c>
      <c r="V103" s="149">
        <v>3.2069999999999999</v>
      </c>
      <c r="W103" s="149">
        <f>7.025+6.272</f>
        <v>13.297000000000001</v>
      </c>
      <c r="X103" s="149">
        <f t="shared" si="4"/>
        <v>42.643478999999999</v>
      </c>
      <c r="Y103" s="149"/>
    </row>
    <row r="104" spans="1:25" ht="16">
      <c r="A104" s="149" t="s">
        <v>12</v>
      </c>
      <c r="B104" s="150" t="s">
        <v>196</v>
      </c>
      <c r="C104" s="149" t="s">
        <v>1744</v>
      </c>
      <c r="D104" s="149" t="str">
        <f t="shared" si="5"/>
        <v>COFFS</v>
      </c>
      <c r="E104" s="149" t="s">
        <v>2522</v>
      </c>
      <c r="F104" s="160">
        <v>-29.943010999999998</v>
      </c>
      <c r="G104" s="70">
        <v>153.12657400000001</v>
      </c>
      <c r="H104" s="70">
        <v>0</v>
      </c>
      <c r="I104" s="151">
        <v>42863</v>
      </c>
      <c r="J104" s="149" t="s">
        <v>36</v>
      </c>
      <c r="K104" s="149" t="s">
        <v>154</v>
      </c>
      <c r="L104" s="149" t="s">
        <v>1687</v>
      </c>
      <c r="M104" s="149" t="s">
        <v>2564</v>
      </c>
      <c r="N104" s="149" t="s">
        <v>2565</v>
      </c>
      <c r="O104" s="149" t="s">
        <v>2095</v>
      </c>
      <c r="P104" s="149" t="s">
        <v>2095</v>
      </c>
      <c r="Q104" s="149" t="s">
        <v>2686</v>
      </c>
      <c r="R104" s="149" t="s">
        <v>2713</v>
      </c>
      <c r="S104" s="149">
        <v>7.4399999999999994E-2</v>
      </c>
      <c r="T104" s="149">
        <v>6.7166000000000003E-2</v>
      </c>
      <c r="U104" s="70">
        <f t="shared" si="3"/>
        <v>7.2339999999999904E-3</v>
      </c>
      <c r="V104" s="149">
        <v>2.915</v>
      </c>
      <c r="W104" s="149">
        <v>12.4</v>
      </c>
      <c r="X104" s="149">
        <f t="shared" si="4"/>
        <v>36.146000000000001</v>
      </c>
      <c r="Y104" s="149"/>
    </row>
    <row r="105" spans="1:25" ht="16">
      <c r="A105" s="149" t="s">
        <v>12</v>
      </c>
      <c r="B105" s="150" t="s">
        <v>200</v>
      </c>
      <c r="C105" s="149" t="s">
        <v>1744</v>
      </c>
      <c r="D105" s="149" t="str">
        <f t="shared" si="5"/>
        <v>COFFS</v>
      </c>
      <c r="E105" s="149" t="s">
        <v>2524</v>
      </c>
      <c r="F105" s="160">
        <v>-30.002158999999999</v>
      </c>
      <c r="G105" s="70">
        <v>153.14892399999999</v>
      </c>
      <c r="H105" s="70">
        <v>0</v>
      </c>
      <c r="I105" s="151">
        <v>42864</v>
      </c>
      <c r="J105" s="149" t="s">
        <v>2786</v>
      </c>
      <c r="K105" s="149" t="s">
        <v>199</v>
      </c>
      <c r="L105" s="149" t="s">
        <v>1687</v>
      </c>
      <c r="M105" s="149" t="s">
        <v>2563</v>
      </c>
      <c r="N105" s="149" t="s">
        <v>2562</v>
      </c>
      <c r="O105" s="149" t="s">
        <v>2103</v>
      </c>
      <c r="P105" s="149" t="s">
        <v>2103</v>
      </c>
      <c r="Q105" s="149" t="s">
        <v>2104</v>
      </c>
      <c r="R105" s="149" t="s">
        <v>2713</v>
      </c>
      <c r="S105" s="149">
        <v>6.9699999999999998E-2</v>
      </c>
      <c r="T105" s="149">
        <v>6.7166000000000003E-2</v>
      </c>
      <c r="U105" s="70">
        <f t="shared" si="3"/>
        <v>2.5339999999999946E-3</v>
      </c>
      <c r="V105" s="149">
        <v>1.972</v>
      </c>
      <c r="W105" s="149">
        <v>6.391</v>
      </c>
      <c r="X105" s="149">
        <f t="shared" si="4"/>
        <v>12.603052</v>
      </c>
      <c r="Y105" s="149"/>
    </row>
    <row r="106" spans="1:25" ht="16">
      <c r="A106" s="149" t="s">
        <v>12</v>
      </c>
      <c r="B106" s="150" t="s">
        <v>201</v>
      </c>
      <c r="C106" s="149" t="s">
        <v>1744</v>
      </c>
      <c r="D106" s="149" t="str">
        <f t="shared" si="5"/>
        <v>COFFS</v>
      </c>
      <c r="E106" s="149" t="s">
        <v>2524</v>
      </c>
      <c r="F106" s="160">
        <v>-30.002158999999999</v>
      </c>
      <c r="G106" s="70">
        <v>153.14892399999999</v>
      </c>
      <c r="H106" s="70">
        <v>0</v>
      </c>
      <c r="I106" s="151">
        <v>42864</v>
      </c>
      <c r="J106" s="149" t="s">
        <v>2786</v>
      </c>
      <c r="K106" s="149" t="s">
        <v>199</v>
      </c>
      <c r="L106" s="149" t="s">
        <v>1687</v>
      </c>
      <c r="M106" s="149" t="s">
        <v>2563</v>
      </c>
      <c r="N106" s="149" t="s">
        <v>2562</v>
      </c>
      <c r="O106" s="149" t="s">
        <v>2103</v>
      </c>
      <c r="P106" s="149" t="s">
        <v>2103</v>
      </c>
      <c r="Q106" s="149" t="s">
        <v>2104</v>
      </c>
      <c r="R106" s="149" t="s">
        <v>2713</v>
      </c>
      <c r="S106" s="149">
        <v>6.9099999999999995E-2</v>
      </c>
      <c r="T106" s="149">
        <v>6.7166000000000003E-2</v>
      </c>
      <c r="U106" s="70">
        <f t="shared" si="3"/>
        <v>1.9339999999999913E-3</v>
      </c>
      <c r="V106" s="149">
        <v>1.97</v>
      </c>
      <c r="W106" s="149">
        <v>6.2370000000000001</v>
      </c>
      <c r="X106" s="149">
        <f t="shared" si="4"/>
        <v>12.28689</v>
      </c>
      <c r="Y106" s="149"/>
    </row>
    <row r="107" spans="1:25" ht="16">
      <c r="A107" s="149" t="s">
        <v>12</v>
      </c>
      <c r="B107" s="150" t="s">
        <v>203</v>
      </c>
      <c r="C107" s="149" t="s">
        <v>1744</v>
      </c>
      <c r="D107" s="149" t="str">
        <f t="shared" si="5"/>
        <v>COFFS</v>
      </c>
      <c r="E107" s="149" t="s">
        <v>2543</v>
      </c>
      <c r="F107" s="70">
        <v>-29.997240000000001</v>
      </c>
      <c r="G107" s="70">
        <v>153.14993100000001</v>
      </c>
      <c r="H107" s="70">
        <v>0</v>
      </c>
      <c r="I107" s="151">
        <v>42864</v>
      </c>
      <c r="J107" s="149" t="s">
        <v>2785</v>
      </c>
      <c r="K107" s="149" t="s">
        <v>199</v>
      </c>
      <c r="L107" s="149" t="s">
        <v>1687</v>
      </c>
      <c r="M107" s="149" t="s">
        <v>2564</v>
      </c>
      <c r="N107" s="149" t="s">
        <v>2565</v>
      </c>
      <c r="O107" s="149" t="s">
        <v>2733</v>
      </c>
      <c r="P107" s="149" t="s">
        <v>2733</v>
      </c>
      <c r="Q107" s="149" t="s">
        <v>2381</v>
      </c>
      <c r="R107" s="149" t="s">
        <v>2713</v>
      </c>
      <c r="S107" s="149">
        <v>7.0099999999999996E-2</v>
      </c>
      <c r="T107" s="149">
        <v>6.7166000000000003E-2</v>
      </c>
      <c r="U107" s="70">
        <f t="shared" si="3"/>
        <v>2.9339999999999922E-3</v>
      </c>
      <c r="V107" s="149">
        <v>2.3439999999999999</v>
      </c>
      <c r="W107" s="149">
        <f>6.129+5.178</f>
        <v>11.306999999999999</v>
      </c>
      <c r="X107" s="149">
        <f t="shared" si="4"/>
        <v>26.503607999999996</v>
      </c>
      <c r="Y107" s="149"/>
    </row>
    <row r="108" spans="1:25" ht="16">
      <c r="A108" s="149" t="s">
        <v>12</v>
      </c>
      <c r="B108" s="150" t="s">
        <v>204</v>
      </c>
      <c r="C108" s="149" t="s">
        <v>1744</v>
      </c>
      <c r="D108" s="149" t="str">
        <f t="shared" si="5"/>
        <v>COFFS</v>
      </c>
      <c r="E108" s="149" t="s">
        <v>2521</v>
      </c>
      <c r="F108" s="70">
        <v>-29.997240000000001</v>
      </c>
      <c r="G108" s="70">
        <v>153.14993100000001</v>
      </c>
      <c r="H108" s="70">
        <v>0</v>
      </c>
      <c r="I108" s="151">
        <v>42860</v>
      </c>
      <c r="J108" s="149" t="s">
        <v>2785</v>
      </c>
      <c r="K108" s="149" t="s">
        <v>199</v>
      </c>
      <c r="L108" s="149" t="s">
        <v>1687</v>
      </c>
      <c r="M108" s="149" t="s">
        <v>2564</v>
      </c>
      <c r="N108" s="149" t="s">
        <v>2565</v>
      </c>
      <c r="O108" s="149" t="s">
        <v>2733</v>
      </c>
      <c r="P108" s="149" t="s">
        <v>2733</v>
      </c>
      <c r="Q108" s="149" t="s">
        <v>2381</v>
      </c>
      <c r="R108" s="149" t="s">
        <v>2713</v>
      </c>
      <c r="S108" s="149">
        <v>7.17E-2</v>
      </c>
      <c r="T108" s="149">
        <v>6.7166000000000003E-2</v>
      </c>
      <c r="U108" s="70">
        <f t="shared" si="3"/>
        <v>4.5339999999999964E-3</v>
      </c>
      <c r="V108" s="149">
        <v>2.198</v>
      </c>
      <c r="W108" s="149">
        <f>6.164+4.531</f>
        <v>10.695</v>
      </c>
      <c r="X108" s="149">
        <f t="shared" si="4"/>
        <v>23.50761</v>
      </c>
      <c r="Y108" s="149"/>
    </row>
    <row r="109" spans="1:25" ht="16">
      <c r="A109" s="149" t="s">
        <v>12</v>
      </c>
      <c r="B109" s="150" t="s">
        <v>206</v>
      </c>
      <c r="C109" s="149" t="s">
        <v>1744</v>
      </c>
      <c r="D109" s="149" t="str">
        <f t="shared" si="5"/>
        <v>COFFS</v>
      </c>
      <c r="E109" s="149" t="s">
        <v>2542</v>
      </c>
      <c r="F109" s="160">
        <v>-30.009444999999999</v>
      </c>
      <c r="G109" s="70">
        <v>153.10040100000001</v>
      </c>
      <c r="H109" s="70">
        <v>0</v>
      </c>
      <c r="I109" s="151">
        <v>42863</v>
      </c>
      <c r="J109" s="149" t="s">
        <v>36</v>
      </c>
      <c r="K109" s="149" t="s">
        <v>154</v>
      </c>
      <c r="L109" s="149" t="s">
        <v>1687</v>
      </c>
      <c r="M109" s="149" t="s">
        <v>2563</v>
      </c>
      <c r="N109" s="149" t="s">
        <v>2568</v>
      </c>
      <c r="O109" s="149" t="s">
        <v>2734</v>
      </c>
      <c r="P109" s="149" t="s">
        <v>2736</v>
      </c>
      <c r="Q109" s="149" t="s">
        <v>2390</v>
      </c>
      <c r="R109" s="149" t="s">
        <v>2713</v>
      </c>
      <c r="S109" s="149">
        <v>0.11260000000000001</v>
      </c>
      <c r="T109" s="149">
        <v>6.7166000000000003E-2</v>
      </c>
      <c r="U109" s="70">
        <f t="shared" si="3"/>
        <v>4.5434000000000002E-2</v>
      </c>
      <c r="V109" s="149">
        <v>5.9880000000000004</v>
      </c>
      <c r="W109" s="149">
        <f>10.44+9.235</f>
        <v>19.674999999999997</v>
      </c>
      <c r="X109" s="149">
        <f t="shared" si="4"/>
        <v>117.81389999999999</v>
      </c>
      <c r="Y109" s="149"/>
    </row>
    <row r="110" spans="1:25" ht="16">
      <c r="A110" s="149" t="s">
        <v>12</v>
      </c>
      <c r="B110" s="150" t="s">
        <v>207</v>
      </c>
      <c r="C110" s="149" t="s">
        <v>1744</v>
      </c>
      <c r="D110" s="149" t="str">
        <f t="shared" si="5"/>
        <v>COFFS</v>
      </c>
      <c r="E110" s="149" t="s">
        <v>2522</v>
      </c>
      <c r="F110" s="160">
        <v>-29.943010999999998</v>
      </c>
      <c r="G110" s="70">
        <v>153.12657400000001</v>
      </c>
      <c r="H110" s="70">
        <v>0</v>
      </c>
      <c r="I110" s="151">
        <v>42860</v>
      </c>
      <c r="J110" s="149" t="s">
        <v>36</v>
      </c>
      <c r="K110" s="149" t="s">
        <v>154</v>
      </c>
      <c r="L110" s="149" t="s">
        <v>1687</v>
      </c>
      <c r="M110" s="149" t="s">
        <v>2563</v>
      </c>
      <c r="N110" s="149" t="s">
        <v>2568</v>
      </c>
      <c r="O110" s="149" t="s">
        <v>2734</v>
      </c>
      <c r="P110" s="149" t="s">
        <v>2736</v>
      </c>
      <c r="Q110" s="149" t="s">
        <v>2391</v>
      </c>
      <c r="R110" s="149" t="s">
        <v>2713</v>
      </c>
      <c r="S110" s="149">
        <v>0.12470000000000001</v>
      </c>
      <c r="T110" s="149">
        <v>6.7166000000000003E-2</v>
      </c>
      <c r="U110" s="70">
        <f t="shared" si="3"/>
        <v>5.7534000000000002E-2</v>
      </c>
      <c r="V110" s="149">
        <v>5.4260000000000002</v>
      </c>
      <c r="W110" s="149">
        <f>8.713+11.376</f>
        <v>20.088999999999999</v>
      </c>
      <c r="X110" s="149">
        <f t="shared" si="4"/>
        <v>109.00291399999999</v>
      </c>
      <c r="Y110" s="149"/>
    </row>
    <row r="111" spans="1:25" ht="16">
      <c r="A111" s="149" t="s">
        <v>12</v>
      </c>
      <c r="B111" s="150" t="s">
        <v>208</v>
      </c>
      <c r="C111" s="149" t="s">
        <v>1744</v>
      </c>
      <c r="D111" s="149" t="str">
        <f t="shared" si="5"/>
        <v>COFFS</v>
      </c>
      <c r="E111" s="149" t="s">
        <v>2522</v>
      </c>
      <c r="F111" s="160">
        <v>-29.943010999999998</v>
      </c>
      <c r="G111" s="70">
        <v>153.12657400000001</v>
      </c>
      <c r="H111" s="70">
        <v>0</v>
      </c>
      <c r="I111" s="151">
        <v>42859</v>
      </c>
      <c r="J111" s="149" t="s">
        <v>36</v>
      </c>
      <c r="K111" s="149" t="s">
        <v>154</v>
      </c>
      <c r="L111" s="149" t="s">
        <v>1687</v>
      </c>
      <c r="M111" s="149" t="s">
        <v>2563</v>
      </c>
      <c r="N111" s="149" t="s">
        <v>2568</v>
      </c>
      <c r="O111" s="149" t="s">
        <v>2734</v>
      </c>
      <c r="P111" s="149" t="s">
        <v>2736</v>
      </c>
      <c r="Q111" s="149" t="s">
        <v>2390</v>
      </c>
      <c r="R111" s="149" t="s">
        <v>2713</v>
      </c>
      <c r="S111" s="149">
        <v>0.1323</v>
      </c>
      <c r="T111" s="149">
        <v>6.7166000000000003E-2</v>
      </c>
      <c r="U111" s="70">
        <f t="shared" si="3"/>
        <v>6.5133999999999997E-2</v>
      </c>
      <c r="V111" s="149">
        <v>6.2629999999999999</v>
      </c>
      <c r="W111" s="149">
        <f>12.352+10.098</f>
        <v>22.450000000000003</v>
      </c>
      <c r="X111" s="149">
        <f t="shared" si="4"/>
        <v>140.60435000000001</v>
      </c>
      <c r="Y111" s="149"/>
    </row>
    <row r="112" spans="1:25" ht="16">
      <c r="A112" s="149" t="s">
        <v>12</v>
      </c>
      <c r="B112" s="150" t="s">
        <v>209</v>
      </c>
      <c r="C112" s="149" t="s">
        <v>1744</v>
      </c>
      <c r="D112" s="149" t="str">
        <f t="shared" si="5"/>
        <v>COFFS</v>
      </c>
      <c r="E112" s="149" t="s">
        <v>2524</v>
      </c>
      <c r="F112" s="160">
        <v>-30.002158999999999</v>
      </c>
      <c r="G112" s="70">
        <v>153.14892399999999</v>
      </c>
      <c r="H112" s="70">
        <v>0</v>
      </c>
      <c r="I112" s="151">
        <v>42864</v>
      </c>
      <c r="J112" s="149" t="s">
        <v>2786</v>
      </c>
      <c r="K112" s="149" t="s">
        <v>199</v>
      </c>
      <c r="L112" s="149" t="s">
        <v>1687</v>
      </c>
      <c r="M112" s="149" t="s">
        <v>2563</v>
      </c>
      <c r="N112" s="149" t="s">
        <v>2562</v>
      </c>
      <c r="O112" s="149" t="s">
        <v>2106</v>
      </c>
      <c r="P112" s="149" t="s">
        <v>2106</v>
      </c>
      <c r="Q112" s="149" t="s">
        <v>2107</v>
      </c>
      <c r="R112" s="149" t="s">
        <v>2713</v>
      </c>
      <c r="S112" s="149">
        <v>6.9599999999999995E-2</v>
      </c>
      <c r="T112" s="149">
        <v>6.7166000000000003E-2</v>
      </c>
      <c r="U112" s="70">
        <f t="shared" si="3"/>
        <v>2.4339999999999917E-3</v>
      </c>
      <c r="V112" s="149">
        <v>2.5329999999999999</v>
      </c>
      <c r="W112" s="149">
        <f>4.091+2.629</f>
        <v>6.7200000000000006</v>
      </c>
      <c r="X112" s="149">
        <f t="shared" si="4"/>
        <v>17.02176</v>
      </c>
      <c r="Y112" s="149"/>
    </row>
    <row r="113" spans="1:25" ht="16">
      <c r="A113" s="149" t="s">
        <v>12</v>
      </c>
      <c r="B113" s="150" t="s">
        <v>210</v>
      </c>
      <c r="C113" s="149" t="s">
        <v>1744</v>
      </c>
      <c r="D113" s="149" t="str">
        <f t="shared" si="5"/>
        <v>COFFS</v>
      </c>
      <c r="E113" s="149" t="s">
        <v>2522</v>
      </c>
      <c r="F113" s="160">
        <v>-29.943010999999998</v>
      </c>
      <c r="G113" s="70">
        <v>153.12657400000001</v>
      </c>
      <c r="H113" s="70">
        <v>0</v>
      </c>
      <c r="I113" s="151">
        <v>42863</v>
      </c>
      <c r="J113" s="149" t="s">
        <v>36</v>
      </c>
      <c r="K113" s="149" t="s">
        <v>154</v>
      </c>
      <c r="L113" s="149" t="s">
        <v>1687</v>
      </c>
      <c r="M113" s="149" t="s">
        <v>2563</v>
      </c>
      <c r="N113" s="149" t="s">
        <v>2568</v>
      </c>
      <c r="O113" s="149" t="s">
        <v>2734</v>
      </c>
      <c r="P113" s="149" t="s">
        <v>2736</v>
      </c>
      <c r="Q113" s="149" t="s">
        <v>2390</v>
      </c>
      <c r="R113" s="149" t="s">
        <v>2712</v>
      </c>
      <c r="S113" s="149">
        <v>9.1300000000000006E-2</v>
      </c>
      <c r="T113" s="149">
        <v>6.7166000000000003E-2</v>
      </c>
      <c r="U113" s="70">
        <f t="shared" si="3"/>
        <v>2.4134000000000003E-2</v>
      </c>
      <c r="V113" s="149">
        <v>4.9020000000000001</v>
      </c>
      <c r="W113" s="149">
        <f>6.763+7.716</f>
        <v>14.478999999999999</v>
      </c>
      <c r="X113" s="149">
        <f t="shared" si="4"/>
        <v>70.976057999999995</v>
      </c>
      <c r="Y113" s="149"/>
    </row>
    <row r="114" spans="1:25" ht="16">
      <c r="A114" s="149" t="s">
        <v>12</v>
      </c>
      <c r="B114" s="150" t="s">
        <v>211</v>
      </c>
      <c r="C114" s="149" t="s">
        <v>1744</v>
      </c>
      <c r="D114" s="149" t="str">
        <f t="shared" si="5"/>
        <v>COFFS</v>
      </c>
      <c r="E114" s="149" t="s">
        <v>2522</v>
      </c>
      <c r="F114" s="160">
        <v>-29.943010999999998</v>
      </c>
      <c r="G114" s="70">
        <v>153.12657400000001</v>
      </c>
      <c r="H114" s="70">
        <v>0</v>
      </c>
      <c r="I114" s="151">
        <v>42859</v>
      </c>
      <c r="J114" s="149" t="s">
        <v>36</v>
      </c>
      <c r="K114" s="149" t="s">
        <v>154</v>
      </c>
      <c r="L114" s="149" t="s">
        <v>1687</v>
      </c>
      <c r="M114" s="149" t="s">
        <v>2563</v>
      </c>
      <c r="N114" s="149" t="s">
        <v>2568</v>
      </c>
      <c r="O114" s="149" t="s">
        <v>2734</v>
      </c>
      <c r="P114" s="149" t="s">
        <v>2736</v>
      </c>
      <c r="Q114" s="149" t="s">
        <v>2390</v>
      </c>
      <c r="R114" s="149" t="s">
        <v>2713</v>
      </c>
      <c r="S114" s="149">
        <v>0.1192</v>
      </c>
      <c r="T114" s="149">
        <v>6.7166000000000003E-2</v>
      </c>
      <c r="U114" s="70">
        <f t="shared" si="3"/>
        <v>5.2033999999999997E-2</v>
      </c>
      <c r="V114" s="149">
        <v>6.2069999999999999</v>
      </c>
      <c r="W114" s="149">
        <f>11.47+9.067</f>
        <v>20.536999999999999</v>
      </c>
      <c r="X114" s="149">
        <f t="shared" si="4"/>
        <v>127.473159</v>
      </c>
      <c r="Y114" s="149"/>
    </row>
    <row r="115" spans="1:25" ht="16">
      <c r="A115" s="149" t="s">
        <v>12</v>
      </c>
      <c r="B115" s="150" t="s">
        <v>212</v>
      </c>
      <c r="C115" s="149" t="s">
        <v>1744</v>
      </c>
      <c r="D115" s="149" t="str">
        <f t="shared" si="5"/>
        <v>COFFS</v>
      </c>
      <c r="E115" s="149" t="s">
        <v>2532</v>
      </c>
      <c r="F115" s="160">
        <v>-30.004933000000001</v>
      </c>
      <c r="G115" s="70">
        <v>153.09672599999999</v>
      </c>
      <c r="H115" s="70">
        <v>0</v>
      </c>
      <c r="I115" s="151">
        <v>42863</v>
      </c>
      <c r="J115" s="149" t="s">
        <v>36</v>
      </c>
      <c r="K115" s="149" t="s">
        <v>187</v>
      </c>
      <c r="L115" s="149" t="s">
        <v>1687</v>
      </c>
      <c r="M115" s="149" t="s">
        <v>2563</v>
      </c>
      <c r="N115" s="149" t="s">
        <v>2568</v>
      </c>
      <c r="O115" s="149" t="s">
        <v>2734</v>
      </c>
      <c r="P115" s="149" t="s">
        <v>2736</v>
      </c>
      <c r="Q115" s="149" t="s">
        <v>2391</v>
      </c>
      <c r="R115" s="149" t="s">
        <v>2713</v>
      </c>
      <c r="S115" s="149">
        <v>0.1077</v>
      </c>
      <c r="T115" s="149">
        <v>6.7166000000000003E-2</v>
      </c>
      <c r="U115" s="70">
        <f t="shared" si="3"/>
        <v>4.0534000000000001E-2</v>
      </c>
      <c r="V115" s="149">
        <v>5.4459999999999997</v>
      </c>
      <c r="W115" s="149">
        <f>8.692+10.479</f>
        <v>19.170999999999999</v>
      </c>
      <c r="X115" s="149">
        <f t="shared" si="4"/>
        <v>104.405266</v>
      </c>
      <c r="Y115" s="149"/>
    </row>
    <row r="116" spans="1:25" ht="16">
      <c r="A116" s="149" t="s">
        <v>12</v>
      </c>
      <c r="B116" s="150" t="s">
        <v>213</v>
      </c>
      <c r="C116" s="149" t="s">
        <v>1744</v>
      </c>
      <c r="D116" s="149" t="str">
        <f t="shared" si="5"/>
        <v>COFFS</v>
      </c>
      <c r="E116" s="149" t="s">
        <v>2524</v>
      </c>
      <c r="F116" s="160">
        <v>-30.002158999999999</v>
      </c>
      <c r="G116" s="70">
        <v>153.14892399999999</v>
      </c>
      <c r="H116" s="70">
        <v>0</v>
      </c>
      <c r="I116" s="151">
        <v>42864</v>
      </c>
      <c r="J116" s="149" t="s">
        <v>2786</v>
      </c>
      <c r="K116" s="149" t="s">
        <v>199</v>
      </c>
      <c r="L116" s="149" t="s">
        <v>1687</v>
      </c>
      <c r="M116" s="149" t="s">
        <v>2563</v>
      </c>
      <c r="N116" s="149" t="s">
        <v>2562</v>
      </c>
      <c r="O116" s="149" t="s">
        <v>2106</v>
      </c>
      <c r="P116" s="149" t="s">
        <v>2106</v>
      </c>
      <c r="Q116" s="149" t="s">
        <v>2107</v>
      </c>
      <c r="R116" s="149" t="s">
        <v>2713</v>
      </c>
      <c r="S116" s="149">
        <v>6.9500000000000006E-2</v>
      </c>
      <c r="T116" s="149">
        <v>6.7166000000000003E-2</v>
      </c>
      <c r="U116" s="70">
        <f t="shared" si="3"/>
        <v>2.3340000000000027E-3</v>
      </c>
      <c r="V116" s="149">
        <v>2.3959999999999999</v>
      </c>
      <c r="W116" s="149">
        <f>2.448+4.745</f>
        <v>7.1929999999999996</v>
      </c>
      <c r="X116" s="149">
        <f t="shared" si="4"/>
        <v>17.234427999999998</v>
      </c>
      <c r="Y116" s="149"/>
    </row>
    <row r="117" spans="1:25" ht="16">
      <c r="A117" s="149" t="s">
        <v>12</v>
      </c>
      <c r="B117" s="150" t="s">
        <v>214</v>
      </c>
      <c r="C117" s="149" t="s">
        <v>1744</v>
      </c>
      <c r="D117" s="149" t="str">
        <f t="shared" si="5"/>
        <v>COFFS</v>
      </c>
      <c r="E117" s="149" t="s">
        <v>2522</v>
      </c>
      <c r="F117" s="160">
        <v>-29.943010999999998</v>
      </c>
      <c r="G117" s="70">
        <v>153.12657400000001</v>
      </c>
      <c r="H117" s="70">
        <v>0</v>
      </c>
      <c r="I117" s="151">
        <v>42863</v>
      </c>
      <c r="J117" s="149" t="s">
        <v>36</v>
      </c>
      <c r="K117" s="149" t="s">
        <v>154</v>
      </c>
      <c r="L117" s="149" t="s">
        <v>1687</v>
      </c>
      <c r="M117" s="149" t="s">
        <v>2563</v>
      </c>
      <c r="N117" s="149" t="s">
        <v>2568</v>
      </c>
      <c r="O117" s="149" t="s">
        <v>2734</v>
      </c>
      <c r="P117" s="149" t="s">
        <v>2736</v>
      </c>
      <c r="Q117" s="149" t="s">
        <v>2390</v>
      </c>
      <c r="R117" s="149" t="s">
        <v>2712</v>
      </c>
      <c r="S117" s="149">
        <v>9.6000000000000002E-2</v>
      </c>
      <c r="T117" s="149">
        <v>6.7166000000000003E-2</v>
      </c>
      <c r="U117" s="70">
        <f t="shared" si="3"/>
        <v>2.8833999999999999E-2</v>
      </c>
      <c r="V117" s="149">
        <v>5.2779999999999996</v>
      </c>
      <c r="W117" s="149">
        <f>8.076+7.93</f>
        <v>16.006</v>
      </c>
      <c r="X117" s="149">
        <f t="shared" si="4"/>
        <v>84.47966799999999</v>
      </c>
      <c r="Y117" s="149"/>
    </row>
    <row r="118" spans="1:25" ht="16">
      <c r="A118" s="149" t="s">
        <v>12</v>
      </c>
      <c r="B118" s="150" t="s">
        <v>215</v>
      </c>
      <c r="C118" s="149" t="s">
        <v>1744</v>
      </c>
      <c r="D118" s="149" t="str">
        <f t="shared" si="5"/>
        <v>COFFS</v>
      </c>
      <c r="E118" s="149" t="s">
        <v>2522</v>
      </c>
      <c r="F118" s="160">
        <v>-29.943010999999998</v>
      </c>
      <c r="G118" s="70">
        <v>153.12657400000001</v>
      </c>
      <c r="H118" s="70">
        <v>0</v>
      </c>
      <c r="I118" s="151">
        <v>42863</v>
      </c>
      <c r="J118" s="149" t="s">
        <v>36</v>
      </c>
      <c r="K118" s="149" t="s">
        <v>154</v>
      </c>
      <c r="L118" s="149" t="s">
        <v>1687</v>
      </c>
      <c r="M118" s="149" t="s">
        <v>2563</v>
      </c>
      <c r="N118" s="149" t="s">
        <v>2568</v>
      </c>
      <c r="O118" s="149" t="s">
        <v>2734</v>
      </c>
      <c r="P118" s="149" t="s">
        <v>2736</v>
      </c>
      <c r="Q118" s="149" t="s">
        <v>2390</v>
      </c>
      <c r="R118" s="149" t="s">
        <v>2713</v>
      </c>
      <c r="S118" s="149">
        <v>0.1046</v>
      </c>
      <c r="T118" s="149">
        <v>6.7166000000000003E-2</v>
      </c>
      <c r="U118" s="70">
        <f t="shared" si="3"/>
        <v>3.7433999999999995E-2</v>
      </c>
      <c r="V118" s="149">
        <f>5.823</f>
        <v>5.8230000000000004</v>
      </c>
      <c r="W118" s="149">
        <f>11.779+8.611</f>
        <v>20.39</v>
      </c>
      <c r="X118" s="149">
        <f t="shared" si="4"/>
        <v>118.73097000000001</v>
      </c>
      <c r="Y118" s="149"/>
    </row>
    <row r="119" spans="1:25" ht="16">
      <c r="A119" s="149" t="s">
        <v>12</v>
      </c>
      <c r="B119" s="150" t="s">
        <v>216</v>
      </c>
      <c r="C119" s="149" t="s">
        <v>1744</v>
      </c>
      <c r="D119" s="149" t="str">
        <f t="shared" si="5"/>
        <v>COFFS</v>
      </c>
      <c r="E119" s="149" t="s">
        <v>2524</v>
      </c>
      <c r="F119" s="160">
        <v>-30.002158999999999</v>
      </c>
      <c r="G119" s="70">
        <v>153.14892399999999</v>
      </c>
      <c r="H119" s="70">
        <v>0</v>
      </c>
      <c r="I119" s="151">
        <v>42864</v>
      </c>
      <c r="J119" s="149" t="s">
        <v>2786</v>
      </c>
      <c r="K119" s="149" t="s">
        <v>177</v>
      </c>
      <c r="L119" s="149" t="s">
        <v>1687</v>
      </c>
      <c r="M119" s="149" t="s">
        <v>2563</v>
      </c>
      <c r="N119" s="149" t="s">
        <v>2562</v>
      </c>
      <c r="O119" s="149" t="s">
        <v>2103</v>
      </c>
      <c r="P119" s="149" t="s">
        <v>2103</v>
      </c>
      <c r="Q119" s="149" t="s">
        <v>2104</v>
      </c>
      <c r="R119" s="149" t="s">
        <v>2713</v>
      </c>
      <c r="S119" s="149">
        <v>6.9800000000000001E-2</v>
      </c>
      <c r="T119" s="149">
        <v>6.7166000000000003E-2</v>
      </c>
      <c r="U119" s="70">
        <f t="shared" si="3"/>
        <v>2.6339999999999975E-3</v>
      </c>
      <c r="V119" s="149">
        <v>1.776</v>
      </c>
      <c r="W119" s="149">
        <f>3.285+2.671</f>
        <v>5.9559999999999995</v>
      </c>
      <c r="X119" s="149">
        <f t="shared" si="4"/>
        <v>10.577855999999999</v>
      </c>
      <c r="Y119" s="149"/>
    </row>
    <row r="120" spans="1:25" ht="16">
      <c r="A120" s="149" t="s">
        <v>12</v>
      </c>
      <c r="B120" s="150" t="s">
        <v>218</v>
      </c>
      <c r="C120" s="149" t="s">
        <v>1744</v>
      </c>
      <c r="D120" s="149" t="str">
        <f t="shared" si="5"/>
        <v>COFFS</v>
      </c>
      <c r="E120" s="149" t="s">
        <v>2522</v>
      </c>
      <c r="F120" s="160">
        <v>-29.943010999999998</v>
      </c>
      <c r="G120" s="70">
        <v>153.12657400000001</v>
      </c>
      <c r="H120" s="70">
        <v>0</v>
      </c>
      <c r="I120" s="151">
        <v>42833</v>
      </c>
      <c r="J120" s="149" t="s">
        <v>36</v>
      </c>
      <c r="K120" s="149" t="s">
        <v>219</v>
      </c>
      <c r="L120" s="149" t="s">
        <v>1687</v>
      </c>
      <c r="M120" s="149" t="s">
        <v>2563</v>
      </c>
      <c r="N120" s="149" t="s">
        <v>2568</v>
      </c>
      <c r="O120" s="149" t="s">
        <v>2734</v>
      </c>
      <c r="P120" s="149" t="s">
        <v>2779</v>
      </c>
      <c r="Q120" s="149" t="s">
        <v>2383</v>
      </c>
      <c r="R120" s="149" t="s">
        <v>2713</v>
      </c>
      <c r="S120" s="149">
        <v>0.16350000000000001</v>
      </c>
      <c r="T120" s="149">
        <v>6.7166000000000003E-2</v>
      </c>
      <c r="U120" s="70">
        <f t="shared" si="3"/>
        <v>9.6334000000000003E-2</v>
      </c>
      <c r="V120" s="149">
        <v>7.1750999999999996</v>
      </c>
      <c r="W120" s="149">
        <f>15.0868+11.0728</f>
        <v>26.159600000000001</v>
      </c>
      <c r="X120" s="149">
        <f t="shared" si="4"/>
        <v>187.69774595999999</v>
      </c>
      <c r="Y120" s="149"/>
    </row>
    <row r="121" spans="1:25" ht="16">
      <c r="A121" s="149" t="s">
        <v>12</v>
      </c>
      <c r="B121" s="150" t="s">
        <v>220</v>
      </c>
      <c r="C121" s="149" t="s">
        <v>1744</v>
      </c>
      <c r="D121" s="149" t="str">
        <f t="shared" si="5"/>
        <v>COFFS</v>
      </c>
      <c r="E121" s="149" t="s">
        <v>2522</v>
      </c>
      <c r="F121" s="160">
        <v>-29.943010999999998</v>
      </c>
      <c r="G121" s="70">
        <v>153.12657400000001</v>
      </c>
      <c r="H121" s="70">
        <v>0</v>
      </c>
      <c r="I121" s="151">
        <v>42833</v>
      </c>
      <c r="J121" s="149" t="s">
        <v>2097</v>
      </c>
      <c r="K121" s="149" t="s">
        <v>219</v>
      </c>
      <c r="L121" s="149" t="s">
        <v>1687</v>
      </c>
      <c r="M121" s="149" t="s">
        <v>2564</v>
      </c>
      <c r="N121" s="149" t="s">
        <v>2577</v>
      </c>
      <c r="O121" s="149" t="s">
        <v>2742</v>
      </c>
      <c r="P121" s="149" t="s">
        <v>2780</v>
      </c>
      <c r="Q121" s="149" t="s">
        <v>2388</v>
      </c>
      <c r="R121" s="149" t="s">
        <v>2713</v>
      </c>
      <c r="S121" s="149">
        <v>0.3805</v>
      </c>
      <c r="T121" s="149">
        <v>6.7166000000000003E-2</v>
      </c>
      <c r="U121" s="70">
        <f t="shared" si="3"/>
        <v>0.313334</v>
      </c>
      <c r="V121" s="149">
        <v>11.8094</v>
      </c>
      <c r="W121" s="149">
        <f>19.6483+15.8313</f>
        <v>35.479599999999998</v>
      </c>
      <c r="X121" s="149">
        <f t="shared" si="4"/>
        <v>418.99278823999998</v>
      </c>
      <c r="Y121" s="149"/>
    </row>
    <row r="122" spans="1:25" ht="16">
      <c r="A122" s="149" t="s">
        <v>12</v>
      </c>
      <c r="B122" s="150" t="s">
        <v>221</v>
      </c>
      <c r="C122" s="149" t="s">
        <v>1744</v>
      </c>
      <c r="D122" s="149" t="str">
        <f t="shared" si="5"/>
        <v>COFFS</v>
      </c>
      <c r="E122" s="149" t="s">
        <v>2522</v>
      </c>
      <c r="F122" s="160">
        <v>-29.943010999999998</v>
      </c>
      <c r="G122" s="70">
        <v>153.12657400000001</v>
      </c>
      <c r="H122" s="70">
        <v>0</v>
      </c>
      <c r="I122" s="151">
        <v>42833</v>
      </c>
      <c r="J122" s="149" t="s">
        <v>2097</v>
      </c>
      <c r="K122" s="149" t="s">
        <v>219</v>
      </c>
      <c r="L122" s="149" t="s">
        <v>1687</v>
      </c>
      <c r="M122" s="149" t="s">
        <v>2564</v>
      </c>
      <c r="N122" s="149" t="s">
        <v>2577</v>
      </c>
      <c r="O122" s="149" t="s">
        <v>2742</v>
      </c>
      <c r="P122" s="149" t="s">
        <v>2780</v>
      </c>
      <c r="Q122" s="149" t="s">
        <v>2388</v>
      </c>
      <c r="R122" s="149" t="s">
        <v>2713</v>
      </c>
      <c r="S122" s="149">
        <v>0.34799999999999998</v>
      </c>
      <c r="T122" s="149">
        <v>6.7166000000000003E-2</v>
      </c>
      <c r="U122" s="70">
        <f t="shared" si="3"/>
        <v>0.28083399999999997</v>
      </c>
      <c r="V122" s="149">
        <v>11.603999999999999</v>
      </c>
      <c r="W122" s="149">
        <f>18.883+16.231</f>
        <v>35.114000000000004</v>
      </c>
      <c r="X122" s="149">
        <f t="shared" si="4"/>
        <v>407.46285600000004</v>
      </c>
      <c r="Y122" s="149"/>
    </row>
    <row r="123" spans="1:25" ht="16">
      <c r="A123" s="149" t="s">
        <v>12</v>
      </c>
      <c r="B123" s="150" t="s">
        <v>222</v>
      </c>
      <c r="C123" s="149" t="s">
        <v>1744</v>
      </c>
      <c r="D123" s="149" t="str">
        <f t="shared" si="5"/>
        <v>COFFS</v>
      </c>
      <c r="E123" s="149" t="s">
        <v>2522</v>
      </c>
      <c r="F123" s="160">
        <v>-29.943010999999998</v>
      </c>
      <c r="G123" s="70">
        <v>153.12657400000001</v>
      </c>
      <c r="H123" s="70">
        <v>0</v>
      </c>
      <c r="I123" s="151">
        <v>42833</v>
      </c>
      <c r="J123" s="149" t="s">
        <v>2097</v>
      </c>
      <c r="K123" s="149" t="s">
        <v>219</v>
      </c>
      <c r="L123" s="149" t="s">
        <v>1687</v>
      </c>
      <c r="M123" s="149" t="s">
        <v>2564</v>
      </c>
      <c r="N123" s="149" t="s">
        <v>2577</v>
      </c>
      <c r="O123" s="149" t="s">
        <v>2742</v>
      </c>
      <c r="P123" s="149" t="s">
        <v>2740</v>
      </c>
      <c r="Q123" s="149" t="s">
        <v>2389</v>
      </c>
      <c r="R123" s="149" t="s">
        <v>2713</v>
      </c>
      <c r="S123" s="149">
        <v>0.1757</v>
      </c>
      <c r="T123" s="149">
        <v>6.7166000000000003E-2</v>
      </c>
      <c r="U123" s="70">
        <f t="shared" si="3"/>
        <v>0.10853399999999999</v>
      </c>
      <c r="V123" s="149">
        <v>8.1549999999999994</v>
      </c>
      <c r="W123" s="149">
        <f>11.8+12.677</f>
        <v>24.477</v>
      </c>
      <c r="X123" s="149">
        <f t="shared" si="4"/>
        <v>199.60993499999998</v>
      </c>
      <c r="Y123" s="149"/>
    </row>
    <row r="124" spans="1:25" ht="16">
      <c r="A124" s="149" t="s">
        <v>12</v>
      </c>
      <c r="B124" s="150" t="s">
        <v>223</v>
      </c>
      <c r="C124" s="149" t="s">
        <v>1744</v>
      </c>
      <c r="D124" s="149" t="str">
        <f t="shared" si="5"/>
        <v>COFFS</v>
      </c>
      <c r="E124" s="149" t="s">
        <v>2522</v>
      </c>
      <c r="F124" s="160">
        <v>-29.943010999999998</v>
      </c>
      <c r="G124" s="70">
        <v>153.12657400000001</v>
      </c>
      <c r="H124" s="70">
        <v>0</v>
      </c>
      <c r="I124" s="151">
        <v>42833</v>
      </c>
      <c r="J124" s="149" t="s">
        <v>2097</v>
      </c>
      <c r="K124" s="149" t="s">
        <v>219</v>
      </c>
      <c r="L124" s="149" t="s">
        <v>1687</v>
      </c>
      <c r="M124" s="149" t="s">
        <v>2564</v>
      </c>
      <c r="N124" s="149" t="s">
        <v>2577</v>
      </c>
      <c r="O124" s="149" t="s">
        <v>2742</v>
      </c>
      <c r="P124" s="149" t="s">
        <v>2740</v>
      </c>
      <c r="Q124" s="149" t="s">
        <v>2389</v>
      </c>
      <c r="R124" s="149" t="s">
        <v>2713</v>
      </c>
      <c r="S124" s="149">
        <v>0.16039999999999999</v>
      </c>
      <c r="T124" s="149">
        <v>6.7166000000000003E-2</v>
      </c>
      <c r="U124" s="70">
        <f t="shared" si="3"/>
        <v>9.3233999999999984E-2</v>
      </c>
      <c r="V124" s="149">
        <v>7.4779999999999998</v>
      </c>
      <c r="W124" s="149">
        <f>11.6014+13.708</f>
        <v>25.3094</v>
      </c>
      <c r="X124" s="149">
        <f t="shared" si="4"/>
        <v>189.26369320000001</v>
      </c>
      <c r="Y124" s="149"/>
    </row>
    <row r="125" spans="1:25" ht="16">
      <c r="A125" s="149" t="s">
        <v>12</v>
      </c>
      <c r="B125" s="150" t="s">
        <v>224</v>
      </c>
      <c r="C125" s="149" t="s">
        <v>1744</v>
      </c>
      <c r="D125" s="149" t="str">
        <f t="shared" si="5"/>
        <v>COFFS</v>
      </c>
      <c r="E125" s="149" t="s">
        <v>2522</v>
      </c>
      <c r="F125" s="160">
        <v>-29.943010999999998</v>
      </c>
      <c r="G125" s="70">
        <v>153.12657400000001</v>
      </c>
      <c r="H125" s="70">
        <v>0</v>
      </c>
      <c r="I125" s="151">
        <v>42833</v>
      </c>
      <c r="J125" s="149" t="s">
        <v>2785</v>
      </c>
      <c r="K125" s="149" t="s">
        <v>219</v>
      </c>
      <c r="L125" s="149" t="s">
        <v>2566</v>
      </c>
      <c r="M125" s="149" t="s">
        <v>2567</v>
      </c>
      <c r="N125" s="149" t="s">
        <v>2668</v>
      </c>
      <c r="O125" s="140" t="s">
        <v>2600</v>
      </c>
      <c r="P125" s="149" t="s">
        <v>2735</v>
      </c>
      <c r="Q125" s="149" t="s">
        <v>2384</v>
      </c>
      <c r="R125" s="149" t="s">
        <v>2713</v>
      </c>
      <c r="S125" s="149">
        <v>7.4399999999999994E-2</v>
      </c>
      <c r="T125" s="149">
        <v>6.7166000000000003E-2</v>
      </c>
      <c r="U125" s="70">
        <f t="shared" si="3"/>
        <v>7.2339999999999904E-3</v>
      </c>
      <c r="V125" s="149">
        <v>2.8860000000000001</v>
      </c>
      <c r="W125" s="149">
        <f>5.354+5.269</f>
        <v>10.623000000000001</v>
      </c>
      <c r="X125" s="149">
        <f t="shared" si="4"/>
        <v>30.657978000000004</v>
      </c>
      <c r="Y125" s="149"/>
    </row>
    <row r="126" spans="1:25" ht="16">
      <c r="A126" s="149" t="s">
        <v>12</v>
      </c>
      <c r="B126" s="150" t="s">
        <v>225</v>
      </c>
      <c r="C126" s="149" t="s">
        <v>1744</v>
      </c>
      <c r="D126" s="149" t="str">
        <f t="shared" si="5"/>
        <v>COFFS</v>
      </c>
      <c r="E126" s="149" t="s">
        <v>2522</v>
      </c>
      <c r="F126" s="160">
        <v>-29.943010999999998</v>
      </c>
      <c r="G126" s="70">
        <v>153.12657400000001</v>
      </c>
      <c r="H126" s="70">
        <v>0</v>
      </c>
      <c r="I126" s="151">
        <v>42833</v>
      </c>
      <c r="J126" s="149" t="s">
        <v>2785</v>
      </c>
      <c r="K126" s="149" t="s">
        <v>219</v>
      </c>
      <c r="L126" s="149" t="s">
        <v>2566</v>
      </c>
      <c r="M126" s="149" t="s">
        <v>2567</v>
      </c>
      <c r="N126" s="149" t="s">
        <v>2668</v>
      </c>
      <c r="O126" s="140" t="s">
        <v>2600</v>
      </c>
      <c r="P126" s="149" t="s">
        <v>2735</v>
      </c>
      <c r="Q126" s="149" t="s">
        <v>2384</v>
      </c>
      <c r="R126" s="149" t="s">
        <v>2713</v>
      </c>
      <c r="S126" s="149">
        <v>7.2800000000000004E-2</v>
      </c>
      <c r="T126" s="149">
        <v>6.7166000000000003E-2</v>
      </c>
      <c r="U126" s="70">
        <f t="shared" si="3"/>
        <v>5.6340000000000001E-3</v>
      </c>
      <c r="V126" s="149">
        <v>2.7069999999999999</v>
      </c>
      <c r="W126" s="149">
        <f>5.165+5.329</f>
        <v>10.494</v>
      </c>
      <c r="X126" s="149">
        <f t="shared" si="4"/>
        <v>28.407257999999999</v>
      </c>
      <c r="Y126" s="149"/>
    </row>
    <row r="127" spans="1:25" ht="16">
      <c r="A127" s="149" t="s">
        <v>12</v>
      </c>
      <c r="B127" s="150" t="s">
        <v>226</v>
      </c>
      <c r="C127" s="149" t="s">
        <v>1744</v>
      </c>
      <c r="D127" s="149" t="str">
        <f t="shared" si="5"/>
        <v>COFFS</v>
      </c>
      <c r="E127" s="149" t="s">
        <v>2522</v>
      </c>
      <c r="F127" s="160">
        <v>-29.943010999999998</v>
      </c>
      <c r="G127" s="70">
        <v>153.12657400000001</v>
      </c>
      <c r="H127" s="70">
        <v>0</v>
      </c>
      <c r="I127" s="151">
        <v>42833</v>
      </c>
      <c r="J127" s="149" t="s">
        <v>2785</v>
      </c>
      <c r="K127" s="149" t="s">
        <v>219</v>
      </c>
      <c r="L127" s="149" t="s">
        <v>2566</v>
      </c>
      <c r="M127" s="149" t="s">
        <v>2567</v>
      </c>
      <c r="N127" s="149" t="s">
        <v>2668</v>
      </c>
      <c r="O127" s="149" t="s">
        <v>2105</v>
      </c>
      <c r="P127" s="149" t="s">
        <v>2105</v>
      </c>
      <c r="Q127" s="149" t="s">
        <v>2386</v>
      </c>
      <c r="R127" s="149" t="s">
        <v>2713</v>
      </c>
      <c r="S127" s="149">
        <v>7.3200000000000001E-2</v>
      </c>
      <c r="T127" s="149">
        <v>6.7166000000000003E-2</v>
      </c>
      <c r="U127" s="70">
        <f t="shared" si="3"/>
        <v>6.0339999999999977E-3</v>
      </c>
      <c r="V127" s="149">
        <v>2.3660000000000001</v>
      </c>
      <c r="W127" s="149">
        <f>1.985+3.332+5.1495</f>
        <v>10.4665</v>
      </c>
      <c r="X127" s="149">
        <f t="shared" si="4"/>
        <v>24.763739000000001</v>
      </c>
      <c r="Y127" s="149"/>
    </row>
    <row r="128" spans="1:25" ht="16">
      <c r="A128" s="149" t="s">
        <v>12</v>
      </c>
      <c r="B128" s="150" t="s">
        <v>228</v>
      </c>
      <c r="C128" s="149" t="s">
        <v>1744</v>
      </c>
      <c r="D128" s="149" t="str">
        <f t="shared" si="5"/>
        <v>COFFS</v>
      </c>
      <c r="E128" s="149" t="s">
        <v>2522</v>
      </c>
      <c r="F128" s="160">
        <v>-29.943010999999998</v>
      </c>
      <c r="G128" s="70">
        <v>153.12657400000001</v>
      </c>
      <c r="H128" s="70">
        <v>0</v>
      </c>
      <c r="I128" s="151">
        <v>42833</v>
      </c>
      <c r="J128" s="149" t="s">
        <v>2097</v>
      </c>
      <c r="K128" s="149" t="s">
        <v>219</v>
      </c>
      <c r="L128" s="149" t="s">
        <v>1687</v>
      </c>
      <c r="M128" s="149" t="s">
        <v>2563</v>
      </c>
      <c r="N128" s="149" t="s">
        <v>2562</v>
      </c>
      <c r="O128" s="149" t="s">
        <v>2103</v>
      </c>
      <c r="P128" s="149" t="s">
        <v>2103</v>
      </c>
      <c r="Q128" s="149" t="s">
        <v>2104</v>
      </c>
      <c r="R128" s="149" t="s">
        <v>2713</v>
      </c>
      <c r="S128" s="149">
        <v>1.2999999999999999E-3</v>
      </c>
      <c r="T128" s="149">
        <v>0</v>
      </c>
      <c r="U128" s="70">
        <f t="shared" si="3"/>
        <v>1.2999999999999999E-3</v>
      </c>
      <c r="V128" s="149">
        <v>1.732</v>
      </c>
      <c r="W128" s="149">
        <f>3.589+2.645</f>
        <v>6.234</v>
      </c>
      <c r="X128" s="149">
        <f t="shared" si="4"/>
        <v>10.797288</v>
      </c>
      <c r="Y128" s="149"/>
    </row>
    <row r="129" spans="1:25" ht="16">
      <c r="A129" s="149" t="s">
        <v>12</v>
      </c>
      <c r="B129" s="150" t="s">
        <v>229</v>
      </c>
      <c r="C129" s="149" t="s">
        <v>1744</v>
      </c>
      <c r="D129" s="149" t="str">
        <f t="shared" si="5"/>
        <v>COFFS</v>
      </c>
      <c r="E129" s="149" t="s">
        <v>2522</v>
      </c>
      <c r="F129" s="160">
        <v>-29.943010999999998</v>
      </c>
      <c r="G129" s="70">
        <v>153.12657400000001</v>
      </c>
      <c r="H129" s="70">
        <v>0</v>
      </c>
      <c r="I129" s="151">
        <v>42833</v>
      </c>
      <c r="J129" s="149" t="s">
        <v>2097</v>
      </c>
      <c r="K129" s="149" t="s">
        <v>219</v>
      </c>
      <c r="L129" s="149" t="s">
        <v>1687</v>
      </c>
      <c r="M129" s="149" t="s">
        <v>2563</v>
      </c>
      <c r="N129" s="149" t="s">
        <v>2562</v>
      </c>
      <c r="O129" s="149" t="s">
        <v>2103</v>
      </c>
      <c r="P129" s="149" t="s">
        <v>2103</v>
      </c>
      <c r="Q129" s="149" t="s">
        <v>2104</v>
      </c>
      <c r="R129" s="149" t="s">
        <v>2713</v>
      </c>
      <c r="S129" s="149">
        <v>1.6000000000000001E-3</v>
      </c>
      <c r="T129" s="149">
        <v>0</v>
      </c>
      <c r="U129" s="70">
        <f t="shared" si="3"/>
        <v>1.6000000000000001E-3</v>
      </c>
      <c r="V129" s="149">
        <v>1.948</v>
      </c>
      <c r="W129" s="149">
        <f>3.42+2.828</f>
        <v>6.2479999999999993</v>
      </c>
      <c r="X129" s="149">
        <f t="shared" si="4"/>
        <v>12.171103999999998</v>
      </c>
      <c r="Y129" s="149"/>
    </row>
    <row r="130" spans="1:25" ht="16">
      <c r="A130" s="149" t="s">
        <v>12</v>
      </c>
      <c r="B130" s="150" t="s">
        <v>230</v>
      </c>
      <c r="C130" s="149" t="s">
        <v>1744</v>
      </c>
      <c r="D130" s="149" t="str">
        <f t="shared" si="5"/>
        <v>COFFS</v>
      </c>
      <c r="E130" s="149" t="s">
        <v>2522</v>
      </c>
      <c r="F130" s="160">
        <v>-29.943010999999998</v>
      </c>
      <c r="G130" s="70">
        <v>153.12657400000001</v>
      </c>
      <c r="H130" s="70">
        <v>0</v>
      </c>
      <c r="I130" s="151">
        <v>42833</v>
      </c>
      <c r="J130" s="149" t="s">
        <v>2097</v>
      </c>
      <c r="K130" s="149" t="s">
        <v>219</v>
      </c>
      <c r="L130" s="149" t="s">
        <v>1687</v>
      </c>
      <c r="M130" s="149" t="s">
        <v>2563</v>
      </c>
      <c r="N130" s="149" t="s">
        <v>2562</v>
      </c>
      <c r="O130" s="149" t="s">
        <v>2103</v>
      </c>
      <c r="P130" s="149" t="s">
        <v>2103</v>
      </c>
      <c r="Q130" s="149" t="s">
        <v>2104</v>
      </c>
      <c r="R130" s="149" t="s">
        <v>2713</v>
      </c>
      <c r="S130" s="149">
        <v>1.5E-3</v>
      </c>
      <c r="T130" s="149">
        <v>0</v>
      </c>
      <c r="U130" s="70">
        <f t="shared" ref="U130:U193" si="6">S130-T130</f>
        <v>1.5E-3</v>
      </c>
      <c r="V130" s="149">
        <v>1.8340000000000001</v>
      </c>
      <c r="W130" s="149">
        <f>2.717+3.284</f>
        <v>6.0009999999999994</v>
      </c>
      <c r="X130" s="149">
        <f t="shared" ref="X130:X193" si="7">V130*W130</f>
        <v>11.005834</v>
      </c>
      <c r="Y130" s="149"/>
    </row>
    <row r="131" spans="1:25" ht="16">
      <c r="A131" s="149" t="s">
        <v>12</v>
      </c>
      <c r="B131" s="150" t="s">
        <v>231</v>
      </c>
      <c r="C131" s="149" t="s">
        <v>1744</v>
      </c>
      <c r="D131" s="149" t="str">
        <f t="shared" ref="D131:D194" si="8">LEFT(E131,5)</f>
        <v>COFFS</v>
      </c>
      <c r="E131" s="149" t="s">
        <v>2522</v>
      </c>
      <c r="F131" s="160">
        <v>-29.943010999999998</v>
      </c>
      <c r="G131" s="70">
        <v>153.12657400000001</v>
      </c>
      <c r="H131" s="70">
        <v>0</v>
      </c>
      <c r="I131" s="151">
        <v>42833</v>
      </c>
      <c r="J131" s="149" t="s">
        <v>36</v>
      </c>
      <c r="K131" s="149" t="s">
        <v>154</v>
      </c>
      <c r="L131" s="149" t="s">
        <v>2566</v>
      </c>
      <c r="M131" s="149" t="s">
        <v>2567</v>
      </c>
      <c r="N131" s="149" t="s">
        <v>2668</v>
      </c>
      <c r="O131" s="149" t="s">
        <v>2105</v>
      </c>
      <c r="P131" s="140" t="s">
        <v>2105</v>
      </c>
      <c r="Q131" s="149" t="s">
        <v>2387</v>
      </c>
      <c r="R131" s="149" t="s">
        <v>2713</v>
      </c>
      <c r="S131" s="149">
        <v>1.5E-3</v>
      </c>
      <c r="T131" s="149">
        <v>0</v>
      </c>
      <c r="U131" s="70">
        <f t="shared" si="6"/>
        <v>1.5E-3</v>
      </c>
      <c r="V131" s="149">
        <v>1.752</v>
      </c>
      <c r="W131" s="149">
        <f>3.66+3.639</f>
        <v>7.2989999999999995</v>
      </c>
      <c r="X131" s="149">
        <f t="shared" si="7"/>
        <v>12.787847999999999</v>
      </c>
      <c r="Y131" s="149"/>
    </row>
    <row r="132" spans="1:25" ht="16">
      <c r="A132" s="149" t="s">
        <v>12</v>
      </c>
      <c r="B132" s="150" t="s">
        <v>232</v>
      </c>
      <c r="C132" s="149" t="s">
        <v>1744</v>
      </c>
      <c r="D132" s="149" t="str">
        <f t="shared" si="8"/>
        <v>COFFS</v>
      </c>
      <c r="E132" s="149" t="s">
        <v>2522</v>
      </c>
      <c r="F132" s="160">
        <v>-29.943010999999998</v>
      </c>
      <c r="G132" s="70">
        <v>153.12657400000001</v>
      </c>
      <c r="H132" s="70">
        <v>0</v>
      </c>
      <c r="I132" s="151">
        <v>42833</v>
      </c>
      <c r="J132" s="149" t="s">
        <v>36</v>
      </c>
      <c r="K132" s="149" t="s">
        <v>154</v>
      </c>
      <c r="L132" s="149" t="s">
        <v>2566</v>
      </c>
      <c r="M132" s="149" t="s">
        <v>2567</v>
      </c>
      <c r="N132" s="149" t="s">
        <v>2668</v>
      </c>
      <c r="O132" s="149" t="s">
        <v>2105</v>
      </c>
      <c r="P132" s="140" t="s">
        <v>2105</v>
      </c>
      <c r="Q132" s="149" t="s">
        <v>2387</v>
      </c>
      <c r="R132" s="149" t="s">
        <v>2713</v>
      </c>
      <c r="S132" s="149">
        <v>1.9E-3</v>
      </c>
      <c r="T132" s="149">
        <v>0</v>
      </c>
      <c r="U132" s="70">
        <f t="shared" si="6"/>
        <v>1.9E-3</v>
      </c>
      <c r="V132" s="149">
        <v>1.794</v>
      </c>
      <c r="W132" s="149">
        <f>3.794+3.578</f>
        <v>7.3719999999999999</v>
      </c>
      <c r="X132" s="149">
        <f t="shared" si="7"/>
        <v>13.225368</v>
      </c>
      <c r="Y132" s="149"/>
    </row>
    <row r="133" spans="1:25" ht="16">
      <c r="A133" s="149" t="s">
        <v>12</v>
      </c>
      <c r="B133" s="150" t="s">
        <v>233</v>
      </c>
      <c r="C133" s="149" t="s">
        <v>1744</v>
      </c>
      <c r="D133" s="149" t="str">
        <f t="shared" si="8"/>
        <v>COFFS</v>
      </c>
      <c r="E133" s="149" t="s">
        <v>2522</v>
      </c>
      <c r="F133" s="160">
        <v>-29.943010999999998</v>
      </c>
      <c r="G133" s="70">
        <v>153.12657400000001</v>
      </c>
      <c r="H133" s="70">
        <v>0</v>
      </c>
      <c r="I133" s="151">
        <v>42833</v>
      </c>
      <c r="J133" s="149" t="s">
        <v>36</v>
      </c>
      <c r="K133" s="149" t="s">
        <v>154</v>
      </c>
      <c r="L133" s="149" t="s">
        <v>2566</v>
      </c>
      <c r="M133" s="149" t="s">
        <v>2567</v>
      </c>
      <c r="N133" s="149" t="s">
        <v>2668</v>
      </c>
      <c r="O133" s="149" t="s">
        <v>2105</v>
      </c>
      <c r="P133" s="140" t="s">
        <v>2105</v>
      </c>
      <c r="Q133" s="149" t="s">
        <v>2387</v>
      </c>
      <c r="R133" s="149" t="s">
        <v>2713</v>
      </c>
      <c r="S133" s="149">
        <v>2E-3</v>
      </c>
      <c r="T133" s="149">
        <v>0</v>
      </c>
      <c r="U133" s="70">
        <f t="shared" si="6"/>
        <v>2E-3</v>
      </c>
      <c r="V133" s="149">
        <v>1.6519999999999999</v>
      </c>
      <c r="W133" s="149">
        <f>3.502+3.599</f>
        <v>7.101</v>
      </c>
      <c r="X133" s="149">
        <f t="shared" si="7"/>
        <v>11.730851999999999</v>
      </c>
      <c r="Y133" s="149"/>
    </row>
    <row r="134" spans="1:25" ht="16">
      <c r="A134" s="149" t="s">
        <v>12</v>
      </c>
      <c r="B134" s="150" t="s">
        <v>234</v>
      </c>
      <c r="C134" s="149" t="s">
        <v>1744</v>
      </c>
      <c r="D134" s="149" t="str">
        <f t="shared" si="8"/>
        <v>COFFS</v>
      </c>
      <c r="E134" s="149" t="s">
        <v>2522</v>
      </c>
      <c r="F134" s="160">
        <v>-29.943010999999998</v>
      </c>
      <c r="G134" s="70">
        <v>153.12657400000001</v>
      </c>
      <c r="H134" s="70">
        <v>0</v>
      </c>
      <c r="I134" s="151">
        <v>42833</v>
      </c>
      <c r="J134" s="149" t="s">
        <v>36</v>
      </c>
      <c r="K134" s="149" t="s">
        <v>154</v>
      </c>
      <c r="L134" s="149" t="s">
        <v>2566</v>
      </c>
      <c r="M134" s="149" t="s">
        <v>2567</v>
      </c>
      <c r="N134" s="149" t="s">
        <v>2668</v>
      </c>
      <c r="O134" s="149" t="s">
        <v>2105</v>
      </c>
      <c r="P134" s="140" t="s">
        <v>2105</v>
      </c>
      <c r="Q134" s="149" t="s">
        <v>2387</v>
      </c>
      <c r="R134" s="149" t="s">
        <v>2712</v>
      </c>
      <c r="S134" s="149">
        <v>1.9E-3</v>
      </c>
      <c r="T134" s="149">
        <v>0</v>
      </c>
      <c r="U134" s="70">
        <f t="shared" si="6"/>
        <v>1.9E-3</v>
      </c>
      <c r="V134" s="149">
        <v>1.702</v>
      </c>
      <c r="W134" s="149">
        <f>3.888+1.09+1.066+2.142</f>
        <v>8.1859999999999999</v>
      </c>
      <c r="X134" s="149">
        <f t="shared" si="7"/>
        <v>13.932572</v>
      </c>
      <c r="Y134" s="149"/>
    </row>
    <row r="135" spans="1:25" ht="16">
      <c r="A135" s="149" t="s">
        <v>12</v>
      </c>
      <c r="B135" s="150" t="s">
        <v>235</v>
      </c>
      <c r="C135" s="149" t="s">
        <v>1744</v>
      </c>
      <c r="D135" s="149" t="str">
        <f t="shared" si="8"/>
        <v>COFFS</v>
      </c>
      <c r="E135" s="149" t="s">
        <v>2522</v>
      </c>
      <c r="F135" s="160">
        <v>-29.943010999999998</v>
      </c>
      <c r="G135" s="70">
        <v>153.12657400000001</v>
      </c>
      <c r="H135" s="70">
        <v>0</v>
      </c>
      <c r="I135" s="151">
        <v>42833</v>
      </c>
      <c r="J135" s="149" t="s">
        <v>36</v>
      </c>
      <c r="K135" s="149" t="s">
        <v>154</v>
      </c>
      <c r="L135" s="149" t="s">
        <v>2566</v>
      </c>
      <c r="M135" s="149" t="s">
        <v>2567</v>
      </c>
      <c r="N135" s="149" t="s">
        <v>2668</v>
      </c>
      <c r="O135" s="149" t="s">
        <v>2105</v>
      </c>
      <c r="P135" s="140" t="s">
        <v>2105</v>
      </c>
      <c r="Q135" s="149" t="s">
        <v>2387</v>
      </c>
      <c r="R135" s="149" t="s">
        <v>2713</v>
      </c>
      <c r="S135" s="149">
        <v>1.5E-3</v>
      </c>
      <c r="T135" s="149">
        <v>0</v>
      </c>
      <c r="U135" s="70">
        <f t="shared" si="6"/>
        <v>1.5E-3</v>
      </c>
      <c r="V135" s="149">
        <v>1.7310000000000001</v>
      </c>
      <c r="W135" s="149">
        <f>3.46+1.497+2.07</f>
        <v>7.0269999999999992</v>
      </c>
      <c r="X135" s="149">
        <f t="shared" si="7"/>
        <v>12.163736999999999</v>
      </c>
      <c r="Y135" s="149"/>
    </row>
    <row r="136" spans="1:25" ht="16">
      <c r="A136" s="149" t="s">
        <v>12</v>
      </c>
      <c r="B136" s="150" t="s">
        <v>236</v>
      </c>
      <c r="C136" s="149" t="s">
        <v>1744</v>
      </c>
      <c r="D136" s="149" t="str">
        <f t="shared" si="8"/>
        <v>COFFS</v>
      </c>
      <c r="E136" s="149" t="s">
        <v>2522</v>
      </c>
      <c r="F136" s="160">
        <v>-29.943010999999998</v>
      </c>
      <c r="G136" s="70">
        <v>153.12657400000001</v>
      </c>
      <c r="H136" s="70">
        <v>0</v>
      </c>
      <c r="I136" s="151">
        <v>42833</v>
      </c>
      <c r="J136" s="149" t="s">
        <v>36</v>
      </c>
      <c r="K136" s="149" t="s">
        <v>154</v>
      </c>
      <c r="L136" s="149" t="s">
        <v>2566</v>
      </c>
      <c r="M136" s="149" t="s">
        <v>2567</v>
      </c>
      <c r="N136" s="149" t="s">
        <v>2668</v>
      </c>
      <c r="O136" s="149" t="s">
        <v>2105</v>
      </c>
      <c r="P136" s="140" t="s">
        <v>2105</v>
      </c>
      <c r="Q136" s="149" t="s">
        <v>2387</v>
      </c>
      <c r="R136" s="149" t="s">
        <v>2713</v>
      </c>
      <c r="S136" s="149">
        <v>1.1999999999999999E-3</v>
      </c>
      <c r="T136" s="149">
        <v>0</v>
      </c>
      <c r="U136" s="70">
        <f t="shared" si="6"/>
        <v>1.1999999999999999E-3</v>
      </c>
      <c r="V136" s="149">
        <v>1.605</v>
      </c>
      <c r="W136" s="149">
        <f>3.368+3.667</f>
        <v>7.0350000000000001</v>
      </c>
      <c r="X136" s="149">
        <f t="shared" si="7"/>
        <v>11.291175000000001</v>
      </c>
      <c r="Y136" s="149"/>
    </row>
    <row r="137" spans="1:25" ht="16">
      <c r="A137" s="149" t="s">
        <v>12</v>
      </c>
      <c r="B137" s="150" t="s">
        <v>245</v>
      </c>
      <c r="C137" s="149" t="s">
        <v>1744</v>
      </c>
      <c r="D137" s="149" t="str">
        <f t="shared" si="8"/>
        <v>ARMID</v>
      </c>
      <c r="E137" s="149" t="s">
        <v>2544</v>
      </c>
      <c r="F137" s="160">
        <v>-30.486018000000001</v>
      </c>
      <c r="G137" s="70">
        <v>151.641143</v>
      </c>
      <c r="H137" s="70">
        <v>0</v>
      </c>
      <c r="I137" s="151">
        <v>42841</v>
      </c>
      <c r="J137" s="149" t="s">
        <v>240</v>
      </c>
      <c r="K137" s="149" t="s">
        <v>219</v>
      </c>
      <c r="L137" s="149" t="s">
        <v>2566</v>
      </c>
      <c r="M137" s="149" t="s">
        <v>2567</v>
      </c>
      <c r="N137" s="149" t="s">
        <v>2668</v>
      </c>
      <c r="O137" s="149" t="s">
        <v>2600</v>
      </c>
      <c r="P137" s="149" t="s">
        <v>2775</v>
      </c>
      <c r="Q137" s="149" t="s">
        <v>2370</v>
      </c>
      <c r="R137" s="149" t="s">
        <v>2713</v>
      </c>
      <c r="S137" s="149">
        <v>7.9699999999999993E-2</v>
      </c>
      <c r="T137" s="149">
        <v>6.7166000000000003E-2</v>
      </c>
      <c r="U137" s="70">
        <f t="shared" si="6"/>
        <v>1.253399999999999E-2</v>
      </c>
      <c r="V137" s="149">
        <v>3.2839999999999998</v>
      </c>
      <c r="W137" s="149">
        <f>6.244+6.505</f>
        <v>12.748999999999999</v>
      </c>
      <c r="X137" s="149">
        <f t="shared" si="7"/>
        <v>41.867715999999994</v>
      </c>
      <c r="Y137" s="149"/>
    </row>
    <row r="138" spans="1:25" ht="16">
      <c r="A138" s="149" t="s">
        <v>12</v>
      </c>
      <c r="B138" s="150" t="s">
        <v>246</v>
      </c>
      <c r="C138" s="149" t="s">
        <v>1744</v>
      </c>
      <c r="D138" s="149" t="str">
        <f t="shared" si="8"/>
        <v>ARMID</v>
      </c>
      <c r="E138" s="149" t="s">
        <v>2544</v>
      </c>
      <c r="F138" s="160">
        <v>-30.489515999999998</v>
      </c>
      <c r="G138" s="70">
        <v>151.6422</v>
      </c>
      <c r="H138" s="70">
        <v>0</v>
      </c>
      <c r="I138" s="151">
        <v>42841</v>
      </c>
      <c r="J138" s="149" t="s">
        <v>247</v>
      </c>
      <c r="K138" s="149" t="s">
        <v>219</v>
      </c>
      <c r="L138" s="149" t="s">
        <v>1687</v>
      </c>
      <c r="M138" s="149" t="s">
        <v>2564</v>
      </c>
      <c r="N138" s="149" t="s">
        <v>2565</v>
      </c>
      <c r="O138" s="149" t="s">
        <v>2733</v>
      </c>
      <c r="P138" s="149" t="s">
        <v>2733</v>
      </c>
      <c r="Q138" s="149" t="s">
        <v>2372</v>
      </c>
      <c r="R138" s="149" t="s">
        <v>2713</v>
      </c>
      <c r="S138" s="149">
        <v>7.2499999999999995E-2</v>
      </c>
      <c r="T138" s="149">
        <v>6.7166000000000003E-2</v>
      </c>
      <c r="U138" s="70">
        <f t="shared" si="6"/>
        <v>5.3339999999999915E-3</v>
      </c>
      <c r="V138" s="149">
        <v>2.7513999999999998</v>
      </c>
      <c r="W138" s="149">
        <f>5.9867+5.4839</f>
        <v>11.470600000000001</v>
      </c>
      <c r="X138" s="149">
        <f t="shared" si="7"/>
        <v>31.560208840000001</v>
      </c>
      <c r="Y138" s="149"/>
    </row>
    <row r="139" spans="1:25" ht="16">
      <c r="A139" s="149" t="s">
        <v>12</v>
      </c>
      <c r="B139" s="150" t="s">
        <v>248</v>
      </c>
      <c r="C139" s="149" t="s">
        <v>1744</v>
      </c>
      <c r="D139" s="149" t="str">
        <f t="shared" si="8"/>
        <v>ARMID</v>
      </c>
      <c r="E139" s="149" t="s">
        <v>2544</v>
      </c>
      <c r="F139" s="160">
        <v>-30.489515999999998</v>
      </c>
      <c r="G139" s="70">
        <v>151.6422</v>
      </c>
      <c r="H139" s="70">
        <v>0</v>
      </c>
      <c r="I139" s="151">
        <v>42841</v>
      </c>
      <c r="J139" s="149" t="s">
        <v>247</v>
      </c>
      <c r="K139" s="149" t="s">
        <v>219</v>
      </c>
      <c r="L139" s="149" t="s">
        <v>1687</v>
      </c>
      <c r="M139" s="149" t="s">
        <v>2564</v>
      </c>
      <c r="N139" s="149" t="s">
        <v>2565</v>
      </c>
      <c r="O139" s="149" t="s">
        <v>2733</v>
      </c>
      <c r="P139" s="149" t="s">
        <v>2733</v>
      </c>
      <c r="Q139" s="149" t="s">
        <v>2372</v>
      </c>
      <c r="R139" s="149" t="s">
        <v>2713</v>
      </c>
      <c r="S139" s="149">
        <v>7.3999999999999996E-2</v>
      </c>
      <c r="T139" s="149">
        <v>6.7166000000000003E-2</v>
      </c>
      <c r="U139" s="70">
        <f t="shared" si="6"/>
        <v>6.8339999999999929E-3</v>
      </c>
      <c r="V139" s="149">
        <v>2.6779999999999999</v>
      </c>
      <c r="W139" s="149">
        <f>6.59+5.324</f>
        <v>11.914</v>
      </c>
      <c r="X139" s="149">
        <f t="shared" si="7"/>
        <v>31.905691999999998</v>
      </c>
      <c r="Y139" s="149"/>
    </row>
    <row r="140" spans="1:25" ht="16">
      <c r="A140" s="149" t="s">
        <v>12</v>
      </c>
      <c r="B140" s="150" t="s">
        <v>249</v>
      </c>
      <c r="C140" s="149" t="s">
        <v>1744</v>
      </c>
      <c r="D140" s="149" t="str">
        <f t="shared" si="8"/>
        <v>ARMID</v>
      </c>
      <c r="E140" s="149" t="s">
        <v>2544</v>
      </c>
      <c r="F140" s="160">
        <v>-30.489515999999998</v>
      </c>
      <c r="G140" s="70">
        <v>151.6422</v>
      </c>
      <c r="H140" s="70">
        <v>0</v>
      </c>
      <c r="I140" s="151">
        <v>42841</v>
      </c>
      <c r="J140" s="149" t="s">
        <v>247</v>
      </c>
      <c r="K140" s="149" t="s">
        <v>219</v>
      </c>
      <c r="L140" s="149" t="s">
        <v>1687</v>
      </c>
      <c r="M140" s="149" t="s">
        <v>2564</v>
      </c>
      <c r="N140" s="149" t="s">
        <v>2565</v>
      </c>
      <c r="O140" s="149" t="s">
        <v>2733</v>
      </c>
      <c r="P140" s="149" t="s">
        <v>2733</v>
      </c>
      <c r="Q140" s="149" t="s">
        <v>2372</v>
      </c>
      <c r="R140" s="149" t="s">
        <v>2713</v>
      </c>
      <c r="S140" s="149">
        <v>7.2700000000000001E-2</v>
      </c>
      <c r="T140" s="149">
        <v>6.7166000000000003E-2</v>
      </c>
      <c r="U140" s="70">
        <f t="shared" si="6"/>
        <v>5.5339999999999973E-3</v>
      </c>
      <c r="V140" s="149">
        <v>2.7509999999999999</v>
      </c>
      <c r="W140" s="149">
        <f>7.177+4.899</f>
        <v>12.076000000000001</v>
      </c>
      <c r="X140" s="149">
        <f t="shared" si="7"/>
        <v>33.221076000000004</v>
      </c>
      <c r="Y140" s="149"/>
    </row>
    <row r="141" spans="1:25" ht="16">
      <c r="A141" s="149" t="s">
        <v>12</v>
      </c>
      <c r="B141" s="150" t="s">
        <v>250</v>
      </c>
      <c r="C141" s="149" t="s">
        <v>1744</v>
      </c>
      <c r="D141" s="149" t="str">
        <f t="shared" si="8"/>
        <v>ARMID</v>
      </c>
      <c r="E141" s="149" t="s">
        <v>2544</v>
      </c>
      <c r="F141" s="160">
        <v>-30.489515999999998</v>
      </c>
      <c r="G141" s="70">
        <v>151.6422</v>
      </c>
      <c r="H141" s="70">
        <v>0</v>
      </c>
      <c r="I141" s="151">
        <v>42841</v>
      </c>
      <c r="J141" s="149" t="s">
        <v>247</v>
      </c>
      <c r="K141" s="149" t="s">
        <v>219</v>
      </c>
      <c r="L141" s="149" t="s">
        <v>1687</v>
      </c>
      <c r="M141" s="149" t="s">
        <v>2564</v>
      </c>
      <c r="N141" s="149" t="s">
        <v>2565</v>
      </c>
      <c r="O141" s="149" t="s">
        <v>2733</v>
      </c>
      <c r="P141" s="149" t="s">
        <v>2733</v>
      </c>
      <c r="Q141" s="149" t="s">
        <v>2372</v>
      </c>
      <c r="R141" s="149" t="s">
        <v>2713</v>
      </c>
      <c r="S141" s="149">
        <v>7.2499999999999995E-2</v>
      </c>
      <c r="T141" s="149">
        <v>6.7166000000000003E-2</v>
      </c>
      <c r="U141" s="70">
        <f t="shared" si="6"/>
        <v>5.3339999999999915E-3</v>
      </c>
      <c r="V141" s="149">
        <v>2.4169999999999998</v>
      </c>
      <c r="W141" s="149">
        <f>5.715+4.627</f>
        <v>10.341999999999999</v>
      </c>
      <c r="X141" s="149">
        <f t="shared" si="7"/>
        <v>24.996613999999994</v>
      </c>
      <c r="Y141" s="149"/>
    </row>
    <row r="142" spans="1:25" ht="16">
      <c r="A142" s="149" t="s">
        <v>12</v>
      </c>
      <c r="B142" s="150" t="s">
        <v>251</v>
      </c>
      <c r="C142" s="149" t="s">
        <v>1744</v>
      </c>
      <c r="D142" s="149" t="str">
        <f t="shared" si="8"/>
        <v>ARMID</v>
      </c>
      <c r="E142" s="149" t="s">
        <v>2544</v>
      </c>
      <c r="F142" s="160">
        <v>-30.489515999999998</v>
      </c>
      <c r="G142" s="70">
        <v>151.6422</v>
      </c>
      <c r="H142" s="70">
        <v>0</v>
      </c>
      <c r="I142" s="151">
        <v>42841</v>
      </c>
      <c r="J142" s="149" t="s">
        <v>247</v>
      </c>
      <c r="K142" s="149" t="s">
        <v>219</v>
      </c>
      <c r="L142" s="149" t="s">
        <v>1687</v>
      </c>
      <c r="M142" s="149" t="s">
        <v>2564</v>
      </c>
      <c r="N142" s="149" t="s">
        <v>2565</v>
      </c>
      <c r="O142" s="149" t="s">
        <v>2733</v>
      </c>
      <c r="P142" s="149" t="s">
        <v>2733</v>
      </c>
      <c r="Q142" s="149" t="s">
        <v>2372</v>
      </c>
      <c r="R142" s="149" t="s">
        <v>2713</v>
      </c>
      <c r="S142" s="149">
        <v>7.3099999999999998E-2</v>
      </c>
      <c r="T142" s="149">
        <v>6.7166000000000003E-2</v>
      </c>
      <c r="U142" s="70">
        <f t="shared" si="6"/>
        <v>5.9339999999999948E-3</v>
      </c>
      <c r="V142" s="149">
        <v>2.6269999999999998</v>
      </c>
      <c r="W142" s="149">
        <f>5.736+6.289</f>
        <v>12.024999999999999</v>
      </c>
      <c r="X142" s="149">
        <f t="shared" si="7"/>
        <v>31.589674999999993</v>
      </c>
      <c r="Y142" s="149"/>
    </row>
    <row r="143" spans="1:25" ht="16">
      <c r="A143" s="149" t="s">
        <v>12</v>
      </c>
      <c r="B143" s="150" t="s">
        <v>253</v>
      </c>
      <c r="C143" s="149" t="s">
        <v>1744</v>
      </c>
      <c r="D143" s="149" t="str">
        <f t="shared" si="8"/>
        <v>CSIRO</v>
      </c>
      <c r="E143" s="149" t="s">
        <v>2520</v>
      </c>
      <c r="F143" s="149"/>
      <c r="G143" s="149"/>
      <c r="H143" s="70">
        <v>90</v>
      </c>
      <c r="I143" s="151" t="s">
        <v>36</v>
      </c>
      <c r="J143" s="149">
        <v>20826</v>
      </c>
      <c r="K143" s="149" t="s">
        <v>94</v>
      </c>
      <c r="L143" s="149" t="s">
        <v>2566</v>
      </c>
      <c r="M143" s="149" t="s">
        <v>2567</v>
      </c>
      <c r="N143" s="149" t="s">
        <v>2668</v>
      </c>
      <c r="O143" s="149" t="s">
        <v>2105</v>
      </c>
      <c r="P143" s="140" t="s">
        <v>2105</v>
      </c>
      <c r="Q143" s="149" t="s">
        <v>2696</v>
      </c>
      <c r="R143" s="149" t="s">
        <v>2713</v>
      </c>
      <c r="S143" s="149">
        <v>6.88E-2</v>
      </c>
      <c r="T143" s="149">
        <v>6.7166000000000003E-2</v>
      </c>
      <c r="U143" s="70">
        <f t="shared" si="6"/>
        <v>1.6339999999999966E-3</v>
      </c>
      <c r="V143" s="149">
        <v>2.0630000000000002</v>
      </c>
      <c r="W143" s="149">
        <f>5.173+4.425</f>
        <v>9.597999999999999</v>
      </c>
      <c r="X143" s="149">
        <f t="shared" si="7"/>
        <v>19.800674000000001</v>
      </c>
      <c r="Y143" s="149"/>
    </row>
    <row r="144" spans="1:25" ht="16">
      <c r="A144" s="149" t="s">
        <v>12</v>
      </c>
      <c r="B144" s="150" t="s">
        <v>255</v>
      </c>
      <c r="C144" s="149" t="s">
        <v>1744</v>
      </c>
      <c r="D144" s="149" t="str">
        <f t="shared" si="8"/>
        <v>CSIRO</v>
      </c>
      <c r="E144" s="149" t="s">
        <v>2520</v>
      </c>
      <c r="F144" s="149"/>
      <c r="G144" s="149"/>
      <c r="H144" s="70">
        <v>90</v>
      </c>
      <c r="I144" s="151" t="s">
        <v>36</v>
      </c>
      <c r="J144" s="149">
        <v>20717</v>
      </c>
      <c r="K144" s="149" t="s">
        <v>94</v>
      </c>
      <c r="L144" s="149" t="s">
        <v>2572</v>
      </c>
      <c r="M144" s="149" t="s">
        <v>2573</v>
      </c>
      <c r="N144" s="149" t="s">
        <v>36</v>
      </c>
      <c r="O144" s="149" t="s">
        <v>2606</v>
      </c>
      <c r="P144" s="149" t="s">
        <v>2781</v>
      </c>
      <c r="Q144" s="149" t="s">
        <v>2378</v>
      </c>
      <c r="R144" s="149" t="s">
        <v>2712</v>
      </c>
      <c r="S144" s="149">
        <v>6.8400000000000002E-2</v>
      </c>
      <c r="T144" s="149">
        <v>6.7166000000000003E-2</v>
      </c>
      <c r="U144" s="70">
        <f t="shared" si="6"/>
        <v>1.233999999999999E-3</v>
      </c>
      <c r="V144" s="149">
        <v>2.496</v>
      </c>
      <c r="W144" s="149">
        <f>5.564+5.334</f>
        <v>10.898</v>
      </c>
      <c r="X144" s="149">
        <f t="shared" si="7"/>
        <v>27.201408000000001</v>
      </c>
      <c r="Y144" s="149"/>
    </row>
    <row r="145" spans="1:25" ht="16">
      <c r="A145" s="149" t="s">
        <v>12</v>
      </c>
      <c r="B145" s="150" t="s">
        <v>256</v>
      </c>
      <c r="C145" s="149" t="s">
        <v>1744</v>
      </c>
      <c r="D145" s="149" t="str">
        <f t="shared" si="8"/>
        <v>CSIRO</v>
      </c>
      <c r="E145" s="149" t="s">
        <v>2520</v>
      </c>
      <c r="F145" s="149"/>
      <c r="G145" s="149"/>
      <c r="H145" s="70">
        <v>90</v>
      </c>
      <c r="I145" s="151" t="s">
        <v>36</v>
      </c>
      <c r="J145" s="149">
        <v>20675</v>
      </c>
      <c r="K145" s="149" t="s">
        <v>94</v>
      </c>
      <c r="L145" s="149" t="s">
        <v>2566</v>
      </c>
      <c r="M145" s="149" t="s">
        <v>2567</v>
      </c>
      <c r="N145" s="149" t="s">
        <v>2668</v>
      </c>
      <c r="O145" s="149" t="s">
        <v>2105</v>
      </c>
      <c r="P145" s="140" t="s">
        <v>2105</v>
      </c>
      <c r="Q145" s="149" t="s">
        <v>2696</v>
      </c>
      <c r="R145" s="149" t="s">
        <v>2713</v>
      </c>
      <c r="S145" s="149">
        <v>6.83E-2</v>
      </c>
      <c r="T145" s="149">
        <v>6.7166000000000003E-2</v>
      </c>
      <c r="U145" s="70">
        <f t="shared" si="6"/>
        <v>1.1339999999999961E-3</v>
      </c>
      <c r="V145" s="149">
        <v>2.2109999999999999</v>
      </c>
      <c r="W145" s="149">
        <f>6.131+4.679</f>
        <v>10.81</v>
      </c>
      <c r="X145" s="149">
        <f t="shared" si="7"/>
        <v>23.90091</v>
      </c>
      <c r="Y145" s="149"/>
    </row>
    <row r="146" spans="1:25" ht="16">
      <c r="A146" s="149" t="s">
        <v>12</v>
      </c>
      <c r="B146" s="150" t="s">
        <v>257</v>
      </c>
      <c r="C146" s="149" t="s">
        <v>1744</v>
      </c>
      <c r="D146" s="149" t="str">
        <f t="shared" si="8"/>
        <v>CSIRO</v>
      </c>
      <c r="E146" s="149" t="s">
        <v>2520</v>
      </c>
      <c r="F146" s="149"/>
      <c r="G146" s="149"/>
      <c r="H146" s="70">
        <v>90</v>
      </c>
      <c r="I146" s="151" t="s">
        <v>36</v>
      </c>
      <c r="J146" s="149">
        <v>20703</v>
      </c>
      <c r="K146" s="149" t="s">
        <v>94</v>
      </c>
      <c r="L146" s="149" t="s">
        <v>2566</v>
      </c>
      <c r="M146" s="149" t="s">
        <v>2574</v>
      </c>
      <c r="N146" s="140" t="s">
        <v>3191</v>
      </c>
      <c r="O146" s="149" t="s">
        <v>2111</v>
      </c>
      <c r="P146" s="149" t="s">
        <v>2739</v>
      </c>
      <c r="Q146" s="149" t="s">
        <v>2690</v>
      </c>
      <c r="R146" s="149" t="s">
        <v>2713</v>
      </c>
      <c r="S146" s="149">
        <v>7.1300000000000002E-2</v>
      </c>
      <c r="T146" s="149">
        <v>6.7166000000000003E-2</v>
      </c>
      <c r="U146" s="70">
        <f t="shared" si="6"/>
        <v>4.1339999999999988E-3</v>
      </c>
      <c r="V146" s="149">
        <v>3.0470000000000002</v>
      </c>
      <c r="W146" s="149">
        <f>5.672+6.905</f>
        <v>12.577</v>
      </c>
      <c r="X146" s="149">
        <f t="shared" si="7"/>
        <v>38.322119000000001</v>
      </c>
      <c r="Y146" s="149"/>
    </row>
    <row r="147" spans="1:25" ht="16">
      <c r="A147" s="149" t="s">
        <v>12</v>
      </c>
      <c r="B147" s="150" t="s">
        <v>265</v>
      </c>
      <c r="C147" s="149" t="s">
        <v>1744</v>
      </c>
      <c r="D147" s="149" t="str">
        <f t="shared" si="8"/>
        <v>Woolg</v>
      </c>
      <c r="E147" s="149" t="s">
        <v>263</v>
      </c>
      <c r="F147" s="70">
        <v>-30.107710000000001</v>
      </c>
      <c r="G147" s="70">
        <v>153.199806</v>
      </c>
      <c r="H147" s="70">
        <v>0</v>
      </c>
      <c r="I147" s="151">
        <v>42797</v>
      </c>
      <c r="J147" s="149" t="s">
        <v>36</v>
      </c>
      <c r="K147" s="149" t="s">
        <v>219</v>
      </c>
      <c r="L147" s="149" t="s">
        <v>2569</v>
      </c>
      <c r="M147" s="149" t="s">
        <v>2570</v>
      </c>
      <c r="N147" s="149" t="s">
        <v>2571</v>
      </c>
      <c r="O147" s="149" t="s">
        <v>2369</v>
      </c>
      <c r="P147" s="149" t="s">
        <v>2737</v>
      </c>
      <c r="Q147" s="149" t="s">
        <v>2396</v>
      </c>
      <c r="R147" s="149" t="s">
        <v>2713</v>
      </c>
      <c r="S147" s="149">
        <v>5.6099999999999997E-2</v>
      </c>
      <c r="T147" s="149">
        <v>3.8671999999999984E-2</v>
      </c>
      <c r="U147" s="70">
        <f t="shared" si="6"/>
        <v>1.7428000000000013E-2</v>
      </c>
      <c r="V147" s="149">
        <v>4.6150000000000002</v>
      </c>
      <c r="W147" s="149">
        <v>14.103999999999999</v>
      </c>
      <c r="X147" s="149">
        <f t="shared" si="7"/>
        <v>65.089960000000005</v>
      </c>
      <c r="Y147" s="149"/>
    </row>
    <row r="148" spans="1:25" ht="16">
      <c r="A148" s="149" t="s">
        <v>12</v>
      </c>
      <c r="B148" s="150" t="s">
        <v>266</v>
      </c>
      <c r="C148" s="149" t="s">
        <v>1744</v>
      </c>
      <c r="D148" s="149" t="str">
        <f t="shared" si="8"/>
        <v>Woolg</v>
      </c>
      <c r="E148" s="149" t="s">
        <v>263</v>
      </c>
      <c r="F148" s="70">
        <v>-30.107710000000001</v>
      </c>
      <c r="G148" s="70">
        <v>153.199806</v>
      </c>
      <c r="H148" s="70">
        <v>0</v>
      </c>
      <c r="I148" s="151">
        <v>42797</v>
      </c>
      <c r="J148" s="149" t="s">
        <v>36</v>
      </c>
      <c r="K148" s="149" t="s">
        <v>219</v>
      </c>
      <c r="L148" s="149" t="s">
        <v>2566</v>
      </c>
      <c r="M148" s="149" t="s">
        <v>2567</v>
      </c>
      <c r="N148" s="149" t="s">
        <v>2668</v>
      </c>
      <c r="O148" s="149" t="s">
        <v>2105</v>
      </c>
      <c r="P148" s="140" t="s">
        <v>2105</v>
      </c>
      <c r="Q148" s="149" t="s">
        <v>2387</v>
      </c>
      <c r="R148" s="149" t="s">
        <v>2713</v>
      </c>
      <c r="S148" s="149">
        <v>4.0599999999999997E-2</v>
      </c>
      <c r="T148" s="149">
        <v>3.8671999999999984E-2</v>
      </c>
      <c r="U148" s="70">
        <f t="shared" si="6"/>
        <v>1.928000000000013E-3</v>
      </c>
      <c r="V148" s="149">
        <v>1.8280000000000001</v>
      </c>
      <c r="W148" s="149">
        <f>3.111+3.458</f>
        <v>6.5690000000000008</v>
      </c>
      <c r="X148" s="149">
        <f t="shared" si="7"/>
        <v>12.008132000000002</v>
      </c>
      <c r="Y148" s="149"/>
    </row>
    <row r="149" spans="1:25" ht="16">
      <c r="A149" s="149" t="s">
        <v>12</v>
      </c>
      <c r="B149" s="150" t="s">
        <v>267</v>
      </c>
      <c r="C149" s="149" t="s">
        <v>1744</v>
      </c>
      <c r="D149" s="149" t="str">
        <f t="shared" si="8"/>
        <v>Woolg</v>
      </c>
      <c r="E149" s="149" t="s">
        <v>263</v>
      </c>
      <c r="F149" s="70">
        <v>-30.107710000000001</v>
      </c>
      <c r="G149" s="70">
        <v>153.199806</v>
      </c>
      <c r="H149" s="70">
        <v>0</v>
      </c>
      <c r="I149" s="151">
        <v>42797</v>
      </c>
      <c r="J149" s="149" t="s">
        <v>36</v>
      </c>
      <c r="K149" s="149" t="s">
        <v>219</v>
      </c>
      <c r="L149" s="149" t="s">
        <v>1687</v>
      </c>
      <c r="M149" s="149" t="s">
        <v>2563</v>
      </c>
      <c r="N149" s="149" t="s">
        <v>2562</v>
      </c>
      <c r="O149" s="149" t="s">
        <v>2103</v>
      </c>
      <c r="P149" s="149" t="s">
        <v>2103</v>
      </c>
      <c r="Q149" s="149" t="s">
        <v>2104</v>
      </c>
      <c r="R149" s="149" t="s">
        <v>2713</v>
      </c>
      <c r="S149" s="149">
        <v>4.1099999999999998E-2</v>
      </c>
      <c r="T149" s="149">
        <v>3.8671999999999984E-2</v>
      </c>
      <c r="U149" s="70">
        <f t="shared" si="6"/>
        <v>2.4280000000000135E-3</v>
      </c>
      <c r="V149" s="149">
        <v>1.948</v>
      </c>
      <c r="W149" s="149">
        <v>6.2149999999999999</v>
      </c>
      <c r="X149" s="149">
        <f t="shared" si="7"/>
        <v>12.106819999999999</v>
      </c>
      <c r="Y149" s="149"/>
    </row>
    <row r="150" spans="1:25" ht="16">
      <c r="A150" s="149" t="s">
        <v>12</v>
      </c>
      <c r="B150" s="150" t="s">
        <v>269</v>
      </c>
      <c r="C150" s="149" t="s">
        <v>1744</v>
      </c>
      <c r="D150" s="149" t="str">
        <f t="shared" si="8"/>
        <v>Woolg</v>
      </c>
      <c r="E150" s="149" t="s">
        <v>263</v>
      </c>
      <c r="F150" s="70">
        <v>-30.107710000000001</v>
      </c>
      <c r="G150" s="70">
        <v>153.199806</v>
      </c>
      <c r="H150" s="70">
        <v>0</v>
      </c>
      <c r="I150" s="151">
        <v>42797</v>
      </c>
      <c r="J150" s="149" t="s">
        <v>36</v>
      </c>
      <c r="K150" s="149" t="s">
        <v>219</v>
      </c>
      <c r="L150" s="149" t="s">
        <v>1687</v>
      </c>
      <c r="M150" s="149" t="s">
        <v>2563</v>
      </c>
      <c r="N150" s="149" t="s">
        <v>2562</v>
      </c>
      <c r="O150" s="149" t="s">
        <v>2103</v>
      </c>
      <c r="P150" s="149" t="s">
        <v>2103</v>
      </c>
      <c r="Q150" s="149" t="s">
        <v>2104</v>
      </c>
      <c r="R150" s="149" t="s">
        <v>2713</v>
      </c>
      <c r="S150" s="149">
        <v>4.1099999999999998E-2</v>
      </c>
      <c r="T150" s="149">
        <v>3.8671999999999984E-2</v>
      </c>
      <c r="U150" s="70">
        <f t="shared" si="6"/>
        <v>2.4280000000000135E-3</v>
      </c>
      <c r="V150" s="149">
        <v>2.0009999999999999</v>
      </c>
      <c r="W150" s="149">
        <f>3.322+2.744</f>
        <v>6.0660000000000007</v>
      </c>
      <c r="X150" s="149">
        <f t="shared" si="7"/>
        <v>12.138066</v>
      </c>
      <c r="Y150" s="149"/>
    </row>
    <row r="151" spans="1:25" ht="16">
      <c r="A151" s="149" t="s">
        <v>12</v>
      </c>
      <c r="B151" s="150" t="s">
        <v>270</v>
      </c>
      <c r="C151" s="149" t="s">
        <v>1744</v>
      </c>
      <c r="D151" s="149" t="str">
        <f t="shared" si="8"/>
        <v>Woolg</v>
      </c>
      <c r="E151" s="149" t="s">
        <v>263</v>
      </c>
      <c r="F151" s="70">
        <v>-30.107710000000001</v>
      </c>
      <c r="G151" s="70">
        <v>153.199806</v>
      </c>
      <c r="H151" s="70">
        <v>0</v>
      </c>
      <c r="I151" s="151">
        <v>42797</v>
      </c>
      <c r="J151" s="149" t="s">
        <v>36</v>
      </c>
      <c r="K151" s="149" t="s">
        <v>219</v>
      </c>
      <c r="L151" s="149" t="s">
        <v>2569</v>
      </c>
      <c r="M151" s="149" t="s">
        <v>2570</v>
      </c>
      <c r="N151" s="149" t="s">
        <v>2571</v>
      </c>
      <c r="O151" s="149" t="s">
        <v>2369</v>
      </c>
      <c r="P151" s="149" t="s">
        <v>2737</v>
      </c>
      <c r="Q151" s="149" t="s">
        <v>2395</v>
      </c>
      <c r="R151" s="149" t="s">
        <v>2713</v>
      </c>
      <c r="S151" s="149">
        <v>0.11940000000000001</v>
      </c>
      <c r="T151" s="149">
        <v>9.6175999999999984E-2</v>
      </c>
      <c r="U151" s="70">
        <f t="shared" si="6"/>
        <v>2.3224000000000022E-2</v>
      </c>
      <c r="V151" s="149">
        <v>5.0679999999999996</v>
      </c>
      <c r="W151" s="149">
        <v>17.001000000000001</v>
      </c>
      <c r="X151" s="149">
        <f t="shared" si="7"/>
        <v>86.161068</v>
      </c>
      <c r="Y151" s="149"/>
    </row>
    <row r="152" spans="1:25" ht="16">
      <c r="A152" s="149" t="s">
        <v>12</v>
      </c>
      <c r="B152" s="150" t="s">
        <v>271</v>
      </c>
      <c r="C152" s="149" t="s">
        <v>1744</v>
      </c>
      <c r="D152" s="149" t="str">
        <f t="shared" si="8"/>
        <v>Woolg</v>
      </c>
      <c r="E152" s="149" t="s">
        <v>263</v>
      </c>
      <c r="F152" s="70">
        <v>-30.107710000000001</v>
      </c>
      <c r="G152" s="70">
        <v>153.199806</v>
      </c>
      <c r="H152" s="70">
        <v>0</v>
      </c>
      <c r="I152" s="151">
        <v>42797</v>
      </c>
      <c r="J152" s="149" t="s">
        <v>36</v>
      </c>
      <c r="K152" s="149" t="s">
        <v>219</v>
      </c>
      <c r="L152" s="149" t="s">
        <v>2566</v>
      </c>
      <c r="M152" s="149" t="s">
        <v>2567</v>
      </c>
      <c r="N152" s="149" t="s">
        <v>2668</v>
      </c>
      <c r="O152" s="149" t="s">
        <v>2105</v>
      </c>
      <c r="P152" s="149" t="s">
        <v>2105</v>
      </c>
      <c r="Q152" s="149" t="s">
        <v>2386</v>
      </c>
      <c r="R152" s="149" t="s">
        <v>2713</v>
      </c>
      <c r="S152" s="149">
        <v>4.24E-2</v>
      </c>
      <c r="T152" s="149">
        <v>3.8671999999999984E-2</v>
      </c>
      <c r="U152" s="70">
        <f t="shared" si="6"/>
        <v>3.728000000000016E-3</v>
      </c>
      <c r="V152" s="149">
        <v>2.6949999999999998</v>
      </c>
      <c r="W152" s="149">
        <v>9.7270000000000003</v>
      </c>
      <c r="X152" s="149">
        <f t="shared" si="7"/>
        <v>26.214265000000001</v>
      </c>
      <c r="Y152" s="149"/>
    </row>
    <row r="153" spans="1:25" ht="16">
      <c r="A153" s="149" t="s">
        <v>12</v>
      </c>
      <c r="B153" s="150" t="s">
        <v>272</v>
      </c>
      <c r="C153" s="149" t="s">
        <v>1744</v>
      </c>
      <c r="D153" s="149" t="str">
        <f t="shared" si="8"/>
        <v>Woolg</v>
      </c>
      <c r="E153" s="149" t="s">
        <v>263</v>
      </c>
      <c r="F153" s="70">
        <v>-30.107710000000001</v>
      </c>
      <c r="G153" s="70">
        <v>153.199806</v>
      </c>
      <c r="H153" s="70">
        <v>0</v>
      </c>
      <c r="I153" s="151">
        <v>42797</v>
      </c>
      <c r="J153" s="149" t="s">
        <v>36</v>
      </c>
      <c r="K153" s="149" t="s">
        <v>219</v>
      </c>
      <c r="L153" s="149" t="s">
        <v>2566</v>
      </c>
      <c r="M153" s="149" t="s">
        <v>2567</v>
      </c>
      <c r="N153" s="149" t="s">
        <v>2668</v>
      </c>
      <c r="O153" s="149" t="s">
        <v>2105</v>
      </c>
      <c r="P153" s="149" t="s">
        <v>2105</v>
      </c>
      <c r="Q153" s="149" t="s">
        <v>2386</v>
      </c>
      <c r="R153" s="149" t="s">
        <v>2713</v>
      </c>
      <c r="S153" s="149">
        <v>4.1099999999999998E-2</v>
      </c>
      <c r="T153" s="149">
        <v>3.8671999999999984E-2</v>
      </c>
      <c r="U153" s="70">
        <f t="shared" si="6"/>
        <v>2.4280000000000135E-3</v>
      </c>
      <c r="V153" s="149">
        <v>1.996</v>
      </c>
      <c r="W153" s="149">
        <f>8.0548</f>
        <v>8.0548000000000002</v>
      </c>
      <c r="X153" s="149">
        <f t="shared" si="7"/>
        <v>16.0773808</v>
      </c>
      <c r="Y153" s="149"/>
    </row>
    <row r="154" spans="1:25" ht="16">
      <c r="A154" s="149" t="s">
        <v>12</v>
      </c>
      <c r="B154" s="150" t="s">
        <v>273</v>
      </c>
      <c r="C154" s="149" t="s">
        <v>1744</v>
      </c>
      <c r="D154" s="149" t="str">
        <f t="shared" si="8"/>
        <v>Woolg</v>
      </c>
      <c r="E154" s="149" t="s">
        <v>263</v>
      </c>
      <c r="F154" s="70">
        <v>-30.107710000000001</v>
      </c>
      <c r="G154" s="70">
        <v>153.199806</v>
      </c>
      <c r="H154" s="70">
        <v>0</v>
      </c>
      <c r="I154" s="151">
        <v>42797</v>
      </c>
      <c r="J154" s="149" t="s">
        <v>36</v>
      </c>
      <c r="K154" s="149" t="s">
        <v>219</v>
      </c>
      <c r="L154" s="149" t="s">
        <v>2566</v>
      </c>
      <c r="M154" s="149" t="s">
        <v>2567</v>
      </c>
      <c r="N154" s="149" t="s">
        <v>2668</v>
      </c>
      <c r="O154" s="140" t="s">
        <v>2600</v>
      </c>
      <c r="P154" s="149" t="s">
        <v>2735</v>
      </c>
      <c r="Q154" s="149" t="s">
        <v>2400</v>
      </c>
      <c r="R154" s="149" t="s">
        <v>2713</v>
      </c>
      <c r="S154" s="149">
        <v>7.8700000000000006E-2</v>
      </c>
      <c r="T154" s="149">
        <v>6.7166000000000003E-2</v>
      </c>
      <c r="U154" s="70">
        <f t="shared" si="6"/>
        <v>1.1534000000000003E-2</v>
      </c>
      <c r="V154" s="149">
        <v>3.177</v>
      </c>
      <c r="W154" s="149">
        <v>12.593</v>
      </c>
      <c r="X154" s="149">
        <f t="shared" si="7"/>
        <v>40.007961000000002</v>
      </c>
      <c r="Y154" s="149"/>
    </row>
    <row r="155" spans="1:25" ht="16">
      <c r="A155" s="149" t="s">
        <v>12</v>
      </c>
      <c r="B155" s="150" t="s">
        <v>274</v>
      </c>
      <c r="C155" s="149" t="s">
        <v>1744</v>
      </c>
      <c r="D155" s="149" t="str">
        <f t="shared" si="8"/>
        <v>Bunda</v>
      </c>
      <c r="E155" s="149" t="s">
        <v>261</v>
      </c>
      <c r="F155" s="70">
        <v>-24.836607000000001</v>
      </c>
      <c r="G155" s="70">
        <v>152.45960199999999</v>
      </c>
      <c r="H155" s="70">
        <v>0</v>
      </c>
      <c r="I155" s="151">
        <v>42785</v>
      </c>
      <c r="J155" s="149" t="s">
        <v>36</v>
      </c>
      <c r="K155" s="149" t="s">
        <v>219</v>
      </c>
      <c r="L155" s="149" t="s">
        <v>2566</v>
      </c>
      <c r="M155" s="149" t="s">
        <v>2567</v>
      </c>
      <c r="N155" s="149" t="s">
        <v>2668</v>
      </c>
      <c r="O155" s="140" t="s">
        <v>2600</v>
      </c>
      <c r="P155" s="149" t="s">
        <v>2735</v>
      </c>
      <c r="Q155" s="149" t="s">
        <v>2698</v>
      </c>
      <c r="R155" s="149" t="s">
        <v>2712</v>
      </c>
      <c r="S155" s="149">
        <v>6.8900000000000003E-2</v>
      </c>
      <c r="T155" s="149">
        <v>6.7166000000000003E-2</v>
      </c>
      <c r="U155" s="70">
        <f t="shared" si="6"/>
        <v>1.7339999999999994E-3</v>
      </c>
      <c r="V155" s="149">
        <v>2.0049999999999999</v>
      </c>
      <c r="W155" s="149">
        <v>8.4618000000000002</v>
      </c>
      <c r="X155" s="149">
        <f t="shared" si="7"/>
        <v>16.965909</v>
      </c>
      <c r="Y155" s="149"/>
    </row>
    <row r="156" spans="1:25" ht="16">
      <c r="A156" s="149" t="s">
        <v>12</v>
      </c>
      <c r="B156" s="150" t="s">
        <v>275</v>
      </c>
      <c r="C156" s="149" t="s">
        <v>1744</v>
      </c>
      <c r="D156" s="149" t="str">
        <f t="shared" si="8"/>
        <v>Woolg</v>
      </c>
      <c r="E156" s="149" t="s">
        <v>263</v>
      </c>
      <c r="F156" s="70">
        <v>-30.107710000000001</v>
      </c>
      <c r="G156" s="70">
        <v>153.199806</v>
      </c>
      <c r="H156" s="70">
        <v>0</v>
      </c>
      <c r="I156" s="151">
        <v>42797</v>
      </c>
      <c r="J156" s="149" t="s">
        <v>36</v>
      </c>
      <c r="K156" s="149" t="s">
        <v>219</v>
      </c>
      <c r="L156" s="149" t="s">
        <v>2569</v>
      </c>
      <c r="M156" s="149" t="s">
        <v>2570</v>
      </c>
      <c r="N156" s="149" t="s">
        <v>2571</v>
      </c>
      <c r="O156" s="149" t="s">
        <v>2369</v>
      </c>
      <c r="P156" s="149" t="s">
        <v>3556</v>
      </c>
      <c r="Q156" s="149" t="s">
        <v>2677</v>
      </c>
      <c r="R156" s="149" t="s">
        <v>2712</v>
      </c>
      <c r="S156" s="149">
        <v>0.11990000000000001</v>
      </c>
      <c r="T156" s="149">
        <v>9.6175999999999984E-2</v>
      </c>
      <c r="U156" s="70">
        <f t="shared" si="6"/>
        <v>2.3724000000000023E-2</v>
      </c>
      <c r="V156" s="149">
        <v>4.968</v>
      </c>
      <c r="W156" s="149">
        <f>8.80166+8.5792</f>
        <v>17.380859999999998</v>
      </c>
      <c r="X156" s="149">
        <f t="shared" si="7"/>
        <v>86.348112479999998</v>
      </c>
      <c r="Y156" s="149"/>
    </row>
    <row r="157" spans="1:25" ht="16">
      <c r="A157" s="149" t="s">
        <v>12</v>
      </c>
      <c r="B157" s="150" t="s">
        <v>276</v>
      </c>
      <c r="C157" s="149" t="s">
        <v>1744</v>
      </c>
      <c r="D157" s="149" t="str">
        <f t="shared" si="8"/>
        <v>Bunda</v>
      </c>
      <c r="E157" s="149" t="s">
        <v>261</v>
      </c>
      <c r="F157" s="70">
        <v>-24.836607000000001</v>
      </c>
      <c r="G157" s="70">
        <v>152.45960199999999</v>
      </c>
      <c r="H157" s="70">
        <v>0</v>
      </c>
      <c r="I157" s="151">
        <v>42785</v>
      </c>
      <c r="J157" s="149" t="s">
        <v>36</v>
      </c>
      <c r="K157" s="149" t="s">
        <v>219</v>
      </c>
      <c r="L157" s="149" t="s">
        <v>1687</v>
      </c>
      <c r="M157" s="149" t="s">
        <v>2563</v>
      </c>
      <c r="N157" s="149" t="s">
        <v>2568</v>
      </c>
      <c r="O157" s="149" t="s">
        <v>2734</v>
      </c>
      <c r="P157" s="149" t="s">
        <v>2736</v>
      </c>
      <c r="Q157" s="149" t="s">
        <v>2391</v>
      </c>
      <c r="R157" s="149" t="s">
        <v>2713</v>
      </c>
      <c r="S157" s="149">
        <v>6.8500000000000005E-2</v>
      </c>
      <c r="T157" s="149">
        <v>3.8671999999999984E-2</v>
      </c>
      <c r="U157" s="70">
        <f t="shared" si="6"/>
        <v>2.9828000000000021E-2</v>
      </c>
      <c r="V157" s="149">
        <v>5.4618000000000002</v>
      </c>
      <c r="W157" s="149">
        <v>18.286999999999999</v>
      </c>
      <c r="X157" s="149">
        <f t="shared" si="7"/>
        <v>99.879936599999994</v>
      </c>
      <c r="Y157" s="149"/>
    </row>
    <row r="158" spans="1:25" ht="16">
      <c r="A158" s="149" t="s">
        <v>12</v>
      </c>
      <c r="B158" s="150" t="s">
        <v>277</v>
      </c>
      <c r="C158" s="149" t="s">
        <v>1744</v>
      </c>
      <c r="D158" s="149" t="str">
        <f t="shared" si="8"/>
        <v>Bunda</v>
      </c>
      <c r="E158" s="149" t="s">
        <v>261</v>
      </c>
      <c r="F158" s="70">
        <v>-24.836607000000001</v>
      </c>
      <c r="G158" s="70">
        <v>152.45960199999999</v>
      </c>
      <c r="H158" s="70">
        <v>0</v>
      </c>
      <c r="I158" s="151">
        <v>42785</v>
      </c>
      <c r="J158" s="149" t="s">
        <v>36</v>
      </c>
      <c r="K158" s="149" t="s">
        <v>219</v>
      </c>
      <c r="L158" s="149" t="s">
        <v>1687</v>
      </c>
      <c r="M158" s="149" t="s">
        <v>2563</v>
      </c>
      <c r="N158" s="149" t="s">
        <v>2568</v>
      </c>
      <c r="O158" s="149" t="s">
        <v>2734</v>
      </c>
      <c r="P158" s="149" t="s">
        <v>2736</v>
      </c>
      <c r="Q158" s="149" t="s">
        <v>2391</v>
      </c>
      <c r="R158" s="149" t="s">
        <v>2712</v>
      </c>
      <c r="S158" s="149">
        <v>6.3799999999999996E-2</v>
      </c>
      <c r="T158" s="149">
        <v>3.8671999999999984E-2</v>
      </c>
      <c r="U158" s="70">
        <f t="shared" si="6"/>
        <v>2.5128000000000011E-2</v>
      </c>
      <c r="V158" s="149">
        <v>5.452</v>
      </c>
      <c r="W158" s="149">
        <f>8.714+7.848</f>
        <v>16.562000000000001</v>
      </c>
      <c r="X158" s="149">
        <f t="shared" si="7"/>
        <v>90.296024000000003</v>
      </c>
      <c r="Y158" s="149"/>
    </row>
    <row r="159" spans="1:25" ht="16">
      <c r="A159" s="149" t="s">
        <v>12</v>
      </c>
      <c r="B159" s="150" t="s">
        <v>278</v>
      </c>
      <c r="C159" s="149" t="s">
        <v>1744</v>
      </c>
      <c r="D159" s="149" t="str">
        <f t="shared" si="8"/>
        <v>Bunda</v>
      </c>
      <c r="E159" s="149" t="s">
        <v>261</v>
      </c>
      <c r="F159" s="70">
        <v>-24.836607000000001</v>
      </c>
      <c r="G159" s="70">
        <v>152.45960199999999</v>
      </c>
      <c r="H159" s="70">
        <v>0</v>
      </c>
      <c r="I159" s="151">
        <v>42785</v>
      </c>
      <c r="J159" s="149" t="s">
        <v>36</v>
      </c>
      <c r="K159" s="149" t="s">
        <v>219</v>
      </c>
      <c r="L159" s="149" t="s">
        <v>2572</v>
      </c>
      <c r="M159" s="149" t="s">
        <v>2407</v>
      </c>
      <c r="N159" s="149" t="s">
        <v>36</v>
      </c>
      <c r="O159" s="149" t="s">
        <v>2377</v>
      </c>
      <c r="P159" s="149" t="s">
        <v>2377</v>
      </c>
      <c r="Q159" s="149" t="s">
        <v>2699</v>
      </c>
      <c r="R159" s="149" t="s">
        <v>2712</v>
      </c>
      <c r="S159" s="149">
        <v>4.3499999999999997E-2</v>
      </c>
      <c r="T159" s="149">
        <v>3.8671999999999984E-2</v>
      </c>
      <c r="U159" s="70">
        <f t="shared" si="6"/>
        <v>4.8280000000000128E-3</v>
      </c>
      <c r="V159" s="149">
        <v>2.5819999999999999</v>
      </c>
      <c r="W159" s="149">
        <v>10.061999999999999</v>
      </c>
      <c r="X159" s="149">
        <f t="shared" si="7"/>
        <v>25.980083999999998</v>
      </c>
      <c r="Y159" s="149"/>
    </row>
    <row r="160" spans="1:25" ht="16">
      <c r="A160" s="149" t="s">
        <v>12</v>
      </c>
      <c r="B160" s="150" t="s">
        <v>279</v>
      </c>
      <c r="C160" s="149" t="s">
        <v>1744</v>
      </c>
      <c r="D160" s="149" t="str">
        <f t="shared" si="8"/>
        <v>Bunda</v>
      </c>
      <c r="E160" s="149" t="s">
        <v>261</v>
      </c>
      <c r="F160" s="70">
        <v>-24.836607000000001</v>
      </c>
      <c r="G160" s="70">
        <v>152.45960199999999</v>
      </c>
      <c r="H160" s="70">
        <v>0</v>
      </c>
      <c r="I160" s="151">
        <v>42785</v>
      </c>
      <c r="J160" s="149" t="s">
        <v>36</v>
      </c>
      <c r="K160" s="149" t="s">
        <v>219</v>
      </c>
      <c r="L160" s="149" t="s">
        <v>1687</v>
      </c>
      <c r="M160" s="149" t="s">
        <v>2563</v>
      </c>
      <c r="N160" s="149" t="s">
        <v>2575</v>
      </c>
      <c r="O160" s="149" t="s">
        <v>2379</v>
      </c>
      <c r="P160" s="149" t="s">
        <v>2379</v>
      </c>
      <c r="Q160" s="149" t="s">
        <v>2380</v>
      </c>
      <c r="R160" s="149" t="s">
        <v>2713</v>
      </c>
      <c r="S160" s="149">
        <v>6.5600000000000006E-2</v>
      </c>
      <c r="T160" s="149">
        <v>3.8671999999999984E-2</v>
      </c>
      <c r="U160" s="70">
        <f t="shared" si="6"/>
        <v>2.6928000000000021E-2</v>
      </c>
      <c r="V160" s="149">
        <v>4.5960000000000001</v>
      </c>
      <c r="W160" s="149">
        <f>7.114+6.792</f>
        <v>13.905999999999999</v>
      </c>
      <c r="X160" s="149">
        <f t="shared" si="7"/>
        <v>63.911975999999996</v>
      </c>
      <c r="Y160" s="149"/>
    </row>
    <row r="161" spans="1:26" ht="16">
      <c r="A161" s="149" t="s">
        <v>12</v>
      </c>
      <c r="B161" s="150" t="s">
        <v>280</v>
      </c>
      <c r="C161" s="149" t="s">
        <v>1744</v>
      </c>
      <c r="D161" s="149" t="str">
        <f t="shared" si="8"/>
        <v>Woolg</v>
      </c>
      <c r="E161" s="149" t="s">
        <v>263</v>
      </c>
      <c r="F161" s="70">
        <v>-30.107710000000001</v>
      </c>
      <c r="G161" s="70">
        <v>153.199806</v>
      </c>
      <c r="H161" s="70">
        <v>0</v>
      </c>
      <c r="I161" s="151">
        <v>42797</v>
      </c>
      <c r="J161" s="149" t="s">
        <v>36</v>
      </c>
      <c r="K161" s="149" t="s">
        <v>219</v>
      </c>
      <c r="L161" s="149" t="s">
        <v>1687</v>
      </c>
      <c r="M161" s="149" t="s">
        <v>2563</v>
      </c>
      <c r="N161" s="149" t="s">
        <v>2568</v>
      </c>
      <c r="O161" s="149" t="s">
        <v>2734</v>
      </c>
      <c r="P161" s="149" t="s">
        <v>2736</v>
      </c>
      <c r="Q161" s="149" t="s">
        <v>2390</v>
      </c>
      <c r="R161" s="149" t="s">
        <v>2712</v>
      </c>
      <c r="S161" s="149">
        <v>0.12640000000000001</v>
      </c>
      <c r="T161" s="149">
        <v>9.6175999999999984E-2</v>
      </c>
      <c r="U161" s="70">
        <f t="shared" si="6"/>
        <v>3.0224000000000029E-2</v>
      </c>
      <c r="V161" s="149">
        <v>6.5449999999999999</v>
      </c>
      <c r="W161" s="149">
        <f>8.027+9.441</f>
        <v>17.468</v>
      </c>
      <c r="X161" s="149">
        <f t="shared" si="7"/>
        <v>114.32805999999999</v>
      </c>
      <c r="Y161" s="149"/>
    </row>
    <row r="162" spans="1:26" ht="16">
      <c r="A162" s="149" t="s">
        <v>12</v>
      </c>
      <c r="B162" s="150" t="s">
        <v>281</v>
      </c>
      <c r="C162" s="149" t="s">
        <v>1744</v>
      </c>
      <c r="D162" s="149" t="str">
        <f t="shared" si="8"/>
        <v>Woolg</v>
      </c>
      <c r="E162" s="149" t="s">
        <v>263</v>
      </c>
      <c r="F162" s="70">
        <v>-30.107710000000001</v>
      </c>
      <c r="G162" s="70">
        <v>153.199806</v>
      </c>
      <c r="H162" s="70">
        <v>0</v>
      </c>
      <c r="I162" s="151">
        <v>42797</v>
      </c>
      <c r="J162" s="149" t="s">
        <v>36</v>
      </c>
      <c r="K162" s="149" t="s">
        <v>219</v>
      </c>
      <c r="L162" s="149" t="s">
        <v>2569</v>
      </c>
      <c r="M162" s="149" t="s">
        <v>2570</v>
      </c>
      <c r="N162" s="149" t="s">
        <v>2571</v>
      </c>
      <c r="O162" s="149" t="s">
        <v>2369</v>
      </c>
      <c r="P162" s="149" t="s">
        <v>3556</v>
      </c>
      <c r="Q162" s="149" t="s">
        <v>2677</v>
      </c>
      <c r="R162" s="149" t="s">
        <v>2713</v>
      </c>
      <c r="S162" s="149">
        <v>7.1499999999999994E-2</v>
      </c>
      <c r="T162" s="149">
        <v>3.8671999999999984E-2</v>
      </c>
      <c r="U162" s="70">
        <f t="shared" si="6"/>
        <v>3.282800000000001E-2</v>
      </c>
      <c r="V162" s="149">
        <v>5.3419999999999996</v>
      </c>
      <c r="W162" s="149">
        <f>8.95+9.7135</f>
        <v>18.663499999999999</v>
      </c>
      <c r="X162" s="149">
        <f t="shared" si="7"/>
        <v>99.700416999999987</v>
      </c>
      <c r="Y162" s="149"/>
    </row>
    <row r="163" spans="1:26" ht="16">
      <c r="A163" s="149" t="s">
        <v>12</v>
      </c>
      <c r="B163" s="150" t="s">
        <v>282</v>
      </c>
      <c r="C163" s="149" t="s">
        <v>1744</v>
      </c>
      <c r="D163" s="149" t="str">
        <f t="shared" si="8"/>
        <v>Bunda</v>
      </c>
      <c r="E163" s="149" t="s">
        <v>261</v>
      </c>
      <c r="F163" s="70">
        <v>-24.836607000000001</v>
      </c>
      <c r="G163" s="70">
        <v>152.45960199999999</v>
      </c>
      <c r="H163" s="70">
        <v>0</v>
      </c>
      <c r="I163" s="151">
        <v>42785</v>
      </c>
      <c r="J163" s="149" t="s">
        <v>36</v>
      </c>
      <c r="K163" s="149" t="s">
        <v>219</v>
      </c>
      <c r="L163" s="149" t="s">
        <v>2569</v>
      </c>
      <c r="M163" s="149" t="s">
        <v>2570</v>
      </c>
      <c r="N163" s="149" t="s">
        <v>2571</v>
      </c>
      <c r="O163" s="149" t="s">
        <v>2369</v>
      </c>
      <c r="P163" s="149" t="s">
        <v>2737</v>
      </c>
      <c r="Q163" s="149" t="s">
        <v>2396</v>
      </c>
      <c r="R163" s="149" t="s">
        <v>2713</v>
      </c>
      <c r="S163" s="149">
        <v>5.6000000000000001E-2</v>
      </c>
      <c r="T163" s="149">
        <v>3.8671999999999984E-2</v>
      </c>
      <c r="U163" s="70">
        <f t="shared" si="6"/>
        <v>1.7328000000000017E-2</v>
      </c>
      <c r="V163" s="149">
        <v>4.5759999999999996</v>
      </c>
      <c r="W163" s="149">
        <v>13.765000000000001</v>
      </c>
      <c r="X163" s="149">
        <f t="shared" si="7"/>
        <v>62.988639999999997</v>
      </c>
      <c r="Y163" s="149"/>
    </row>
    <row r="164" spans="1:26" ht="16">
      <c r="A164" s="149" t="s">
        <v>12</v>
      </c>
      <c r="B164" s="150" t="s">
        <v>285</v>
      </c>
      <c r="C164" s="149" t="s">
        <v>1744</v>
      </c>
      <c r="D164" s="149" t="s">
        <v>3552</v>
      </c>
      <c r="E164" s="149" t="s">
        <v>2412</v>
      </c>
      <c r="F164" s="70">
        <v>-31.204722220000001</v>
      </c>
      <c r="G164" s="70">
        <v>120.93944444</v>
      </c>
      <c r="H164" s="149">
        <v>93</v>
      </c>
      <c r="I164" s="151">
        <v>42750</v>
      </c>
      <c r="J164" s="149" t="s">
        <v>36</v>
      </c>
      <c r="K164" s="149" t="s">
        <v>419</v>
      </c>
      <c r="L164" s="149" t="s">
        <v>2569</v>
      </c>
      <c r="M164" s="149" t="s">
        <v>2570</v>
      </c>
      <c r="N164" s="149" t="s">
        <v>2571</v>
      </c>
      <c r="O164" s="149" t="s">
        <v>2369</v>
      </c>
      <c r="P164" s="149" t="s">
        <v>3556</v>
      </c>
      <c r="Q164" s="149" t="s">
        <v>2398</v>
      </c>
      <c r="R164" s="149" t="s">
        <v>2713</v>
      </c>
      <c r="S164" s="149">
        <v>0.1021</v>
      </c>
      <c r="T164" s="149">
        <v>6.7166000000000003E-2</v>
      </c>
      <c r="U164" s="70">
        <f t="shared" si="6"/>
        <v>3.4933999999999993E-2</v>
      </c>
      <c r="V164" s="149">
        <v>5.5094000000000003</v>
      </c>
      <c r="W164" s="149">
        <v>19.021000000000001</v>
      </c>
      <c r="X164" s="149">
        <f t="shared" si="7"/>
        <v>104.7942974</v>
      </c>
      <c r="Y164" s="149"/>
    </row>
    <row r="165" spans="1:26" ht="16">
      <c r="A165" s="149" t="s">
        <v>12</v>
      </c>
      <c r="B165" s="150" t="s">
        <v>286</v>
      </c>
      <c r="C165" s="149" t="s">
        <v>1744</v>
      </c>
      <c r="D165" s="149" t="s">
        <v>3552</v>
      </c>
      <c r="E165" s="149" t="s">
        <v>2413</v>
      </c>
      <c r="F165" s="70">
        <v>-32.251666669999999</v>
      </c>
      <c r="G165" s="70">
        <v>122.8344444</v>
      </c>
      <c r="H165" s="149">
        <v>93</v>
      </c>
      <c r="I165" s="151">
        <v>42750</v>
      </c>
      <c r="J165" s="149" t="s">
        <v>36</v>
      </c>
      <c r="K165" s="149" t="s">
        <v>419</v>
      </c>
      <c r="L165" s="149" t="s">
        <v>1687</v>
      </c>
      <c r="M165" s="149" t="s">
        <v>2563</v>
      </c>
      <c r="N165" s="149" t="s">
        <v>2568</v>
      </c>
      <c r="O165" s="149" t="s">
        <v>2734</v>
      </c>
      <c r="P165" s="149" t="s">
        <v>2782</v>
      </c>
      <c r="Q165" s="149" t="s">
        <v>2392</v>
      </c>
      <c r="R165" s="149" t="s">
        <v>2712</v>
      </c>
      <c r="S165" s="149">
        <v>8.3500000000000005E-2</v>
      </c>
      <c r="T165" s="149">
        <v>6.7166000000000003E-2</v>
      </c>
      <c r="U165" s="70">
        <f t="shared" si="6"/>
        <v>1.6334000000000001E-2</v>
      </c>
      <c r="V165" s="149">
        <v>4.8520000000000003</v>
      </c>
      <c r="W165" s="149">
        <f>7.4589+7.2396</f>
        <v>14.698499999999999</v>
      </c>
      <c r="X165" s="149">
        <f t="shared" si="7"/>
        <v>71.317121999999998</v>
      </c>
      <c r="Y165" s="149"/>
    </row>
    <row r="166" spans="1:26" ht="16">
      <c r="A166" s="149" t="s">
        <v>12</v>
      </c>
      <c r="B166" s="150" t="s">
        <v>287</v>
      </c>
      <c r="C166" s="149" t="s">
        <v>1744</v>
      </c>
      <c r="D166" s="149" t="s">
        <v>3552</v>
      </c>
      <c r="E166" s="149" t="s">
        <v>2414</v>
      </c>
      <c r="F166" s="149">
        <v>-29.832777780000001</v>
      </c>
      <c r="G166" s="149">
        <v>116.94166667</v>
      </c>
      <c r="H166" s="149">
        <f>93-15</f>
        <v>78</v>
      </c>
      <c r="I166" s="151">
        <v>42765</v>
      </c>
      <c r="J166" s="149" t="s">
        <v>36</v>
      </c>
      <c r="K166" s="149" t="s">
        <v>419</v>
      </c>
      <c r="L166" s="149" t="s">
        <v>2569</v>
      </c>
      <c r="M166" s="149" t="s">
        <v>2570</v>
      </c>
      <c r="N166" s="149" t="s">
        <v>2571</v>
      </c>
      <c r="O166" s="149" t="s">
        <v>2369</v>
      </c>
      <c r="P166" s="149" t="s">
        <v>2783</v>
      </c>
      <c r="Q166" s="149" t="s">
        <v>2382</v>
      </c>
      <c r="R166" s="149" t="s">
        <v>2712</v>
      </c>
      <c r="S166" s="149">
        <v>0.2185</v>
      </c>
      <c r="T166" s="149">
        <v>6.7166000000000003E-2</v>
      </c>
      <c r="U166" s="70">
        <f t="shared" si="6"/>
        <v>0.151334</v>
      </c>
      <c r="V166" s="149">
        <v>7.6454000000000004</v>
      </c>
      <c r="W166" s="149">
        <f>18.8098+18.0402</f>
        <v>36.849999999999994</v>
      </c>
      <c r="X166" s="149">
        <f t="shared" si="7"/>
        <v>281.73298999999997</v>
      </c>
      <c r="Y166" s="149"/>
    </row>
    <row r="167" spans="1:26" ht="16">
      <c r="A167" s="140" t="s">
        <v>12</v>
      </c>
      <c r="B167" s="139" t="s">
        <v>350</v>
      </c>
      <c r="C167" s="140" t="s">
        <v>1744</v>
      </c>
      <c r="D167" s="149" t="str">
        <f t="shared" si="8"/>
        <v>COFFS</v>
      </c>
      <c r="E167" s="140" t="s">
        <v>2545</v>
      </c>
      <c r="F167" s="161">
        <v>-30.004933000000001</v>
      </c>
      <c r="G167" s="142">
        <v>153.09672599999999</v>
      </c>
      <c r="H167" s="140">
        <v>0</v>
      </c>
      <c r="I167" s="141">
        <v>42997</v>
      </c>
      <c r="J167" s="140" t="s">
        <v>2096</v>
      </c>
      <c r="K167" s="140" t="s">
        <v>177</v>
      </c>
      <c r="L167" s="140" t="s">
        <v>2566</v>
      </c>
      <c r="M167" s="140" t="s">
        <v>2567</v>
      </c>
      <c r="N167" s="140" t="s">
        <v>2668</v>
      </c>
      <c r="O167" s="140" t="s">
        <v>2600</v>
      </c>
      <c r="P167" s="149" t="s">
        <v>2735</v>
      </c>
      <c r="Q167" s="140" t="s">
        <v>2384</v>
      </c>
      <c r="R167" s="140" t="s">
        <v>2713</v>
      </c>
      <c r="S167" s="140">
        <v>4.7699999999999999E-2</v>
      </c>
      <c r="T167" s="140">
        <v>3.8671999999999984E-2</v>
      </c>
      <c r="U167" s="142">
        <f t="shared" si="6"/>
        <v>9.0280000000000152E-3</v>
      </c>
      <c r="V167" s="140">
        <v>2.968</v>
      </c>
      <c r="W167" s="140">
        <v>11.76</v>
      </c>
      <c r="X167" s="140">
        <f t="shared" si="7"/>
        <v>34.903680000000001</v>
      </c>
      <c r="Y167" s="140"/>
      <c r="Z167" s="20"/>
    </row>
    <row r="168" spans="1:26" ht="16">
      <c r="A168" s="149" t="s">
        <v>12</v>
      </c>
      <c r="B168" s="150" t="s">
        <v>351</v>
      </c>
      <c r="C168" s="149" t="s">
        <v>1744</v>
      </c>
      <c r="D168" s="149" t="str">
        <f t="shared" si="8"/>
        <v>COFFS</v>
      </c>
      <c r="E168" s="149" t="s">
        <v>2546</v>
      </c>
      <c r="F168" s="149">
        <v>-29.998176000000001</v>
      </c>
      <c r="G168" s="70">
        <v>153.107786</v>
      </c>
      <c r="H168" s="149">
        <v>0</v>
      </c>
      <c r="I168" s="151">
        <v>43002</v>
      </c>
      <c r="J168" s="149" t="s">
        <v>2097</v>
      </c>
      <c r="K168" s="149" t="s">
        <v>177</v>
      </c>
      <c r="L168" s="149" t="s">
        <v>1687</v>
      </c>
      <c r="M168" s="149" t="s">
        <v>2564</v>
      </c>
      <c r="N168" s="149" t="s">
        <v>2565</v>
      </c>
      <c r="O168" s="149" t="s">
        <v>2095</v>
      </c>
      <c r="P168" s="149" t="s">
        <v>2095</v>
      </c>
      <c r="Q168" s="149" t="s">
        <v>2686</v>
      </c>
      <c r="R168" s="149" t="s">
        <v>2713</v>
      </c>
      <c r="S168" s="149">
        <v>4.3099999999999999E-2</v>
      </c>
      <c r="T168" s="149">
        <v>3.8671999999999984E-2</v>
      </c>
      <c r="U168" s="70">
        <f t="shared" si="6"/>
        <v>4.4280000000000153E-3</v>
      </c>
      <c r="V168" s="149">
        <v>2.4980000000000002</v>
      </c>
      <c r="W168" s="149">
        <v>8.0860000000000003</v>
      </c>
      <c r="X168" s="149">
        <f t="shared" si="7"/>
        <v>20.198828000000002</v>
      </c>
      <c r="Y168" s="149"/>
    </row>
    <row r="169" spans="1:26" ht="16">
      <c r="A169" s="149" t="s">
        <v>12</v>
      </c>
      <c r="B169" s="150" t="s">
        <v>352</v>
      </c>
      <c r="C169" s="149" t="s">
        <v>1744</v>
      </c>
      <c r="D169" s="149" t="str">
        <f t="shared" si="8"/>
        <v>COFFS</v>
      </c>
      <c r="E169" s="149" t="s">
        <v>2547</v>
      </c>
      <c r="F169" s="149">
        <v>-29.991299000000001</v>
      </c>
      <c r="G169" s="149">
        <v>153.143249</v>
      </c>
      <c r="H169" s="149">
        <v>0</v>
      </c>
      <c r="I169" s="151">
        <v>43004</v>
      </c>
      <c r="J169" s="149" t="s">
        <v>2097</v>
      </c>
      <c r="K169" s="149" t="s">
        <v>177</v>
      </c>
      <c r="L169" s="149" t="s">
        <v>1687</v>
      </c>
      <c r="M169" s="149" t="s">
        <v>2564</v>
      </c>
      <c r="N169" s="149" t="s">
        <v>2565</v>
      </c>
      <c r="O169" s="149" t="s">
        <v>2095</v>
      </c>
      <c r="P169" s="149" t="s">
        <v>2095</v>
      </c>
      <c r="Q169" s="149" t="s">
        <v>2686</v>
      </c>
      <c r="R169" s="149" t="s">
        <v>2713</v>
      </c>
      <c r="S169" s="149">
        <v>4.36E-2</v>
      </c>
      <c r="T169" s="149">
        <v>3.8671999999999984E-2</v>
      </c>
      <c r="U169" s="70">
        <f t="shared" si="6"/>
        <v>4.9280000000000157E-3</v>
      </c>
      <c r="V169" s="149">
        <v>2.532</v>
      </c>
      <c r="W169" s="149">
        <v>10.343</v>
      </c>
      <c r="X169" s="149">
        <f t="shared" si="7"/>
        <v>26.188476000000001</v>
      </c>
      <c r="Y169" s="149"/>
    </row>
    <row r="170" spans="1:26" ht="16">
      <c r="A170" s="149" t="s">
        <v>12</v>
      </c>
      <c r="B170" s="150" t="s">
        <v>353</v>
      </c>
      <c r="C170" s="149" t="s">
        <v>1744</v>
      </c>
      <c r="D170" s="149" t="str">
        <f t="shared" si="8"/>
        <v>COFFS</v>
      </c>
      <c r="E170" s="149" t="s">
        <v>2547</v>
      </c>
      <c r="F170" s="149">
        <v>-29.991299000000001</v>
      </c>
      <c r="G170" s="149">
        <v>153.143249</v>
      </c>
      <c r="H170" s="149">
        <v>0</v>
      </c>
      <c r="I170" s="151">
        <v>42996</v>
      </c>
      <c r="J170" s="149" t="s">
        <v>2097</v>
      </c>
      <c r="K170" s="149" t="s">
        <v>177</v>
      </c>
      <c r="L170" s="149" t="s">
        <v>1687</v>
      </c>
      <c r="M170" s="149" t="s">
        <v>2564</v>
      </c>
      <c r="N170" s="149" t="s">
        <v>2565</v>
      </c>
      <c r="O170" s="149" t="s">
        <v>2095</v>
      </c>
      <c r="P170" s="149" t="s">
        <v>2095</v>
      </c>
      <c r="Q170" s="149" t="s">
        <v>2686</v>
      </c>
      <c r="R170" s="149" t="s">
        <v>2713</v>
      </c>
      <c r="S170" s="149">
        <v>3.9699999999999999E-2</v>
      </c>
      <c r="T170" s="149">
        <v>3.8671999999999984E-2</v>
      </c>
      <c r="U170" s="70">
        <f t="shared" si="6"/>
        <v>1.028000000000015E-3</v>
      </c>
      <c r="V170" s="149">
        <v>2.15</v>
      </c>
      <c r="W170" s="149">
        <v>8.7479999999999993</v>
      </c>
      <c r="X170" s="149">
        <f t="shared" si="7"/>
        <v>18.808199999999999</v>
      </c>
      <c r="Y170" s="149"/>
    </row>
    <row r="171" spans="1:26" ht="16">
      <c r="A171" s="149" t="s">
        <v>12</v>
      </c>
      <c r="B171" s="150" t="s">
        <v>354</v>
      </c>
      <c r="C171" s="149" t="s">
        <v>1744</v>
      </c>
      <c r="D171" s="149" t="str">
        <f t="shared" si="8"/>
        <v>COFFS</v>
      </c>
      <c r="E171" s="149" t="s">
        <v>2548</v>
      </c>
      <c r="F171" s="149">
        <v>-30.012446000000001</v>
      </c>
      <c r="G171" s="149">
        <v>153.14997199999999</v>
      </c>
      <c r="H171" s="149">
        <v>0</v>
      </c>
      <c r="I171" s="151">
        <v>42999</v>
      </c>
      <c r="J171" s="149" t="s">
        <v>2097</v>
      </c>
      <c r="K171" s="149" t="s">
        <v>177</v>
      </c>
      <c r="L171" s="149" t="s">
        <v>1687</v>
      </c>
      <c r="M171" s="149" t="s">
        <v>2564</v>
      </c>
      <c r="N171" s="149" t="s">
        <v>2565</v>
      </c>
      <c r="O171" s="149" t="s">
        <v>2095</v>
      </c>
      <c r="P171" s="149" t="s">
        <v>2095</v>
      </c>
      <c r="Q171" s="149" t="s">
        <v>2686</v>
      </c>
      <c r="R171" s="149" t="s">
        <v>2713</v>
      </c>
      <c r="S171" s="149">
        <v>4.19E-2</v>
      </c>
      <c r="T171" s="149">
        <v>3.8671999999999984E-2</v>
      </c>
      <c r="U171" s="70">
        <f t="shared" si="6"/>
        <v>3.2280000000000156E-3</v>
      </c>
      <c r="V171" s="149">
        <v>2.1509999999999998</v>
      </c>
      <c r="W171" s="149">
        <v>9.3070000000000004</v>
      </c>
      <c r="X171" s="149">
        <f t="shared" si="7"/>
        <v>20.019356999999999</v>
      </c>
      <c r="Y171" s="149"/>
    </row>
    <row r="172" spans="1:26" ht="16">
      <c r="A172" s="149" t="s">
        <v>12</v>
      </c>
      <c r="B172" s="150" t="s">
        <v>355</v>
      </c>
      <c r="C172" s="149" t="s">
        <v>1744</v>
      </c>
      <c r="D172" s="149" t="str">
        <f t="shared" si="8"/>
        <v>COFFS</v>
      </c>
      <c r="E172" s="149" t="s">
        <v>2548</v>
      </c>
      <c r="F172" s="149">
        <v>-30.012446000000001</v>
      </c>
      <c r="G172" s="149">
        <v>153.14997199999999</v>
      </c>
      <c r="H172" s="149">
        <v>0</v>
      </c>
      <c r="I172" s="151">
        <v>42996</v>
      </c>
      <c r="J172" s="149" t="s">
        <v>2097</v>
      </c>
      <c r="K172" s="149" t="s">
        <v>177</v>
      </c>
      <c r="L172" s="149" t="s">
        <v>1687</v>
      </c>
      <c r="M172" s="149" t="s">
        <v>2564</v>
      </c>
      <c r="N172" s="149" t="s">
        <v>2565</v>
      </c>
      <c r="O172" s="149" t="s">
        <v>2733</v>
      </c>
      <c r="P172" s="149" t="s">
        <v>2733</v>
      </c>
      <c r="Q172" s="149" t="s">
        <v>2381</v>
      </c>
      <c r="R172" s="149" t="s">
        <v>2713</v>
      </c>
      <c r="S172" s="149">
        <v>4.4400000000000002E-2</v>
      </c>
      <c r="T172" s="149">
        <v>3.8671999999999984E-2</v>
      </c>
      <c r="U172" s="70">
        <f t="shared" si="6"/>
        <v>5.7280000000000178E-3</v>
      </c>
      <c r="V172" s="149">
        <v>2.282</v>
      </c>
      <c r="W172" s="149">
        <v>11.414999999999999</v>
      </c>
      <c r="X172" s="149">
        <f t="shared" si="7"/>
        <v>26.049029999999998</v>
      </c>
      <c r="Y172" s="149"/>
    </row>
    <row r="173" spans="1:26" ht="16">
      <c r="A173" s="149" t="s">
        <v>12</v>
      </c>
      <c r="B173" s="150" t="s">
        <v>356</v>
      </c>
      <c r="C173" s="149" t="s">
        <v>1744</v>
      </c>
      <c r="D173" s="149" t="str">
        <f t="shared" si="8"/>
        <v>COFFS</v>
      </c>
      <c r="E173" s="149" t="s">
        <v>2549</v>
      </c>
      <c r="F173" s="149">
        <v>-30.010960000000001</v>
      </c>
      <c r="G173" s="149">
        <v>153.13486599999999</v>
      </c>
      <c r="H173" s="149">
        <v>0</v>
      </c>
      <c r="I173" s="151">
        <v>42997</v>
      </c>
      <c r="J173" s="149" t="s">
        <v>2097</v>
      </c>
      <c r="K173" s="149" t="s">
        <v>177</v>
      </c>
      <c r="L173" s="149" t="s">
        <v>1687</v>
      </c>
      <c r="M173" s="149" t="s">
        <v>2564</v>
      </c>
      <c r="N173" s="149" t="s">
        <v>2577</v>
      </c>
      <c r="O173" s="149" t="s">
        <v>2742</v>
      </c>
      <c r="P173" s="149" t="s">
        <v>2740</v>
      </c>
      <c r="Q173" s="149" t="s">
        <v>2389</v>
      </c>
      <c r="R173" s="149" t="s">
        <v>2712</v>
      </c>
      <c r="S173" s="149">
        <v>0.1022</v>
      </c>
      <c r="T173" s="149">
        <v>3.8671999999999984E-2</v>
      </c>
      <c r="U173" s="70">
        <f t="shared" si="6"/>
        <v>6.3528000000000015E-2</v>
      </c>
      <c r="V173" s="149">
        <v>7.6260000000000003</v>
      </c>
      <c r="W173" s="149">
        <f>12.74+9.347</f>
        <v>22.087</v>
      </c>
      <c r="X173" s="149">
        <f t="shared" si="7"/>
        <v>168.435462</v>
      </c>
      <c r="Y173" s="149"/>
    </row>
    <row r="174" spans="1:26" ht="16">
      <c r="A174" s="149" t="s">
        <v>12</v>
      </c>
      <c r="B174" s="150" t="s">
        <v>357</v>
      </c>
      <c r="C174" s="149" t="s">
        <v>1744</v>
      </c>
      <c r="D174" s="149" t="str">
        <f t="shared" si="8"/>
        <v>COFFS</v>
      </c>
      <c r="E174" s="149" t="s">
        <v>2550</v>
      </c>
      <c r="F174" s="149">
        <v>-29.995350999999999</v>
      </c>
      <c r="G174" s="149">
        <v>153.15520799999999</v>
      </c>
      <c r="H174" s="149">
        <v>0</v>
      </c>
      <c r="I174" s="151">
        <v>42996</v>
      </c>
      <c r="J174" s="149" t="s">
        <v>2097</v>
      </c>
      <c r="K174" s="149" t="s">
        <v>177</v>
      </c>
      <c r="L174" s="149" t="s">
        <v>1687</v>
      </c>
      <c r="M174" s="149" t="s">
        <v>2564</v>
      </c>
      <c r="N174" s="149" t="s">
        <v>2565</v>
      </c>
      <c r="O174" s="149" t="s">
        <v>2095</v>
      </c>
      <c r="P174" s="149" t="s">
        <v>2095</v>
      </c>
      <c r="Q174" s="149" t="s">
        <v>2686</v>
      </c>
      <c r="R174" s="149" t="s">
        <v>2713</v>
      </c>
      <c r="S174" s="149">
        <v>4.3200000000000002E-2</v>
      </c>
      <c r="T174" s="149">
        <v>3.8671999999999984E-2</v>
      </c>
      <c r="U174" s="70">
        <f t="shared" si="6"/>
        <v>4.5280000000000181E-3</v>
      </c>
      <c r="V174" s="149">
        <v>2.2189999999999999</v>
      </c>
      <c r="W174" s="149">
        <v>8.8000000000000007</v>
      </c>
      <c r="X174" s="149">
        <f t="shared" si="7"/>
        <v>19.527200000000001</v>
      </c>
      <c r="Y174" s="149"/>
    </row>
    <row r="175" spans="1:26" ht="16">
      <c r="A175" s="149" t="s">
        <v>12</v>
      </c>
      <c r="B175" s="150" t="s">
        <v>358</v>
      </c>
      <c r="C175" s="149" t="s">
        <v>1744</v>
      </c>
      <c r="D175" s="149" t="str">
        <f t="shared" si="8"/>
        <v>COFFS</v>
      </c>
      <c r="E175" s="149" t="s">
        <v>2545</v>
      </c>
      <c r="F175" s="160">
        <v>-30.004933000000001</v>
      </c>
      <c r="G175" s="70">
        <v>153.09672599999999</v>
      </c>
      <c r="H175" s="149">
        <v>0</v>
      </c>
      <c r="I175" s="151">
        <v>42985</v>
      </c>
      <c r="J175" s="149" t="s">
        <v>2098</v>
      </c>
      <c r="K175" s="149" t="s">
        <v>177</v>
      </c>
      <c r="L175" s="149" t="s">
        <v>2566</v>
      </c>
      <c r="M175" s="149" t="s">
        <v>2567</v>
      </c>
      <c r="N175" s="149" t="s">
        <v>2668</v>
      </c>
      <c r="O175" s="140" t="s">
        <v>2600</v>
      </c>
      <c r="P175" s="149" t="s">
        <v>2735</v>
      </c>
      <c r="Q175" s="149" t="s">
        <v>2707</v>
      </c>
      <c r="R175" s="149" t="s">
        <v>2713</v>
      </c>
      <c r="S175" s="149">
        <v>5.0299999999999997E-2</v>
      </c>
      <c r="T175" s="149">
        <v>3.8671999999999984E-2</v>
      </c>
      <c r="U175" s="70">
        <f t="shared" si="6"/>
        <v>1.1628000000000013E-2</v>
      </c>
      <c r="V175" s="149">
        <v>3.246</v>
      </c>
      <c r="W175" s="149">
        <v>12.515000000000001</v>
      </c>
      <c r="X175" s="149">
        <f t="shared" si="7"/>
        <v>40.623690000000003</v>
      </c>
      <c r="Y175" s="149"/>
    </row>
    <row r="176" spans="1:26" ht="16">
      <c r="A176" s="149" t="s">
        <v>12</v>
      </c>
      <c r="B176" s="150" t="s">
        <v>359</v>
      </c>
      <c r="C176" s="149" t="s">
        <v>1744</v>
      </c>
      <c r="D176" s="149" t="str">
        <f t="shared" si="8"/>
        <v>COFFS</v>
      </c>
      <c r="E176" s="149" t="s">
        <v>2551</v>
      </c>
      <c r="F176" s="149">
        <v>-30.012446000000001</v>
      </c>
      <c r="G176" s="149">
        <v>153.14997199999999</v>
      </c>
      <c r="H176" s="149">
        <v>0</v>
      </c>
      <c r="I176" s="151">
        <v>42998</v>
      </c>
      <c r="J176" s="149" t="s">
        <v>2100</v>
      </c>
      <c r="K176" s="149" t="s">
        <v>177</v>
      </c>
      <c r="L176" s="149" t="s">
        <v>2566</v>
      </c>
      <c r="M176" s="149" t="s">
        <v>2574</v>
      </c>
      <c r="N176" s="140" t="s">
        <v>3191</v>
      </c>
      <c r="O176" s="149" t="s">
        <v>2111</v>
      </c>
      <c r="P176" s="149" t="s">
        <v>2739</v>
      </c>
      <c r="Q176" s="149" t="s">
        <v>2399</v>
      </c>
      <c r="R176" s="149" t="s">
        <v>2713</v>
      </c>
      <c r="S176" s="149">
        <v>6.2799999999999995E-2</v>
      </c>
      <c r="T176" s="149">
        <v>3.8671999999999984E-2</v>
      </c>
      <c r="U176" s="70">
        <f t="shared" si="6"/>
        <v>2.4128000000000011E-2</v>
      </c>
      <c r="V176" s="149">
        <v>4.2240000000000002</v>
      </c>
      <c r="W176" s="149">
        <v>16.099</v>
      </c>
      <c r="X176" s="149">
        <f t="shared" si="7"/>
        <v>68.002176000000006</v>
      </c>
      <c r="Y176" s="149"/>
    </row>
    <row r="177" spans="1:25" ht="16">
      <c r="A177" s="149" t="s">
        <v>12</v>
      </c>
      <c r="B177" s="150" t="s">
        <v>360</v>
      </c>
      <c r="C177" s="149" t="s">
        <v>1744</v>
      </c>
      <c r="D177" s="149" t="str">
        <f t="shared" si="8"/>
        <v>COFFS</v>
      </c>
      <c r="E177" s="149" t="s">
        <v>2548</v>
      </c>
      <c r="F177" s="149">
        <v>-30.012446000000001</v>
      </c>
      <c r="G177" s="149">
        <v>153.14997199999999</v>
      </c>
      <c r="H177" s="149">
        <v>0</v>
      </c>
      <c r="I177" s="151">
        <v>42999</v>
      </c>
      <c r="J177" s="149" t="s">
        <v>2097</v>
      </c>
      <c r="K177" s="149" t="s">
        <v>177</v>
      </c>
      <c r="L177" s="149" t="s">
        <v>2566</v>
      </c>
      <c r="M177" s="149" t="s">
        <v>2574</v>
      </c>
      <c r="N177" s="140" t="s">
        <v>3191</v>
      </c>
      <c r="O177" s="149" t="s">
        <v>2111</v>
      </c>
      <c r="P177" s="149" t="s">
        <v>2739</v>
      </c>
      <c r="Q177" s="149" t="s">
        <v>2691</v>
      </c>
      <c r="R177" s="149" t="s">
        <v>2713</v>
      </c>
      <c r="S177" s="149">
        <v>4.9399999999999999E-2</v>
      </c>
      <c r="T177" s="149">
        <v>3.8671999999999984E-2</v>
      </c>
      <c r="U177" s="70">
        <f t="shared" si="6"/>
        <v>1.0728000000000015E-2</v>
      </c>
      <c r="V177" s="149">
        <v>2.8860000000000001</v>
      </c>
      <c r="W177" s="149">
        <f>5.908+5.354</f>
        <v>11.262</v>
      </c>
      <c r="X177" s="149">
        <f t="shared" si="7"/>
        <v>32.502132000000003</v>
      </c>
      <c r="Y177" s="149"/>
    </row>
    <row r="178" spans="1:25" ht="16">
      <c r="A178" s="149" t="s">
        <v>12</v>
      </c>
      <c r="B178" s="150" t="s">
        <v>361</v>
      </c>
      <c r="C178" s="149" t="s">
        <v>1744</v>
      </c>
      <c r="D178" s="149" t="str">
        <f t="shared" si="8"/>
        <v>COFFS</v>
      </c>
      <c r="E178" s="149" t="s">
        <v>2549</v>
      </c>
      <c r="F178" s="149">
        <v>-30.010960000000001</v>
      </c>
      <c r="G178" s="149">
        <v>153.13486599999999</v>
      </c>
      <c r="H178" s="149">
        <v>0</v>
      </c>
      <c r="I178" s="151">
        <v>42982</v>
      </c>
      <c r="J178" s="149" t="s">
        <v>2098</v>
      </c>
      <c r="K178" s="149" t="s">
        <v>177</v>
      </c>
      <c r="L178" s="149" t="s">
        <v>2566</v>
      </c>
      <c r="M178" s="149" t="s">
        <v>2567</v>
      </c>
      <c r="N178" s="149" t="s">
        <v>2668</v>
      </c>
      <c r="O178" s="140" t="s">
        <v>2600</v>
      </c>
      <c r="P178" s="149" t="s">
        <v>2735</v>
      </c>
      <c r="Q178" s="149" t="s">
        <v>2384</v>
      </c>
      <c r="R178" s="149" t="s">
        <v>2713</v>
      </c>
      <c r="S178" s="149">
        <v>4.7199999999999999E-2</v>
      </c>
      <c r="T178" s="149">
        <v>3.8671999999999984E-2</v>
      </c>
      <c r="U178" s="70">
        <f t="shared" si="6"/>
        <v>8.5280000000000147E-3</v>
      </c>
      <c r="V178" s="149">
        <v>2.9220000000000002</v>
      </c>
      <c r="W178" s="149">
        <f>6.334+2.582+2.857</f>
        <v>11.773</v>
      </c>
      <c r="X178" s="149">
        <f t="shared" si="7"/>
        <v>34.400706</v>
      </c>
      <c r="Y178" s="149"/>
    </row>
    <row r="179" spans="1:25" ht="16">
      <c r="A179" s="149" t="s">
        <v>12</v>
      </c>
      <c r="B179" s="150" t="s">
        <v>362</v>
      </c>
      <c r="C179" s="149" t="s">
        <v>1744</v>
      </c>
      <c r="D179" s="149" t="str">
        <f t="shared" si="8"/>
        <v>COFFS</v>
      </c>
      <c r="E179" s="149" t="s">
        <v>2549</v>
      </c>
      <c r="F179" s="149">
        <v>-30.010960000000001</v>
      </c>
      <c r="G179" s="149">
        <v>153.13486599999999</v>
      </c>
      <c r="H179" s="149">
        <v>0</v>
      </c>
      <c r="I179" s="151">
        <v>42997</v>
      </c>
      <c r="J179" s="149" t="s">
        <v>2098</v>
      </c>
      <c r="K179" s="149" t="s">
        <v>177</v>
      </c>
      <c r="L179" s="149" t="s">
        <v>2566</v>
      </c>
      <c r="M179" s="149" t="s">
        <v>2567</v>
      </c>
      <c r="N179" s="149" t="s">
        <v>2668</v>
      </c>
      <c r="O179" s="140" t="s">
        <v>2600</v>
      </c>
      <c r="P179" s="149" t="s">
        <v>2735</v>
      </c>
      <c r="Q179" s="149" t="s">
        <v>2384</v>
      </c>
      <c r="R179" s="149" t="s">
        <v>2713</v>
      </c>
      <c r="S179" s="149">
        <v>4.5600000000000002E-2</v>
      </c>
      <c r="T179" s="149">
        <v>3.8671999999999984E-2</v>
      </c>
      <c r="U179" s="70">
        <f t="shared" si="6"/>
        <v>6.9280000000000175E-3</v>
      </c>
      <c r="V179" s="149">
        <v>2.677</v>
      </c>
      <c r="W179" s="149">
        <f>5.299+5.527</f>
        <v>10.826000000000001</v>
      </c>
      <c r="X179" s="149">
        <f t="shared" si="7"/>
        <v>28.981202000000003</v>
      </c>
      <c r="Y179" s="149"/>
    </row>
    <row r="180" spans="1:25" ht="16">
      <c r="A180" s="149" t="s">
        <v>12</v>
      </c>
      <c r="B180" s="150" t="s">
        <v>363</v>
      </c>
      <c r="C180" s="149" t="s">
        <v>1744</v>
      </c>
      <c r="D180" s="149" t="str">
        <f t="shared" si="8"/>
        <v>COFFS</v>
      </c>
      <c r="E180" s="149" t="s">
        <v>2549</v>
      </c>
      <c r="F180" s="149">
        <v>-30.010960000000001</v>
      </c>
      <c r="G180" s="149">
        <v>153.13486599999999</v>
      </c>
      <c r="H180" s="149">
        <v>0</v>
      </c>
      <c r="I180" s="151">
        <v>42997</v>
      </c>
      <c r="J180" s="149" t="s">
        <v>2098</v>
      </c>
      <c r="K180" s="149" t="s">
        <v>177</v>
      </c>
      <c r="L180" s="149" t="s">
        <v>2566</v>
      </c>
      <c r="M180" s="149" t="s">
        <v>2567</v>
      </c>
      <c r="N180" s="149" t="s">
        <v>2668</v>
      </c>
      <c r="O180" s="140" t="s">
        <v>2600</v>
      </c>
      <c r="P180" s="149" t="s">
        <v>2735</v>
      </c>
      <c r="Q180" s="149" t="s">
        <v>2384</v>
      </c>
      <c r="R180" s="149" t="s">
        <v>2713</v>
      </c>
      <c r="S180" s="149">
        <v>4.6800000000000001E-2</v>
      </c>
      <c r="T180" s="149">
        <v>3.8671999999999984E-2</v>
      </c>
      <c r="U180" s="70">
        <f t="shared" si="6"/>
        <v>8.1280000000000172E-3</v>
      </c>
      <c r="V180" s="149">
        <v>3.0089999999999999</v>
      </c>
      <c r="W180" s="149">
        <f>6.072+6.249</f>
        <v>12.321</v>
      </c>
      <c r="X180" s="149">
        <f t="shared" si="7"/>
        <v>37.073889000000001</v>
      </c>
      <c r="Y180" s="149"/>
    </row>
    <row r="181" spans="1:25" ht="16">
      <c r="A181" s="149" t="s">
        <v>12</v>
      </c>
      <c r="B181" s="150" t="s">
        <v>364</v>
      </c>
      <c r="C181" s="149" t="s">
        <v>1744</v>
      </c>
      <c r="D181" s="149" t="str">
        <f t="shared" si="8"/>
        <v>COFFS</v>
      </c>
      <c r="E181" s="149" t="s">
        <v>2547</v>
      </c>
      <c r="F181" s="149">
        <v>-29.991299000000001</v>
      </c>
      <c r="G181" s="149">
        <v>153.143249</v>
      </c>
      <c r="H181" s="149">
        <v>0</v>
      </c>
      <c r="I181" s="151">
        <v>42993</v>
      </c>
      <c r="J181" s="149" t="s">
        <v>36</v>
      </c>
      <c r="K181" s="149" t="s">
        <v>177</v>
      </c>
      <c r="L181" s="149" t="s">
        <v>2566</v>
      </c>
      <c r="M181" s="149" t="s">
        <v>2574</v>
      </c>
      <c r="N181" s="140" t="s">
        <v>3191</v>
      </c>
      <c r="O181" s="149" t="s">
        <v>2111</v>
      </c>
      <c r="P181" s="149" t="s">
        <v>2739</v>
      </c>
      <c r="Q181" s="149" t="s">
        <v>2399</v>
      </c>
      <c r="R181" s="149" t="s">
        <v>2713</v>
      </c>
      <c r="S181" s="149">
        <v>6.6900000000000001E-2</v>
      </c>
      <c r="T181" s="149">
        <v>3.8671999999999984E-2</v>
      </c>
      <c r="U181" s="70">
        <f t="shared" si="6"/>
        <v>2.8228000000000017E-2</v>
      </c>
      <c r="V181" s="149">
        <v>4.3239999999999998</v>
      </c>
      <c r="W181" s="149">
        <f>7.919+4.278+5.646</f>
        <v>17.843</v>
      </c>
      <c r="X181" s="149">
        <f t="shared" si="7"/>
        <v>77.153131999999999</v>
      </c>
      <c r="Y181" s="149"/>
    </row>
    <row r="182" spans="1:25" ht="16">
      <c r="A182" s="149" t="s">
        <v>12</v>
      </c>
      <c r="B182" s="150" t="s">
        <v>365</v>
      </c>
      <c r="C182" s="149" t="s">
        <v>1744</v>
      </c>
      <c r="D182" s="149" t="str">
        <f t="shared" si="8"/>
        <v>COFFS</v>
      </c>
      <c r="E182" s="149" t="s">
        <v>2545</v>
      </c>
      <c r="F182" s="160">
        <v>-30.004933000000001</v>
      </c>
      <c r="G182" s="70">
        <v>153.09672599999999</v>
      </c>
      <c r="H182" s="149">
        <v>0</v>
      </c>
      <c r="I182" s="151">
        <v>42997</v>
      </c>
      <c r="J182" s="149" t="s">
        <v>2096</v>
      </c>
      <c r="K182" s="149" t="s">
        <v>177</v>
      </c>
      <c r="L182" s="149" t="s">
        <v>2566</v>
      </c>
      <c r="M182" s="149" t="s">
        <v>2567</v>
      </c>
      <c r="N182" s="149" t="s">
        <v>2668</v>
      </c>
      <c r="O182" s="140" t="s">
        <v>2600</v>
      </c>
      <c r="P182" s="149" t="s">
        <v>2735</v>
      </c>
      <c r="Q182" s="149" t="s">
        <v>2384</v>
      </c>
      <c r="R182" s="149" t="s">
        <v>2713</v>
      </c>
      <c r="S182" s="149">
        <v>4.8800000000000003E-2</v>
      </c>
      <c r="T182" s="149">
        <v>3.8671999999999984E-2</v>
      </c>
      <c r="U182" s="70">
        <f t="shared" si="6"/>
        <v>1.0128000000000019E-2</v>
      </c>
      <c r="V182" s="149">
        <v>2.91</v>
      </c>
      <c r="W182" s="149">
        <v>11.510999999999999</v>
      </c>
      <c r="X182" s="149">
        <f t="shared" si="7"/>
        <v>33.497009999999996</v>
      </c>
      <c r="Y182" s="149"/>
    </row>
    <row r="183" spans="1:25" ht="16">
      <c r="A183" s="149" t="s">
        <v>12</v>
      </c>
      <c r="B183" s="150" t="s">
        <v>366</v>
      </c>
      <c r="C183" s="149" t="s">
        <v>1744</v>
      </c>
      <c r="D183" s="149" t="str">
        <f t="shared" si="8"/>
        <v>COFFS</v>
      </c>
      <c r="E183" s="149" t="s">
        <v>2545</v>
      </c>
      <c r="F183" s="160">
        <v>-30.004933000000001</v>
      </c>
      <c r="G183" s="70">
        <v>153.09672599999999</v>
      </c>
      <c r="H183" s="149">
        <v>0</v>
      </c>
      <c r="I183" s="151">
        <v>42997</v>
      </c>
      <c r="J183" s="149" t="s">
        <v>2096</v>
      </c>
      <c r="K183" s="149" t="s">
        <v>177</v>
      </c>
      <c r="L183" s="149" t="s">
        <v>2566</v>
      </c>
      <c r="M183" s="149" t="s">
        <v>2567</v>
      </c>
      <c r="N183" s="149" t="s">
        <v>2668</v>
      </c>
      <c r="O183" s="140" t="s">
        <v>2600</v>
      </c>
      <c r="P183" s="149" t="s">
        <v>2735</v>
      </c>
      <c r="Q183" s="149" t="s">
        <v>2384</v>
      </c>
      <c r="R183" s="149" t="s">
        <v>2713</v>
      </c>
      <c r="S183" s="149">
        <v>4.6800000000000001E-2</v>
      </c>
      <c r="T183" s="149">
        <v>3.8671999999999984E-2</v>
      </c>
      <c r="U183" s="70">
        <f t="shared" si="6"/>
        <v>8.1280000000000172E-3</v>
      </c>
      <c r="V183" s="149">
        <v>2.649</v>
      </c>
      <c r="W183" s="149">
        <v>10.537000000000001</v>
      </c>
      <c r="X183" s="149">
        <f t="shared" si="7"/>
        <v>27.912513000000004</v>
      </c>
      <c r="Y183" s="149"/>
    </row>
    <row r="184" spans="1:25" ht="16">
      <c r="A184" s="149" t="s">
        <v>12</v>
      </c>
      <c r="B184" s="150" t="s">
        <v>367</v>
      </c>
      <c r="C184" s="149" t="s">
        <v>1744</v>
      </c>
      <c r="D184" s="149" t="str">
        <f t="shared" si="8"/>
        <v>COFFS</v>
      </c>
      <c r="E184" s="149" t="s">
        <v>2545</v>
      </c>
      <c r="F184" s="160">
        <v>-30.004933000000001</v>
      </c>
      <c r="G184" s="70">
        <v>153.09672599999999</v>
      </c>
      <c r="H184" s="149">
        <v>0</v>
      </c>
      <c r="I184" s="151">
        <v>42997</v>
      </c>
      <c r="J184" s="149" t="s">
        <v>2096</v>
      </c>
      <c r="K184" s="149" t="s">
        <v>177</v>
      </c>
      <c r="L184" s="149" t="s">
        <v>2566</v>
      </c>
      <c r="M184" s="149" t="s">
        <v>2567</v>
      </c>
      <c r="N184" s="149" t="s">
        <v>2668</v>
      </c>
      <c r="O184" s="140" t="s">
        <v>2600</v>
      </c>
      <c r="P184" s="149" t="s">
        <v>2735</v>
      </c>
      <c r="Q184" s="149" t="s">
        <v>2707</v>
      </c>
      <c r="R184" s="149" t="s">
        <v>2713</v>
      </c>
      <c r="S184" s="149">
        <v>4.9799999999999997E-2</v>
      </c>
      <c r="T184" s="149">
        <v>3.8671999999999984E-2</v>
      </c>
      <c r="U184" s="70">
        <f t="shared" si="6"/>
        <v>1.1128000000000013E-2</v>
      </c>
      <c r="V184" s="149">
        <v>3.0249999999999999</v>
      </c>
      <c r="W184" s="149">
        <v>11.862</v>
      </c>
      <c r="X184" s="149">
        <f t="shared" si="7"/>
        <v>35.882550000000002</v>
      </c>
      <c r="Y184" s="149"/>
    </row>
    <row r="185" spans="1:25" ht="16">
      <c r="A185" s="149" t="s">
        <v>12</v>
      </c>
      <c r="B185" s="150" t="s">
        <v>368</v>
      </c>
      <c r="C185" s="149" t="s">
        <v>1744</v>
      </c>
      <c r="D185" s="149" t="str">
        <f t="shared" si="8"/>
        <v>COFFS</v>
      </c>
      <c r="E185" s="149" t="s">
        <v>2551</v>
      </c>
      <c r="F185" s="149">
        <v>-30.012446000000001</v>
      </c>
      <c r="G185" s="149">
        <v>153.14997199999999</v>
      </c>
      <c r="H185" s="149">
        <v>0</v>
      </c>
      <c r="I185" s="151">
        <v>42990</v>
      </c>
      <c r="J185" s="149" t="s">
        <v>2097</v>
      </c>
      <c r="K185" s="149" t="s">
        <v>177</v>
      </c>
      <c r="L185" s="149" t="s">
        <v>1687</v>
      </c>
      <c r="M185" s="149" t="s">
        <v>2564</v>
      </c>
      <c r="N185" s="149" t="s">
        <v>2565</v>
      </c>
      <c r="O185" s="149" t="s">
        <v>2095</v>
      </c>
      <c r="P185" s="149" t="s">
        <v>2095</v>
      </c>
      <c r="Q185" s="149" t="s">
        <v>2686</v>
      </c>
      <c r="R185" s="149" t="s">
        <v>2713</v>
      </c>
      <c r="S185" s="149">
        <v>4.5600000000000002E-2</v>
      </c>
      <c r="T185" s="149">
        <v>3.8671999999999984E-2</v>
      </c>
      <c r="U185" s="70">
        <f t="shared" si="6"/>
        <v>6.9280000000000175E-3</v>
      </c>
      <c r="V185" s="149">
        <v>2.66</v>
      </c>
      <c r="W185" s="149">
        <v>11.862</v>
      </c>
      <c r="X185" s="149">
        <f t="shared" si="7"/>
        <v>31.55292</v>
      </c>
      <c r="Y185" s="149"/>
    </row>
    <row r="186" spans="1:25" ht="16">
      <c r="A186" s="149" t="s">
        <v>12</v>
      </c>
      <c r="B186" s="150" t="s">
        <v>369</v>
      </c>
      <c r="C186" s="149" t="s">
        <v>1744</v>
      </c>
      <c r="D186" s="149" t="str">
        <f t="shared" si="8"/>
        <v>COFFS</v>
      </c>
      <c r="E186" s="149" t="s">
        <v>2547</v>
      </c>
      <c r="F186" s="149">
        <v>-29.991299000000001</v>
      </c>
      <c r="G186" s="149">
        <v>153.143249</v>
      </c>
      <c r="H186" s="149">
        <v>0</v>
      </c>
      <c r="I186" s="151">
        <v>42996</v>
      </c>
      <c r="J186" s="149" t="s">
        <v>2097</v>
      </c>
      <c r="K186" s="149" t="s">
        <v>177</v>
      </c>
      <c r="L186" s="149" t="s">
        <v>1687</v>
      </c>
      <c r="M186" s="149" t="s">
        <v>2564</v>
      </c>
      <c r="N186" s="149" t="s">
        <v>2565</v>
      </c>
      <c r="O186" s="149" t="s">
        <v>2095</v>
      </c>
      <c r="P186" s="149" t="s">
        <v>2095</v>
      </c>
      <c r="Q186" s="149" t="s">
        <v>2686</v>
      </c>
      <c r="R186" s="149" t="s">
        <v>2713</v>
      </c>
      <c r="S186" s="149">
        <v>4.3299999999999998E-2</v>
      </c>
      <c r="T186" s="149">
        <v>3.8671999999999984E-2</v>
      </c>
      <c r="U186" s="70">
        <f t="shared" si="6"/>
        <v>4.628000000000014E-3</v>
      </c>
      <c r="V186" s="149">
        <v>2.2959999999999998</v>
      </c>
      <c r="W186" s="149">
        <v>8.5239999999999991</v>
      </c>
      <c r="X186" s="149">
        <f t="shared" si="7"/>
        <v>19.571103999999995</v>
      </c>
      <c r="Y186" s="149"/>
    </row>
    <row r="187" spans="1:25" ht="16">
      <c r="A187" s="149" t="s">
        <v>12</v>
      </c>
      <c r="B187" s="150" t="s">
        <v>370</v>
      </c>
      <c r="C187" s="149" t="s">
        <v>1744</v>
      </c>
      <c r="D187" s="149" t="str">
        <f t="shared" si="8"/>
        <v>COFFS</v>
      </c>
      <c r="E187" s="149" t="s">
        <v>2545</v>
      </c>
      <c r="F187" s="160">
        <v>-30.004933000000001</v>
      </c>
      <c r="G187" s="70">
        <v>153.09672599999999</v>
      </c>
      <c r="H187" s="149">
        <v>0</v>
      </c>
      <c r="I187" s="151">
        <v>42997</v>
      </c>
      <c r="J187" s="149" t="s">
        <v>2096</v>
      </c>
      <c r="K187" s="149" t="s">
        <v>177</v>
      </c>
      <c r="L187" s="149" t="s">
        <v>2566</v>
      </c>
      <c r="M187" s="149" t="s">
        <v>2567</v>
      </c>
      <c r="N187" s="149" t="s">
        <v>2668</v>
      </c>
      <c r="O187" s="140" t="s">
        <v>2600</v>
      </c>
      <c r="P187" s="149" t="s">
        <v>2735</v>
      </c>
      <c r="Q187" s="149" t="s">
        <v>2384</v>
      </c>
      <c r="R187" s="149" t="s">
        <v>2713</v>
      </c>
      <c r="S187" s="149">
        <v>4.8800000000000003E-2</v>
      </c>
      <c r="T187" s="149">
        <v>3.8671999999999984E-2</v>
      </c>
      <c r="U187" s="70">
        <f t="shared" si="6"/>
        <v>1.0128000000000019E-2</v>
      </c>
      <c r="V187" s="149">
        <v>3.0920000000000001</v>
      </c>
      <c r="W187" s="149">
        <f>5.728+5.932</f>
        <v>11.66</v>
      </c>
      <c r="X187" s="149">
        <f t="shared" si="7"/>
        <v>36.052720000000001</v>
      </c>
      <c r="Y187" s="149"/>
    </row>
    <row r="188" spans="1:25" ht="16">
      <c r="A188" s="149" t="s">
        <v>12</v>
      </c>
      <c r="B188" s="150" t="s">
        <v>372</v>
      </c>
      <c r="C188" s="149" t="s">
        <v>1744</v>
      </c>
      <c r="D188" s="149" t="str">
        <f t="shared" si="8"/>
        <v>COFFS</v>
      </c>
      <c r="E188" s="149" t="s">
        <v>2545</v>
      </c>
      <c r="F188" s="160">
        <v>-30.004933000000001</v>
      </c>
      <c r="G188" s="70">
        <v>153.09672599999999</v>
      </c>
      <c r="H188" s="149">
        <v>0</v>
      </c>
      <c r="I188" s="151">
        <v>42985</v>
      </c>
      <c r="J188" s="149" t="s">
        <v>2098</v>
      </c>
      <c r="K188" s="149" t="s">
        <v>177</v>
      </c>
      <c r="L188" s="149" t="s">
        <v>2566</v>
      </c>
      <c r="M188" s="149" t="s">
        <v>2567</v>
      </c>
      <c r="N188" s="149" t="s">
        <v>2668</v>
      </c>
      <c r="O188" s="140" t="s">
        <v>2600</v>
      </c>
      <c r="P188" s="149" t="s">
        <v>2735</v>
      </c>
      <c r="Q188" s="149" t="s">
        <v>2384</v>
      </c>
      <c r="R188" s="149" t="s">
        <v>2713</v>
      </c>
      <c r="S188" s="149">
        <v>4.5699999999999998E-2</v>
      </c>
      <c r="T188" s="149">
        <v>3.8671999999999984E-2</v>
      </c>
      <c r="U188" s="70">
        <f t="shared" si="6"/>
        <v>7.0280000000000134E-3</v>
      </c>
      <c r="V188" s="149">
        <v>2.7610000000000001</v>
      </c>
      <c r="W188" s="149">
        <f>5.931+5.287</f>
        <v>11.218</v>
      </c>
      <c r="X188" s="149">
        <f t="shared" si="7"/>
        <v>30.972898000000001</v>
      </c>
      <c r="Y188" s="149"/>
    </row>
    <row r="189" spans="1:25" ht="16">
      <c r="A189" s="149" t="s">
        <v>12</v>
      </c>
      <c r="B189" s="150" t="s">
        <v>373</v>
      </c>
      <c r="C189" s="149" t="s">
        <v>1744</v>
      </c>
      <c r="D189" s="149" t="str">
        <f t="shared" si="8"/>
        <v>COFFS</v>
      </c>
      <c r="E189" s="149" t="s">
        <v>2547</v>
      </c>
      <c r="F189" s="149">
        <v>-29.991299000000001</v>
      </c>
      <c r="G189" s="149">
        <v>153.143249</v>
      </c>
      <c r="H189" s="149">
        <v>0</v>
      </c>
      <c r="I189" s="151">
        <v>42990</v>
      </c>
      <c r="J189" s="149" t="s">
        <v>2097</v>
      </c>
      <c r="K189" s="149" t="s">
        <v>177</v>
      </c>
      <c r="L189" s="149" t="s">
        <v>1687</v>
      </c>
      <c r="M189" s="149" t="s">
        <v>2564</v>
      </c>
      <c r="N189" s="149" t="s">
        <v>2565</v>
      </c>
      <c r="O189" s="149" t="s">
        <v>2733</v>
      </c>
      <c r="P189" s="149" t="s">
        <v>2733</v>
      </c>
      <c r="Q189" s="149" t="s">
        <v>2381</v>
      </c>
      <c r="R189" s="149" t="s">
        <v>2713</v>
      </c>
      <c r="S189" s="149">
        <v>4.41E-2</v>
      </c>
      <c r="T189" s="149">
        <v>3.8671999999999984E-2</v>
      </c>
      <c r="U189" s="70">
        <f t="shared" si="6"/>
        <v>5.4280000000000161E-3</v>
      </c>
      <c r="V189" s="149">
        <v>2.427</v>
      </c>
      <c r="W189" s="149">
        <v>11.946999999999999</v>
      </c>
      <c r="X189" s="149">
        <f t="shared" si="7"/>
        <v>28.995369</v>
      </c>
      <c r="Y189" s="149"/>
    </row>
    <row r="190" spans="1:25" ht="16">
      <c r="A190" s="149" t="s">
        <v>12</v>
      </c>
      <c r="B190" s="150" t="s">
        <v>374</v>
      </c>
      <c r="C190" s="149" t="s">
        <v>1744</v>
      </c>
      <c r="D190" s="149" t="str">
        <f t="shared" si="8"/>
        <v>COFFS</v>
      </c>
      <c r="E190" s="149" t="s">
        <v>2545</v>
      </c>
      <c r="F190" s="160">
        <v>-30.004933000000001</v>
      </c>
      <c r="G190" s="70">
        <v>153.09672599999999</v>
      </c>
      <c r="H190" s="149">
        <v>0</v>
      </c>
      <c r="I190" s="151">
        <v>42985</v>
      </c>
      <c r="J190" s="149" t="s">
        <v>2096</v>
      </c>
      <c r="K190" s="149" t="s">
        <v>177</v>
      </c>
      <c r="L190" s="149" t="s">
        <v>2566</v>
      </c>
      <c r="M190" s="149" t="s">
        <v>2567</v>
      </c>
      <c r="N190" s="149" t="s">
        <v>2668</v>
      </c>
      <c r="O190" s="140" t="s">
        <v>2600</v>
      </c>
      <c r="P190" s="149" t="s">
        <v>2735</v>
      </c>
      <c r="Q190" s="149" t="s">
        <v>2384</v>
      </c>
      <c r="R190" s="149" t="s">
        <v>2713</v>
      </c>
      <c r="S190" s="149">
        <v>4.65E-2</v>
      </c>
      <c r="T190" s="149">
        <v>3.8671999999999984E-2</v>
      </c>
      <c r="U190" s="70">
        <f t="shared" si="6"/>
        <v>7.8280000000000155E-3</v>
      </c>
      <c r="V190" s="149">
        <v>2.8420000000000001</v>
      </c>
      <c r="W190" s="149">
        <f>6.24+5.818</f>
        <v>12.058</v>
      </c>
      <c r="X190" s="149">
        <f t="shared" si="7"/>
        <v>34.268836</v>
      </c>
      <c r="Y190" s="149"/>
    </row>
    <row r="191" spans="1:25" ht="16">
      <c r="A191" s="149" t="s">
        <v>12</v>
      </c>
      <c r="B191" s="150" t="s">
        <v>375</v>
      </c>
      <c r="C191" s="149" t="s">
        <v>1744</v>
      </c>
      <c r="D191" s="149" t="str">
        <f t="shared" si="8"/>
        <v>COFFS</v>
      </c>
      <c r="E191" s="149" t="s">
        <v>2545</v>
      </c>
      <c r="F191" s="160">
        <v>-30.004933000000001</v>
      </c>
      <c r="G191" s="70">
        <v>153.09672599999999</v>
      </c>
      <c r="H191" s="149">
        <v>0</v>
      </c>
      <c r="I191" s="151">
        <v>42985</v>
      </c>
      <c r="J191" s="149" t="s">
        <v>2096</v>
      </c>
      <c r="K191" s="149" t="s">
        <v>177</v>
      </c>
      <c r="L191" s="149" t="s">
        <v>2566</v>
      </c>
      <c r="M191" s="149" t="s">
        <v>2567</v>
      </c>
      <c r="N191" s="149" t="s">
        <v>2668</v>
      </c>
      <c r="O191" s="140" t="s">
        <v>2600</v>
      </c>
      <c r="P191" s="149" t="s">
        <v>2735</v>
      </c>
      <c r="Q191" s="149" t="s">
        <v>2384</v>
      </c>
      <c r="R191" s="149" t="s">
        <v>2713</v>
      </c>
      <c r="S191" s="149">
        <v>4.7600000000000003E-2</v>
      </c>
      <c r="T191" s="149">
        <v>3.8671999999999984E-2</v>
      </c>
      <c r="U191" s="70">
        <f t="shared" si="6"/>
        <v>8.9280000000000193E-3</v>
      </c>
      <c r="V191" s="149">
        <v>2.71</v>
      </c>
      <c r="W191" s="149">
        <f>6.392+5.864</f>
        <v>12.256</v>
      </c>
      <c r="X191" s="149">
        <f t="shared" si="7"/>
        <v>33.213760000000001</v>
      </c>
      <c r="Y191" s="149"/>
    </row>
    <row r="192" spans="1:25" ht="16">
      <c r="A192" s="149" t="s">
        <v>12</v>
      </c>
      <c r="B192" s="150" t="s">
        <v>376</v>
      </c>
      <c r="C192" s="149" t="s">
        <v>1744</v>
      </c>
      <c r="D192" s="149" t="str">
        <f t="shared" si="8"/>
        <v>COFFS</v>
      </c>
      <c r="E192" s="149" t="s">
        <v>2545</v>
      </c>
      <c r="F192" s="160">
        <v>-30.004933000000001</v>
      </c>
      <c r="G192" s="70">
        <v>153.09672599999999</v>
      </c>
      <c r="H192" s="149">
        <v>0</v>
      </c>
      <c r="I192" s="151">
        <v>42985</v>
      </c>
      <c r="J192" s="149" t="s">
        <v>2096</v>
      </c>
      <c r="K192" s="149" t="s">
        <v>177</v>
      </c>
      <c r="L192" s="149" t="s">
        <v>2566</v>
      </c>
      <c r="M192" s="149" t="s">
        <v>2567</v>
      </c>
      <c r="N192" s="149" t="s">
        <v>2668</v>
      </c>
      <c r="O192" s="140" t="s">
        <v>2600</v>
      </c>
      <c r="P192" s="149" t="s">
        <v>2735</v>
      </c>
      <c r="Q192" s="149" t="s">
        <v>2384</v>
      </c>
      <c r="R192" s="149" t="s">
        <v>2713</v>
      </c>
      <c r="S192" s="149">
        <v>4.8399999999999999E-2</v>
      </c>
      <c r="T192" s="149">
        <v>3.8671999999999984E-2</v>
      </c>
      <c r="U192" s="70">
        <f t="shared" si="6"/>
        <v>9.7280000000000144E-3</v>
      </c>
      <c r="V192" s="149">
        <v>2.9420000000000002</v>
      </c>
      <c r="W192" s="149">
        <v>12.096</v>
      </c>
      <c r="X192" s="149">
        <f t="shared" si="7"/>
        <v>35.586432000000002</v>
      </c>
      <c r="Y192" s="149"/>
    </row>
    <row r="193" spans="1:25" ht="16">
      <c r="A193" s="149" t="s">
        <v>12</v>
      </c>
      <c r="B193" s="150" t="s">
        <v>378</v>
      </c>
      <c r="C193" s="149" t="s">
        <v>1744</v>
      </c>
      <c r="D193" s="149" t="str">
        <f t="shared" si="8"/>
        <v>COFFS</v>
      </c>
      <c r="E193" s="149" t="s">
        <v>2547</v>
      </c>
      <c r="F193" s="149">
        <v>-29.991299000000001</v>
      </c>
      <c r="G193" s="149">
        <v>153.143249</v>
      </c>
      <c r="H193" s="149">
        <v>0</v>
      </c>
      <c r="I193" s="151">
        <v>42992</v>
      </c>
      <c r="J193" s="149" t="s">
        <v>2098</v>
      </c>
      <c r="K193" s="149" t="s">
        <v>177</v>
      </c>
      <c r="L193" s="149" t="s">
        <v>2566</v>
      </c>
      <c r="M193" s="149" t="s">
        <v>2567</v>
      </c>
      <c r="N193" s="149" t="s">
        <v>2668</v>
      </c>
      <c r="O193" s="140" t="s">
        <v>2600</v>
      </c>
      <c r="P193" s="149" t="s">
        <v>2735</v>
      </c>
      <c r="Q193" s="149" t="s">
        <v>2384</v>
      </c>
      <c r="R193" s="149" t="s">
        <v>2713</v>
      </c>
      <c r="S193" s="149">
        <v>4.6199999999999998E-2</v>
      </c>
      <c r="T193" s="149">
        <v>3.8671999999999984E-2</v>
      </c>
      <c r="U193" s="70">
        <f t="shared" si="6"/>
        <v>7.5280000000000138E-3</v>
      </c>
      <c r="V193" s="149">
        <v>2.9119999999999999</v>
      </c>
      <c r="W193" s="149">
        <f>6.235+5.889</f>
        <v>12.124000000000001</v>
      </c>
      <c r="X193" s="149">
        <f t="shared" si="7"/>
        <v>35.305087999999998</v>
      </c>
      <c r="Y193" s="149"/>
    </row>
    <row r="194" spans="1:25" ht="16">
      <c r="A194" s="149" t="s">
        <v>12</v>
      </c>
      <c r="B194" s="150" t="s">
        <v>379</v>
      </c>
      <c r="C194" s="149" t="s">
        <v>1744</v>
      </c>
      <c r="D194" s="149" t="str">
        <f t="shared" si="8"/>
        <v>COFFS</v>
      </c>
      <c r="E194" s="149" t="s">
        <v>2548</v>
      </c>
      <c r="F194" s="149">
        <v>-30.012446000000001</v>
      </c>
      <c r="G194" s="149">
        <v>153.14997199999999</v>
      </c>
      <c r="H194" s="149">
        <v>0</v>
      </c>
      <c r="I194" s="151">
        <v>42992</v>
      </c>
      <c r="J194" s="149" t="s">
        <v>2097</v>
      </c>
      <c r="K194" s="149" t="s">
        <v>177</v>
      </c>
      <c r="L194" s="149" t="s">
        <v>1687</v>
      </c>
      <c r="M194" s="149" t="s">
        <v>2564</v>
      </c>
      <c r="N194" s="149" t="s">
        <v>2565</v>
      </c>
      <c r="O194" s="149" t="s">
        <v>2733</v>
      </c>
      <c r="P194" s="149" t="s">
        <v>2733</v>
      </c>
      <c r="Q194" s="149" t="s">
        <v>2381</v>
      </c>
      <c r="R194" s="149" t="s">
        <v>2713</v>
      </c>
      <c r="S194" s="149">
        <v>4.2999999999999997E-2</v>
      </c>
      <c r="T194" s="149">
        <v>3.8671999999999984E-2</v>
      </c>
      <c r="U194" s="70">
        <f t="shared" ref="U194:U203" si="9">S194-T194</f>
        <v>4.3280000000000124E-3</v>
      </c>
      <c r="V194" s="149">
        <v>2.294</v>
      </c>
      <c r="W194" s="149">
        <v>10.009</v>
      </c>
      <c r="X194" s="149">
        <f t="shared" ref="X194:X255" si="10">V194*W194</f>
        <v>22.960646000000001</v>
      </c>
      <c r="Y194" s="149"/>
    </row>
    <row r="195" spans="1:25" ht="16">
      <c r="A195" s="149" t="s">
        <v>12</v>
      </c>
      <c r="B195" s="150" t="s">
        <v>380</v>
      </c>
      <c r="C195" s="149" t="s">
        <v>1744</v>
      </c>
      <c r="D195" s="149" t="str">
        <f t="shared" ref="D195:D245" si="11">LEFT(E195,5)</f>
        <v>COFFS</v>
      </c>
      <c r="E195" s="149" t="s">
        <v>2552</v>
      </c>
      <c r="F195" s="160">
        <v>-30.004933000000001</v>
      </c>
      <c r="G195" s="70">
        <v>153.09672599999999</v>
      </c>
      <c r="H195" s="149">
        <v>0</v>
      </c>
      <c r="I195" s="151">
        <v>42992</v>
      </c>
      <c r="J195" s="149" t="s">
        <v>2098</v>
      </c>
      <c r="K195" s="149" t="s">
        <v>177</v>
      </c>
      <c r="L195" s="149" t="s">
        <v>2566</v>
      </c>
      <c r="M195" s="149" t="s">
        <v>2567</v>
      </c>
      <c r="N195" s="149" t="s">
        <v>2668</v>
      </c>
      <c r="O195" s="140" t="s">
        <v>2600</v>
      </c>
      <c r="P195" s="149" t="s">
        <v>2735</v>
      </c>
      <c r="Q195" s="149" t="s">
        <v>2384</v>
      </c>
      <c r="R195" s="149" t="s">
        <v>2713</v>
      </c>
      <c r="S195" s="149">
        <v>4.6800000000000001E-2</v>
      </c>
      <c r="T195" s="149">
        <v>3.8671999999999984E-2</v>
      </c>
      <c r="U195" s="70">
        <f t="shared" si="9"/>
        <v>8.1280000000000172E-3</v>
      </c>
      <c r="V195" s="149">
        <v>2.66</v>
      </c>
      <c r="W195" s="149">
        <f>5.897+6.149</f>
        <v>12.045999999999999</v>
      </c>
      <c r="X195" s="149">
        <f t="shared" si="10"/>
        <v>32.042360000000002</v>
      </c>
      <c r="Y195" s="149"/>
    </row>
    <row r="196" spans="1:25" ht="16">
      <c r="A196" s="149" t="s">
        <v>12</v>
      </c>
      <c r="B196" s="150" t="s">
        <v>381</v>
      </c>
      <c r="C196" s="149" t="s">
        <v>1744</v>
      </c>
      <c r="D196" s="149" t="str">
        <f t="shared" si="11"/>
        <v>COFFS</v>
      </c>
      <c r="E196" s="149" t="s">
        <v>2548</v>
      </c>
      <c r="F196" s="149">
        <v>-30.012446000000001</v>
      </c>
      <c r="G196" s="149">
        <v>153.14997199999999</v>
      </c>
      <c r="H196" s="149">
        <v>0</v>
      </c>
      <c r="I196" s="151">
        <v>42992</v>
      </c>
      <c r="J196" s="149" t="s">
        <v>2097</v>
      </c>
      <c r="K196" s="149" t="s">
        <v>177</v>
      </c>
      <c r="L196" s="149" t="s">
        <v>1687</v>
      </c>
      <c r="M196" s="149" t="s">
        <v>2564</v>
      </c>
      <c r="N196" s="149" t="s">
        <v>2565</v>
      </c>
      <c r="O196" s="149" t="s">
        <v>2095</v>
      </c>
      <c r="P196" s="149" t="s">
        <v>2095</v>
      </c>
      <c r="Q196" s="149" t="s">
        <v>2686</v>
      </c>
      <c r="R196" s="149" t="s">
        <v>2713</v>
      </c>
      <c r="S196" s="149">
        <v>4.7600000000000003E-2</v>
      </c>
      <c r="T196" s="149">
        <v>3.8671999999999984E-2</v>
      </c>
      <c r="U196" s="70">
        <f t="shared" si="9"/>
        <v>8.9280000000000193E-3</v>
      </c>
      <c r="V196" s="149">
        <v>2.7149999999999999</v>
      </c>
      <c r="W196" s="149">
        <v>11.81</v>
      </c>
      <c r="X196" s="149">
        <f t="shared" si="10"/>
        <v>32.064149999999998</v>
      </c>
      <c r="Y196" s="149"/>
    </row>
    <row r="197" spans="1:25" ht="16">
      <c r="A197" s="149" t="s">
        <v>12</v>
      </c>
      <c r="B197" s="150" t="s">
        <v>382</v>
      </c>
      <c r="C197" s="149" t="s">
        <v>1744</v>
      </c>
      <c r="D197" s="149" t="str">
        <f t="shared" si="11"/>
        <v>COFFS</v>
      </c>
      <c r="E197" s="149" t="s">
        <v>2548</v>
      </c>
      <c r="F197" s="149">
        <v>-30.012446000000001</v>
      </c>
      <c r="G197" s="149">
        <v>153.14997199999999</v>
      </c>
      <c r="H197" s="149">
        <v>0</v>
      </c>
      <c r="I197" s="151">
        <v>42992</v>
      </c>
      <c r="J197" s="149" t="s">
        <v>2097</v>
      </c>
      <c r="K197" s="149" t="s">
        <v>177</v>
      </c>
      <c r="L197" s="149" t="s">
        <v>1687</v>
      </c>
      <c r="M197" s="149" t="s">
        <v>2564</v>
      </c>
      <c r="N197" s="149" t="s">
        <v>2565</v>
      </c>
      <c r="O197" s="149" t="s">
        <v>2733</v>
      </c>
      <c r="P197" s="149" t="s">
        <v>2733</v>
      </c>
      <c r="Q197" s="149" t="s">
        <v>2381</v>
      </c>
      <c r="R197" s="149" t="s">
        <v>2713</v>
      </c>
      <c r="S197" s="149">
        <v>4.3200000000000002E-2</v>
      </c>
      <c r="T197" s="149">
        <v>3.8671999999999984E-2</v>
      </c>
      <c r="U197" s="70">
        <f t="shared" si="9"/>
        <v>4.5280000000000181E-3</v>
      </c>
      <c r="V197" s="149">
        <v>2.1800000000000002</v>
      </c>
      <c r="W197" s="149">
        <v>9.2219999999999995</v>
      </c>
      <c r="X197" s="149">
        <f t="shared" si="10"/>
        <v>20.103960000000001</v>
      </c>
      <c r="Y197" s="149"/>
    </row>
    <row r="198" spans="1:25" ht="16">
      <c r="A198" s="149" t="s">
        <v>12</v>
      </c>
      <c r="B198" s="150" t="s">
        <v>383</v>
      </c>
      <c r="C198" s="149" t="s">
        <v>1744</v>
      </c>
      <c r="D198" s="149" t="str">
        <f t="shared" si="11"/>
        <v>COFFS</v>
      </c>
      <c r="E198" s="149" t="s">
        <v>2547</v>
      </c>
      <c r="F198" s="149">
        <v>-29.991299000000001</v>
      </c>
      <c r="G198" s="149">
        <v>153.143249</v>
      </c>
      <c r="H198" s="149">
        <v>0</v>
      </c>
      <c r="I198" s="151">
        <v>42979</v>
      </c>
      <c r="J198" s="149" t="s">
        <v>2098</v>
      </c>
      <c r="K198" s="149" t="s">
        <v>177</v>
      </c>
      <c r="L198" s="149" t="s">
        <v>2566</v>
      </c>
      <c r="M198" s="149" t="s">
        <v>2567</v>
      </c>
      <c r="N198" s="149" t="s">
        <v>2668</v>
      </c>
      <c r="O198" s="140" t="s">
        <v>2600</v>
      </c>
      <c r="P198" s="149" t="s">
        <v>2735</v>
      </c>
      <c r="Q198" s="149" t="s">
        <v>2384</v>
      </c>
      <c r="R198" s="149" t="s">
        <v>2713</v>
      </c>
      <c r="S198" s="149">
        <v>4.82E-2</v>
      </c>
      <c r="T198" s="149">
        <v>3.8671999999999984E-2</v>
      </c>
      <c r="U198" s="70">
        <f t="shared" si="9"/>
        <v>9.5280000000000156E-3</v>
      </c>
      <c r="V198" s="149">
        <v>2.92</v>
      </c>
      <c r="W198" s="149">
        <v>11.795</v>
      </c>
      <c r="X198" s="149">
        <f t="shared" si="10"/>
        <v>34.441400000000002</v>
      </c>
      <c r="Y198" s="149"/>
    </row>
    <row r="199" spans="1:25" ht="16">
      <c r="A199" s="149" t="s">
        <v>12</v>
      </c>
      <c r="B199" s="150" t="s">
        <v>384</v>
      </c>
      <c r="C199" s="149" t="s">
        <v>1744</v>
      </c>
      <c r="D199" s="149" t="str">
        <f t="shared" si="11"/>
        <v>COFFS</v>
      </c>
      <c r="E199" s="149" t="s">
        <v>2548</v>
      </c>
      <c r="F199" s="149">
        <v>-30.012446000000001</v>
      </c>
      <c r="G199" s="149">
        <v>153.14997199999999</v>
      </c>
      <c r="H199" s="149">
        <v>0</v>
      </c>
      <c r="I199" s="151">
        <v>42992</v>
      </c>
      <c r="J199" s="149" t="s">
        <v>2098</v>
      </c>
      <c r="K199" s="149" t="s">
        <v>177</v>
      </c>
      <c r="L199" s="149" t="s">
        <v>2566</v>
      </c>
      <c r="M199" s="149" t="s">
        <v>2567</v>
      </c>
      <c r="N199" s="149" t="s">
        <v>2668</v>
      </c>
      <c r="O199" s="140" t="s">
        <v>2600</v>
      </c>
      <c r="P199" s="149" t="s">
        <v>2735</v>
      </c>
      <c r="Q199" s="149" t="s">
        <v>2384</v>
      </c>
      <c r="R199" s="149" t="s">
        <v>2713</v>
      </c>
      <c r="S199" s="149">
        <v>4.1000000000000002E-2</v>
      </c>
      <c r="T199" s="149">
        <v>3.8671999999999984E-2</v>
      </c>
      <c r="U199" s="70">
        <f t="shared" si="9"/>
        <v>2.3280000000000176E-3</v>
      </c>
      <c r="V199" s="149">
        <v>2.2320000000000002</v>
      </c>
      <c r="W199" s="149">
        <f>5.023+4.988</f>
        <v>10.010999999999999</v>
      </c>
      <c r="X199" s="149">
        <f t="shared" si="10"/>
        <v>22.344552</v>
      </c>
      <c r="Y199" s="149"/>
    </row>
    <row r="200" spans="1:25" ht="16">
      <c r="A200" s="149" t="s">
        <v>12</v>
      </c>
      <c r="B200" s="150" t="s">
        <v>386</v>
      </c>
      <c r="C200" s="149" t="s">
        <v>1744</v>
      </c>
      <c r="D200" s="149" t="str">
        <f t="shared" si="11"/>
        <v>COFFS</v>
      </c>
      <c r="E200" s="149" t="s">
        <v>2545</v>
      </c>
      <c r="F200" s="160">
        <v>-30.004933000000001</v>
      </c>
      <c r="G200" s="70">
        <v>153.09672599999999</v>
      </c>
      <c r="H200" s="149">
        <v>0</v>
      </c>
      <c r="I200" s="151">
        <v>42985</v>
      </c>
      <c r="J200" s="149" t="s">
        <v>2098</v>
      </c>
      <c r="K200" s="149" t="s">
        <v>177</v>
      </c>
      <c r="L200" s="149" t="s">
        <v>2566</v>
      </c>
      <c r="M200" s="149" t="s">
        <v>2567</v>
      </c>
      <c r="N200" s="149" t="s">
        <v>2668</v>
      </c>
      <c r="O200" s="140" t="s">
        <v>2600</v>
      </c>
      <c r="P200" s="149" t="s">
        <v>2735</v>
      </c>
      <c r="Q200" s="149" t="s">
        <v>2384</v>
      </c>
      <c r="R200" s="149" t="s">
        <v>2713</v>
      </c>
      <c r="S200" s="149">
        <v>4.5999999999999999E-2</v>
      </c>
      <c r="T200" s="149">
        <v>3.8671999999999984E-2</v>
      </c>
      <c r="U200" s="70">
        <f t="shared" si="9"/>
        <v>7.3280000000000151E-3</v>
      </c>
      <c r="V200" s="149">
        <v>2.6080000000000001</v>
      </c>
      <c r="W200" s="149">
        <f>4.815+5.556</f>
        <v>10.371</v>
      </c>
      <c r="X200" s="149">
        <f t="shared" si="10"/>
        <v>27.047568000000002</v>
      </c>
      <c r="Y200" s="149"/>
    </row>
    <row r="201" spans="1:25" ht="16">
      <c r="A201" s="149" t="s">
        <v>12</v>
      </c>
      <c r="B201" s="150" t="s">
        <v>387</v>
      </c>
      <c r="C201" s="149" t="s">
        <v>1744</v>
      </c>
      <c r="D201" s="149" t="str">
        <f t="shared" si="11"/>
        <v>COFFS</v>
      </c>
      <c r="E201" s="149" t="s">
        <v>2548</v>
      </c>
      <c r="F201" s="149">
        <v>-30.012446000000001</v>
      </c>
      <c r="G201" s="149">
        <v>153.14997199999999</v>
      </c>
      <c r="H201" s="149">
        <v>0</v>
      </c>
      <c r="I201" s="151">
        <v>42992</v>
      </c>
      <c r="J201" s="149" t="s">
        <v>2098</v>
      </c>
      <c r="K201" s="149" t="s">
        <v>177</v>
      </c>
      <c r="L201" s="149" t="s">
        <v>2566</v>
      </c>
      <c r="M201" s="149" t="s">
        <v>2567</v>
      </c>
      <c r="N201" s="149" t="s">
        <v>2668</v>
      </c>
      <c r="O201" s="140" t="s">
        <v>2600</v>
      </c>
      <c r="P201" s="149" t="s">
        <v>2735</v>
      </c>
      <c r="Q201" s="149" t="s">
        <v>2384</v>
      </c>
      <c r="R201" s="149" t="s">
        <v>2713</v>
      </c>
      <c r="S201" s="149">
        <v>4.99E-2</v>
      </c>
      <c r="T201" s="149">
        <v>3.8671999999999984E-2</v>
      </c>
      <c r="U201" s="70">
        <f t="shared" si="9"/>
        <v>1.1228000000000016E-2</v>
      </c>
      <c r="V201" s="149">
        <v>2.923</v>
      </c>
      <c r="W201" s="149">
        <f>6.171+5.963</f>
        <v>12.134</v>
      </c>
      <c r="X201" s="149">
        <f t="shared" si="10"/>
        <v>35.467682000000003</v>
      </c>
      <c r="Y201" s="149"/>
    </row>
    <row r="202" spans="1:25" ht="16">
      <c r="A202" s="149" t="s">
        <v>12</v>
      </c>
      <c r="B202" s="150" t="s">
        <v>388</v>
      </c>
      <c r="C202" s="149" t="s">
        <v>1744</v>
      </c>
      <c r="D202" s="149" t="str">
        <f t="shared" si="11"/>
        <v>COFFS</v>
      </c>
      <c r="E202" s="149" t="s">
        <v>2548</v>
      </c>
      <c r="F202" s="149">
        <v>-30.012446000000001</v>
      </c>
      <c r="G202" s="149">
        <v>153.14997199999999</v>
      </c>
      <c r="H202" s="149">
        <v>0</v>
      </c>
      <c r="I202" s="151">
        <v>42992</v>
      </c>
      <c r="J202" s="149" t="s">
        <v>2097</v>
      </c>
      <c r="K202" s="149" t="s">
        <v>177</v>
      </c>
      <c r="L202" s="149" t="s">
        <v>1687</v>
      </c>
      <c r="M202" s="149" t="s">
        <v>2564</v>
      </c>
      <c r="N202" s="149" t="s">
        <v>2565</v>
      </c>
      <c r="O202" s="149" t="s">
        <v>2733</v>
      </c>
      <c r="P202" s="149" t="s">
        <v>2733</v>
      </c>
      <c r="Q202" s="149" t="s">
        <v>2381</v>
      </c>
      <c r="R202" s="149" t="s">
        <v>2713</v>
      </c>
      <c r="S202" s="149">
        <v>4.2200000000000001E-2</v>
      </c>
      <c r="T202" s="149">
        <v>3.8671999999999984E-2</v>
      </c>
      <c r="U202" s="70">
        <f t="shared" si="9"/>
        <v>3.5280000000000172E-3</v>
      </c>
      <c r="V202" s="149">
        <v>2.3199999999999998</v>
      </c>
      <c r="W202" s="149">
        <v>9.968</v>
      </c>
      <c r="X202" s="149">
        <f t="shared" si="10"/>
        <v>23.12576</v>
      </c>
      <c r="Y202" s="149"/>
    </row>
    <row r="203" spans="1:25" ht="16">
      <c r="A203" s="149" t="s">
        <v>12</v>
      </c>
      <c r="B203" s="150" t="s">
        <v>389</v>
      </c>
      <c r="C203" s="149" t="s">
        <v>1744</v>
      </c>
      <c r="D203" s="149" t="str">
        <f t="shared" si="11"/>
        <v>COFFS</v>
      </c>
      <c r="E203" s="149" t="s">
        <v>2547</v>
      </c>
      <c r="F203" s="149">
        <v>-29.991299000000001</v>
      </c>
      <c r="G203" s="149">
        <v>153.143249</v>
      </c>
      <c r="H203" s="149">
        <v>0</v>
      </c>
      <c r="I203" s="151">
        <v>42990</v>
      </c>
      <c r="J203" s="149" t="s">
        <v>2098</v>
      </c>
      <c r="K203" s="149" t="s">
        <v>177</v>
      </c>
      <c r="L203" s="149" t="s">
        <v>2566</v>
      </c>
      <c r="M203" s="149" t="s">
        <v>2574</v>
      </c>
      <c r="N203" s="140" t="s">
        <v>3191</v>
      </c>
      <c r="O203" s="149" t="s">
        <v>2111</v>
      </c>
      <c r="P203" s="149" t="s">
        <v>2739</v>
      </c>
      <c r="Q203" s="149" t="s">
        <v>2399</v>
      </c>
      <c r="R203" s="149" t="s">
        <v>2713</v>
      </c>
      <c r="S203" s="149">
        <v>7.1900000000000006E-2</v>
      </c>
      <c r="T203" s="149">
        <v>3.8671999999999984E-2</v>
      </c>
      <c r="U203" s="70">
        <f t="shared" si="9"/>
        <v>3.3228000000000021E-2</v>
      </c>
      <c r="V203" s="149">
        <v>4.0940000000000003</v>
      </c>
      <c r="W203" s="149">
        <f>7.421+8.002</f>
        <v>15.423000000000002</v>
      </c>
      <c r="X203" s="149">
        <f t="shared" si="10"/>
        <v>63.141762000000014</v>
      </c>
      <c r="Y203" s="149"/>
    </row>
    <row r="204" spans="1:25" ht="16">
      <c r="A204" s="149" t="s">
        <v>12</v>
      </c>
      <c r="B204" s="150" t="s">
        <v>390</v>
      </c>
      <c r="C204" s="149" t="s">
        <v>1744</v>
      </c>
      <c r="D204" s="149" t="str">
        <f t="shared" si="11"/>
        <v>COFFS</v>
      </c>
      <c r="E204" s="149" t="s">
        <v>2548</v>
      </c>
      <c r="F204" s="149">
        <v>-30.012446000000001</v>
      </c>
      <c r="G204" s="149">
        <v>153.14997199999999</v>
      </c>
      <c r="H204" s="149">
        <v>0</v>
      </c>
      <c r="I204" s="151">
        <v>42990</v>
      </c>
      <c r="J204" s="149" t="s">
        <v>2099</v>
      </c>
      <c r="K204" s="149" t="s">
        <v>177</v>
      </c>
      <c r="L204" s="149" t="s">
        <v>2566</v>
      </c>
      <c r="M204" s="149" t="s">
        <v>2567</v>
      </c>
      <c r="N204" s="149" t="s">
        <v>2668</v>
      </c>
      <c r="O204" s="140" t="s">
        <v>2600</v>
      </c>
      <c r="P204" s="149" t="s">
        <v>2735</v>
      </c>
      <c r="Q204" s="149" t="s">
        <v>2384</v>
      </c>
      <c r="R204" s="149" t="s">
        <v>2713</v>
      </c>
      <c r="S204" s="149">
        <v>4.7E-2</v>
      </c>
      <c r="T204" s="149">
        <v>3.8671999999999984E-2</v>
      </c>
      <c r="U204" s="70">
        <f t="shared" ref="U204:U205" si="12">S204-T204</f>
        <v>8.3280000000000159E-3</v>
      </c>
      <c r="V204" s="149">
        <v>2.6739999999999999</v>
      </c>
      <c r="W204" s="149">
        <f>6.258+5.718</f>
        <v>11.975999999999999</v>
      </c>
      <c r="X204" s="149">
        <f t="shared" si="10"/>
        <v>32.023823999999998</v>
      </c>
      <c r="Y204" s="149"/>
    </row>
    <row r="205" spans="1:25" ht="16">
      <c r="A205" s="149" t="s">
        <v>12</v>
      </c>
      <c r="B205" s="150" t="s">
        <v>391</v>
      </c>
      <c r="C205" s="149" t="s">
        <v>1744</v>
      </c>
      <c r="D205" s="149" t="str">
        <f t="shared" si="11"/>
        <v>COFFS</v>
      </c>
      <c r="E205" s="149" t="s">
        <v>2552</v>
      </c>
      <c r="F205" s="160">
        <v>-30.004933000000001</v>
      </c>
      <c r="G205" s="70">
        <v>153.09672599999999</v>
      </c>
      <c r="H205" s="149">
        <v>0</v>
      </c>
      <c r="I205" s="151">
        <v>42990</v>
      </c>
      <c r="J205" s="149" t="s">
        <v>2098</v>
      </c>
      <c r="K205" s="149" t="s">
        <v>177</v>
      </c>
      <c r="L205" s="149" t="s">
        <v>2566</v>
      </c>
      <c r="M205" s="149" t="s">
        <v>2567</v>
      </c>
      <c r="N205" s="149" t="s">
        <v>2668</v>
      </c>
      <c r="O205" s="140" t="s">
        <v>2600</v>
      </c>
      <c r="P205" s="149" t="s">
        <v>2735</v>
      </c>
      <c r="Q205" s="149" t="s">
        <v>2384</v>
      </c>
      <c r="R205" s="149" t="s">
        <v>2713</v>
      </c>
      <c r="S205" s="149">
        <v>4.9399999999999999E-2</v>
      </c>
      <c r="T205" s="149">
        <v>3.8671999999999984E-2</v>
      </c>
      <c r="U205" s="70">
        <f t="shared" si="12"/>
        <v>1.0728000000000015E-2</v>
      </c>
      <c r="V205" s="149">
        <v>3.044</v>
      </c>
      <c r="W205" s="149">
        <f>6.224+6.448</f>
        <v>12.672000000000001</v>
      </c>
      <c r="X205" s="149">
        <f t="shared" si="10"/>
        <v>38.573568000000002</v>
      </c>
      <c r="Y205" s="149"/>
    </row>
    <row r="206" spans="1:25" ht="16">
      <c r="A206" s="149" t="s">
        <v>12</v>
      </c>
      <c r="B206" s="150" t="s">
        <v>392</v>
      </c>
      <c r="C206" s="149" t="s">
        <v>1744</v>
      </c>
      <c r="D206" s="149" t="str">
        <f t="shared" si="11"/>
        <v>COFFS</v>
      </c>
      <c r="E206" s="149" t="s">
        <v>2547</v>
      </c>
      <c r="F206" s="149">
        <v>-29.991299000000001</v>
      </c>
      <c r="G206" s="149">
        <v>153.143249</v>
      </c>
      <c r="H206" s="149">
        <v>0</v>
      </c>
      <c r="I206" s="151">
        <v>42990</v>
      </c>
      <c r="J206" s="149" t="s">
        <v>2097</v>
      </c>
      <c r="K206" s="149" t="s">
        <v>177</v>
      </c>
      <c r="L206" s="149" t="s">
        <v>1687</v>
      </c>
      <c r="M206" s="149" t="s">
        <v>2564</v>
      </c>
      <c r="N206" s="149" t="s">
        <v>2577</v>
      </c>
      <c r="O206" s="149" t="s">
        <v>2742</v>
      </c>
      <c r="P206" s="149" t="s">
        <v>2740</v>
      </c>
      <c r="Q206" s="149" t="s">
        <v>2389</v>
      </c>
      <c r="R206" s="149" t="s">
        <v>2712</v>
      </c>
      <c r="S206" s="149">
        <v>0.1235</v>
      </c>
      <c r="T206" s="149">
        <v>3.8671999999999984E-2</v>
      </c>
      <c r="U206" s="70">
        <f t="shared" ref="U206:U237" si="13">S206-T206</f>
        <v>8.4828000000000015E-2</v>
      </c>
      <c r="V206" s="149">
        <v>8.5466999999999995</v>
      </c>
      <c r="W206" s="149">
        <f>14.027+10.848</f>
        <v>24.875</v>
      </c>
      <c r="X206" s="149">
        <f t="shared" si="10"/>
        <v>212.59916249999998</v>
      </c>
      <c r="Y206" s="149"/>
    </row>
    <row r="207" spans="1:25" ht="16">
      <c r="A207" s="149" t="s">
        <v>12</v>
      </c>
      <c r="B207" s="150" t="s">
        <v>393</v>
      </c>
      <c r="C207" s="149" t="s">
        <v>1744</v>
      </c>
      <c r="D207" s="149" t="str">
        <f t="shared" si="11"/>
        <v>COFFS</v>
      </c>
      <c r="E207" s="149" t="s">
        <v>2548</v>
      </c>
      <c r="F207" s="149">
        <v>-30.012446000000001</v>
      </c>
      <c r="G207" s="149">
        <v>153.14997199999999</v>
      </c>
      <c r="H207" s="149">
        <v>0</v>
      </c>
      <c r="I207" s="151">
        <v>42990</v>
      </c>
      <c r="J207" s="149" t="s">
        <v>2097</v>
      </c>
      <c r="K207" s="149" t="s">
        <v>177</v>
      </c>
      <c r="L207" s="149" t="s">
        <v>1687</v>
      </c>
      <c r="M207" s="149" t="s">
        <v>2564</v>
      </c>
      <c r="N207" s="149" t="s">
        <v>2565</v>
      </c>
      <c r="O207" s="149" t="s">
        <v>2733</v>
      </c>
      <c r="P207" s="149" t="s">
        <v>2733</v>
      </c>
      <c r="Q207" s="149" t="s">
        <v>2381</v>
      </c>
      <c r="R207" s="149" t="s">
        <v>2713</v>
      </c>
      <c r="S207" s="149">
        <v>4.2999999999999997E-2</v>
      </c>
      <c r="T207" s="149">
        <v>3.8671999999999984E-2</v>
      </c>
      <c r="U207" s="70">
        <f t="shared" si="13"/>
        <v>4.3280000000000124E-3</v>
      </c>
      <c r="V207" s="149">
        <v>2.2290000000000001</v>
      </c>
      <c r="W207" s="149">
        <f>4.701+5.398</f>
        <v>10.099</v>
      </c>
      <c r="X207" s="149">
        <f t="shared" si="10"/>
        <v>22.510671000000002</v>
      </c>
      <c r="Y207" s="149"/>
    </row>
    <row r="208" spans="1:25" ht="16">
      <c r="A208" s="149" t="s">
        <v>12</v>
      </c>
      <c r="B208" s="150" t="s">
        <v>394</v>
      </c>
      <c r="C208" s="149" t="s">
        <v>1744</v>
      </c>
      <c r="D208" s="149" t="str">
        <f t="shared" si="11"/>
        <v>COFFS</v>
      </c>
      <c r="E208" s="149" t="s">
        <v>2548</v>
      </c>
      <c r="F208" s="149">
        <v>-30.012446000000001</v>
      </c>
      <c r="G208" s="149">
        <v>153.14997199999999</v>
      </c>
      <c r="H208" s="149">
        <v>0</v>
      </c>
      <c r="I208" s="151">
        <v>42990</v>
      </c>
      <c r="J208" s="149" t="s">
        <v>2097</v>
      </c>
      <c r="K208" s="149" t="s">
        <v>177</v>
      </c>
      <c r="L208" s="149" t="s">
        <v>1687</v>
      </c>
      <c r="M208" s="149" t="s">
        <v>2564</v>
      </c>
      <c r="N208" s="149" t="s">
        <v>2565</v>
      </c>
      <c r="O208" s="149" t="s">
        <v>2095</v>
      </c>
      <c r="P208" s="149" t="s">
        <v>2095</v>
      </c>
      <c r="Q208" s="149" t="s">
        <v>2686</v>
      </c>
      <c r="R208" s="149" t="s">
        <v>2713</v>
      </c>
      <c r="S208" s="149">
        <v>4.24E-2</v>
      </c>
      <c r="T208" s="149">
        <v>3.8671999999999984E-2</v>
      </c>
      <c r="U208" s="70">
        <f t="shared" si="13"/>
        <v>3.728000000000016E-3</v>
      </c>
      <c r="V208" s="149">
        <v>1.889</v>
      </c>
      <c r="W208" s="149">
        <v>9.3119999999999994</v>
      </c>
      <c r="X208" s="149">
        <f t="shared" si="10"/>
        <v>17.590367999999998</v>
      </c>
      <c r="Y208" s="149"/>
    </row>
    <row r="209" spans="1:25" ht="16">
      <c r="A209" s="149" t="s">
        <v>12</v>
      </c>
      <c r="B209" s="150" t="s">
        <v>395</v>
      </c>
      <c r="C209" s="149" t="s">
        <v>1744</v>
      </c>
      <c r="D209" s="149" t="str">
        <f t="shared" si="11"/>
        <v>COFFS</v>
      </c>
      <c r="E209" s="149" t="s">
        <v>2552</v>
      </c>
      <c r="F209" s="160">
        <v>-30.004933000000001</v>
      </c>
      <c r="G209" s="70">
        <v>153.09672599999999</v>
      </c>
      <c r="H209" s="149">
        <v>0</v>
      </c>
      <c r="I209" s="151">
        <v>42990</v>
      </c>
      <c r="J209" s="149" t="s">
        <v>2098</v>
      </c>
      <c r="K209" s="149" t="s">
        <v>177</v>
      </c>
      <c r="L209" s="149" t="s">
        <v>2566</v>
      </c>
      <c r="M209" s="149" t="s">
        <v>2567</v>
      </c>
      <c r="N209" s="149" t="s">
        <v>2668</v>
      </c>
      <c r="O209" s="140" t="s">
        <v>2600</v>
      </c>
      <c r="P209" s="149" t="s">
        <v>2735</v>
      </c>
      <c r="Q209" s="149" t="s">
        <v>2384</v>
      </c>
      <c r="R209" s="149" t="s">
        <v>2713</v>
      </c>
      <c r="S209" s="149">
        <v>4.4999999999999998E-2</v>
      </c>
      <c r="T209" s="149">
        <v>3.8671999999999984E-2</v>
      </c>
      <c r="U209" s="70">
        <f t="shared" si="13"/>
        <v>6.3280000000000142E-3</v>
      </c>
      <c r="V209" s="149">
        <v>2.6080000000000001</v>
      </c>
      <c r="W209" s="149">
        <f>5.851+5.702</f>
        <v>11.553000000000001</v>
      </c>
      <c r="X209" s="149">
        <f t="shared" si="10"/>
        <v>30.130224000000002</v>
      </c>
      <c r="Y209" s="149"/>
    </row>
    <row r="210" spans="1:25" ht="16">
      <c r="A210" s="149" t="s">
        <v>12</v>
      </c>
      <c r="B210" s="150" t="s">
        <v>396</v>
      </c>
      <c r="C210" s="149" t="s">
        <v>1744</v>
      </c>
      <c r="D210" s="149" t="str">
        <f t="shared" si="11"/>
        <v>COFFS</v>
      </c>
      <c r="E210" s="149" t="s">
        <v>2547</v>
      </c>
      <c r="F210" s="149">
        <v>-29.991299000000001</v>
      </c>
      <c r="G210" s="149">
        <v>153.143249</v>
      </c>
      <c r="H210" s="149">
        <v>0</v>
      </c>
      <c r="I210" s="151">
        <v>42991</v>
      </c>
      <c r="J210" s="149" t="s">
        <v>2097</v>
      </c>
      <c r="K210" s="149" t="s">
        <v>177</v>
      </c>
      <c r="L210" s="149" t="s">
        <v>1687</v>
      </c>
      <c r="M210" s="149" t="s">
        <v>2564</v>
      </c>
      <c r="N210" s="149" t="s">
        <v>2577</v>
      </c>
      <c r="O210" s="149" t="s">
        <v>2742</v>
      </c>
      <c r="P210" s="149" t="s">
        <v>2740</v>
      </c>
      <c r="Q210" s="149" t="s">
        <v>2389</v>
      </c>
      <c r="R210" s="149" t="s">
        <v>2713</v>
      </c>
      <c r="S210" s="149">
        <v>0.16220000000000001</v>
      </c>
      <c r="T210" s="149">
        <v>3.8671999999999984E-2</v>
      </c>
      <c r="U210" s="70">
        <f t="shared" si="13"/>
        <v>0.12352800000000003</v>
      </c>
      <c r="V210" s="149">
        <v>7.9470000000000001</v>
      </c>
      <c r="W210" s="149">
        <f>12.056+14.546</f>
        <v>26.601999999999997</v>
      </c>
      <c r="X210" s="149">
        <f t="shared" si="10"/>
        <v>211.40609399999997</v>
      </c>
      <c r="Y210" s="149"/>
    </row>
    <row r="211" spans="1:25" ht="16">
      <c r="A211" s="149" t="s">
        <v>12</v>
      </c>
      <c r="B211" s="150" t="s">
        <v>397</v>
      </c>
      <c r="C211" s="149" t="s">
        <v>1744</v>
      </c>
      <c r="D211" s="149" t="str">
        <f t="shared" si="11"/>
        <v>COFFS</v>
      </c>
      <c r="E211" s="149" t="s">
        <v>2547</v>
      </c>
      <c r="F211" s="149">
        <v>-29.991299000000001</v>
      </c>
      <c r="G211" s="149">
        <v>153.143249</v>
      </c>
      <c r="H211" s="149">
        <v>0</v>
      </c>
      <c r="I211" s="151">
        <v>42991</v>
      </c>
      <c r="J211" s="149" t="s">
        <v>2097</v>
      </c>
      <c r="K211" s="149" t="s">
        <v>177</v>
      </c>
      <c r="L211" s="149" t="s">
        <v>1687</v>
      </c>
      <c r="M211" s="149" t="s">
        <v>2564</v>
      </c>
      <c r="N211" s="149" t="s">
        <v>2577</v>
      </c>
      <c r="O211" s="149" t="s">
        <v>2742</v>
      </c>
      <c r="P211" s="149" t="s">
        <v>2740</v>
      </c>
      <c r="Q211" s="149" t="s">
        <v>2389</v>
      </c>
      <c r="R211" s="149" t="s">
        <v>2713</v>
      </c>
      <c r="S211" s="149">
        <v>0.14799999999999999</v>
      </c>
      <c r="T211" s="149">
        <v>3.8671999999999984E-2</v>
      </c>
      <c r="U211" s="70">
        <f t="shared" si="13"/>
        <v>0.10932800000000001</v>
      </c>
      <c r="V211" s="149">
        <v>6.9</v>
      </c>
      <c r="W211" s="149">
        <f>10.558+13.779</f>
        <v>24.337</v>
      </c>
      <c r="X211" s="149">
        <f t="shared" si="10"/>
        <v>167.92529999999999</v>
      </c>
      <c r="Y211" s="149"/>
    </row>
    <row r="212" spans="1:25" ht="16">
      <c r="A212" s="149" t="s">
        <v>12</v>
      </c>
      <c r="B212" s="150" t="s">
        <v>398</v>
      </c>
      <c r="C212" s="149" t="s">
        <v>1744</v>
      </c>
      <c r="D212" s="149" t="str">
        <f t="shared" si="11"/>
        <v>COFFS</v>
      </c>
      <c r="E212" s="149" t="s">
        <v>2549</v>
      </c>
      <c r="F212" s="149">
        <v>-30.010960000000001</v>
      </c>
      <c r="G212" s="149">
        <v>153.13486599999999</v>
      </c>
      <c r="H212" s="149">
        <v>0</v>
      </c>
      <c r="I212" s="151">
        <v>42997</v>
      </c>
      <c r="J212" s="149" t="s">
        <v>2097</v>
      </c>
      <c r="K212" s="149" t="s">
        <v>177</v>
      </c>
      <c r="L212" s="149" t="s">
        <v>1687</v>
      </c>
      <c r="M212" s="149" t="s">
        <v>2564</v>
      </c>
      <c r="N212" s="149" t="s">
        <v>2577</v>
      </c>
      <c r="O212" s="149" t="s">
        <v>2742</v>
      </c>
      <c r="P212" s="149" t="s">
        <v>2740</v>
      </c>
      <c r="Q212" s="149" t="s">
        <v>2389</v>
      </c>
      <c r="R212" s="149" t="s">
        <v>2712</v>
      </c>
      <c r="S212" s="149">
        <v>0.1386</v>
      </c>
      <c r="T212" s="149">
        <v>3.8671999999999984E-2</v>
      </c>
      <c r="U212" s="70">
        <f t="shared" si="13"/>
        <v>9.9928000000000017E-2</v>
      </c>
      <c r="V212" s="149">
        <v>8.5069999999999997</v>
      </c>
      <c r="W212" s="149">
        <f>13.969+11.209</f>
        <v>25.177999999999997</v>
      </c>
      <c r="X212" s="149">
        <f t="shared" si="10"/>
        <v>214.18924599999997</v>
      </c>
      <c r="Y212" s="149"/>
    </row>
    <row r="213" spans="1:25" ht="16">
      <c r="A213" s="149" t="s">
        <v>12</v>
      </c>
      <c r="B213" s="150" t="s">
        <v>399</v>
      </c>
      <c r="C213" s="149" t="s">
        <v>1744</v>
      </c>
      <c r="D213" s="149" t="str">
        <f t="shared" si="11"/>
        <v>COFFS</v>
      </c>
      <c r="E213" s="149" t="s">
        <v>2547</v>
      </c>
      <c r="F213" s="149">
        <v>-29.991299000000001</v>
      </c>
      <c r="G213" s="149">
        <v>153.143249</v>
      </c>
      <c r="H213" s="149">
        <v>0</v>
      </c>
      <c r="I213" s="151">
        <v>42990</v>
      </c>
      <c r="J213" s="149" t="s">
        <v>2097</v>
      </c>
      <c r="K213" s="149" t="s">
        <v>177</v>
      </c>
      <c r="L213" s="149" t="s">
        <v>1687</v>
      </c>
      <c r="M213" s="149" t="s">
        <v>2564</v>
      </c>
      <c r="N213" s="149" t="s">
        <v>2577</v>
      </c>
      <c r="O213" s="149" t="s">
        <v>2742</v>
      </c>
      <c r="P213" s="149" t="s">
        <v>2780</v>
      </c>
      <c r="Q213" s="149" t="s">
        <v>2388</v>
      </c>
      <c r="R213" s="149" t="s">
        <v>2713</v>
      </c>
      <c r="S213" s="149">
        <v>0.27</v>
      </c>
      <c r="T213" s="149">
        <v>3.8671999999999984E-2</v>
      </c>
      <c r="U213" s="70">
        <f t="shared" si="13"/>
        <v>0.23132800000000003</v>
      </c>
      <c r="V213" s="149">
        <v>11.282</v>
      </c>
      <c r="W213" s="149">
        <f>6.671+14.978+14.504</f>
        <v>36.152999999999999</v>
      </c>
      <c r="X213" s="149">
        <f t="shared" si="10"/>
        <v>407.87814599999996</v>
      </c>
      <c r="Y213" s="149"/>
    </row>
    <row r="214" spans="1:25" ht="16">
      <c r="A214" s="149" t="s">
        <v>12</v>
      </c>
      <c r="B214" s="150" t="s">
        <v>400</v>
      </c>
      <c r="C214" s="149" t="s">
        <v>1744</v>
      </c>
      <c r="D214" s="149" t="str">
        <f t="shared" si="11"/>
        <v>COFFS</v>
      </c>
      <c r="E214" s="149" t="s">
        <v>2549</v>
      </c>
      <c r="F214" s="149">
        <v>-30.010960000000001</v>
      </c>
      <c r="G214" s="149">
        <v>153.13486599999999</v>
      </c>
      <c r="H214" s="149">
        <v>0</v>
      </c>
      <c r="I214" s="151">
        <v>42982</v>
      </c>
      <c r="J214" s="149" t="s">
        <v>2097</v>
      </c>
      <c r="K214" s="149" t="s">
        <v>177</v>
      </c>
      <c r="L214" s="149" t="s">
        <v>1687</v>
      </c>
      <c r="M214" s="149" t="s">
        <v>2564</v>
      </c>
      <c r="N214" s="149" t="s">
        <v>2577</v>
      </c>
      <c r="O214" s="149" t="s">
        <v>2742</v>
      </c>
      <c r="P214" s="149" t="s">
        <v>2740</v>
      </c>
      <c r="Q214" s="149" t="s">
        <v>2389</v>
      </c>
      <c r="R214" s="149" t="s">
        <v>2712</v>
      </c>
      <c r="S214" s="149">
        <v>0.1236</v>
      </c>
      <c r="T214" s="149">
        <v>3.8671999999999984E-2</v>
      </c>
      <c r="U214" s="70">
        <f t="shared" si="13"/>
        <v>8.4928000000000017E-2</v>
      </c>
      <c r="V214" s="149">
        <v>8.2159999999999993</v>
      </c>
      <c r="W214" s="149">
        <f>11.769+12.706</f>
        <v>24.475000000000001</v>
      </c>
      <c r="X214" s="149">
        <f t="shared" si="10"/>
        <v>201.0866</v>
      </c>
      <c r="Y214" s="149"/>
    </row>
    <row r="215" spans="1:25" ht="16">
      <c r="A215" s="149" t="s">
        <v>12</v>
      </c>
      <c r="B215" s="150" t="s">
        <v>401</v>
      </c>
      <c r="C215" s="149" t="s">
        <v>1744</v>
      </c>
      <c r="D215" s="149" t="str">
        <f t="shared" si="11"/>
        <v>COFFS</v>
      </c>
      <c r="E215" s="149" t="s">
        <v>2547</v>
      </c>
      <c r="F215" s="149">
        <v>-29.991299000000001</v>
      </c>
      <c r="G215" s="149">
        <v>153.143249</v>
      </c>
      <c r="H215" s="149">
        <v>0</v>
      </c>
      <c r="I215" s="151">
        <v>42991</v>
      </c>
      <c r="J215" s="149" t="s">
        <v>2097</v>
      </c>
      <c r="K215" s="149" t="s">
        <v>177</v>
      </c>
      <c r="L215" s="149" t="s">
        <v>1687</v>
      </c>
      <c r="M215" s="149" t="s">
        <v>2564</v>
      </c>
      <c r="N215" s="149" t="s">
        <v>2577</v>
      </c>
      <c r="O215" s="149" t="s">
        <v>2742</v>
      </c>
      <c r="P215" s="149" t="s">
        <v>2740</v>
      </c>
      <c r="Q215" s="149" t="s">
        <v>2389</v>
      </c>
      <c r="R215" s="149" t="s">
        <v>2713</v>
      </c>
      <c r="S215" s="149">
        <v>0.1094</v>
      </c>
      <c r="T215" s="149">
        <v>3.8671999999999984E-2</v>
      </c>
      <c r="U215" s="70">
        <f t="shared" si="13"/>
        <v>7.0728000000000013E-2</v>
      </c>
      <c r="V215" s="149">
        <v>7.2240000000000002</v>
      </c>
      <c r="W215" s="149">
        <f>14.111+9.61</f>
        <v>23.721</v>
      </c>
      <c r="X215" s="149">
        <f t="shared" si="10"/>
        <v>171.36050399999999</v>
      </c>
      <c r="Y215" s="149"/>
    </row>
    <row r="216" spans="1:25" ht="16">
      <c r="A216" s="149" t="s">
        <v>12</v>
      </c>
      <c r="B216" s="150" t="s">
        <v>402</v>
      </c>
      <c r="C216" s="149" t="s">
        <v>1744</v>
      </c>
      <c r="D216" s="149" t="str">
        <f t="shared" si="11"/>
        <v>COFFS</v>
      </c>
      <c r="E216" s="149" t="s">
        <v>2547</v>
      </c>
      <c r="F216" s="149">
        <v>-29.991299000000001</v>
      </c>
      <c r="G216" s="149">
        <v>153.143249</v>
      </c>
      <c r="H216" s="149">
        <v>0</v>
      </c>
      <c r="I216" s="151">
        <v>42990</v>
      </c>
      <c r="J216" s="149" t="s">
        <v>2097</v>
      </c>
      <c r="K216" s="149" t="s">
        <v>177</v>
      </c>
      <c r="L216" s="149" t="s">
        <v>1687</v>
      </c>
      <c r="M216" s="149" t="s">
        <v>2564</v>
      </c>
      <c r="N216" s="149" t="s">
        <v>2577</v>
      </c>
      <c r="O216" s="149" t="s">
        <v>2742</v>
      </c>
      <c r="P216" s="149" t="s">
        <v>2740</v>
      </c>
      <c r="Q216" s="149" t="s">
        <v>2389</v>
      </c>
      <c r="R216" s="149" t="s">
        <v>2713</v>
      </c>
      <c r="S216" s="149">
        <v>0.13880000000000001</v>
      </c>
      <c r="T216" s="149">
        <v>3.8671999999999984E-2</v>
      </c>
      <c r="U216" s="70">
        <f t="shared" si="13"/>
        <v>0.10012800000000002</v>
      </c>
      <c r="V216" s="149">
        <v>7.0830000000000002</v>
      </c>
      <c r="W216" s="149">
        <f>14.152+9.875</f>
        <v>24.027000000000001</v>
      </c>
      <c r="X216" s="149">
        <f t="shared" si="10"/>
        <v>170.18324100000001</v>
      </c>
      <c r="Y216" s="149"/>
    </row>
    <row r="217" spans="1:25" ht="16">
      <c r="A217" s="149" t="s">
        <v>12</v>
      </c>
      <c r="B217" s="150" t="s">
        <v>403</v>
      </c>
      <c r="C217" s="149" t="s">
        <v>1744</v>
      </c>
      <c r="D217" s="149" t="str">
        <f t="shared" si="11"/>
        <v>COFFS</v>
      </c>
      <c r="E217" s="149" t="s">
        <v>2547</v>
      </c>
      <c r="F217" s="149">
        <v>-29.991299000000001</v>
      </c>
      <c r="G217" s="149">
        <v>153.143249</v>
      </c>
      <c r="H217" s="149">
        <v>0</v>
      </c>
      <c r="I217" s="151">
        <v>42991</v>
      </c>
      <c r="J217" s="149" t="s">
        <v>2097</v>
      </c>
      <c r="K217" s="149" t="s">
        <v>177</v>
      </c>
      <c r="L217" s="149" t="s">
        <v>1687</v>
      </c>
      <c r="M217" s="149" t="s">
        <v>2564</v>
      </c>
      <c r="N217" s="149" t="s">
        <v>2577</v>
      </c>
      <c r="O217" s="149" t="s">
        <v>2742</v>
      </c>
      <c r="P217" s="149" t="s">
        <v>2740</v>
      </c>
      <c r="Q217" s="149" t="s">
        <v>2389</v>
      </c>
      <c r="R217" s="149" t="s">
        <v>2713</v>
      </c>
      <c r="S217" s="149">
        <v>0.114</v>
      </c>
      <c r="T217" s="149">
        <v>3.8671999999999984E-2</v>
      </c>
      <c r="U217" s="70">
        <f t="shared" si="13"/>
        <v>7.532800000000002E-2</v>
      </c>
      <c r="V217" s="149">
        <v>6.944</v>
      </c>
      <c r="W217" s="149">
        <f>12.611+9.668</f>
        <v>22.279</v>
      </c>
      <c r="X217" s="149">
        <f t="shared" si="10"/>
        <v>154.705376</v>
      </c>
      <c r="Y217" s="149"/>
    </row>
    <row r="218" spans="1:25" ht="16">
      <c r="A218" s="149" t="s">
        <v>12</v>
      </c>
      <c r="B218" s="150" t="s">
        <v>404</v>
      </c>
      <c r="C218" s="149" t="s">
        <v>1744</v>
      </c>
      <c r="D218" s="149" t="str">
        <f t="shared" si="11"/>
        <v>COFFS</v>
      </c>
      <c r="E218" s="149" t="s">
        <v>2549</v>
      </c>
      <c r="F218" s="149">
        <v>-30.010960000000001</v>
      </c>
      <c r="G218" s="149">
        <v>153.13486599999999</v>
      </c>
      <c r="H218" s="149">
        <v>0</v>
      </c>
      <c r="I218" s="151">
        <v>42982</v>
      </c>
      <c r="J218" s="149" t="s">
        <v>2097</v>
      </c>
      <c r="K218" s="149" t="s">
        <v>177</v>
      </c>
      <c r="L218" s="149" t="s">
        <v>1687</v>
      </c>
      <c r="M218" s="149" t="s">
        <v>2564</v>
      </c>
      <c r="N218" s="149" t="s">
        <v>2577</v>
      </c>
      <c r="O218" s="149" t="s">
        <v>2742</v>
      </c>
      <c r="P218" s="149" t="s">
        <v>2780</v>
      </c>
      <c r="Q218" s="149" t="s">
        <v>2388</v>
      </c>
      <c r="R218" s="149" t="s">
        <v>2713</v>
      </c>
      <c r="S218" s="149">
        <v>0.25419999999999998</v>
      </c>
      <c r="T218" s="149">
        <v>3.8671999999999984E-2</v>
      </c>
      <c r="U218" s="70">
        <f t="shared" si="13"/>
        <v>0.215528</v>
      </c>
      <c r="V218" s="149">
        <v>10.19</v>
      </c>
      <c r="W218" s="149">
        <f>19.484+14.533</f>
        <v>34.017000000000003</v>
      </c>
      <c r="X218" s="149">
        <f t="shared" si="10"/>
        <v>346.63323000000003</v>
      </c>
      <c r="Y218" s="149"/>
    </row>
    <row r="219" spans="1:25" ht="16">
      <c r="A219" s="149" t="s">
        <v>12</v>
      </c>
      <c r="B219" s="150" t="s">
        <v>405</v>
      </c>
      <c r="C219" s="149" t="s">
        <v>1744</v>
      </c>
      <c r="D219" s="149" t="str">
        <f t="shared" si="11"/>
        <v>COFFS</v>
      </c>
      <c r="E219" s="149" t="s">
        <v>2547</v>
      </c>
      <c r="F219" s="149">
        <v>-29.991299000000001</v>
      </c>
      <c r="G219" s="149">
        <v>153.143249</v>
      </c>
      <c r="H219" s="149">
        <v>0</v>
      </c>
      <c r="I219" s="151">
        <v>42991</v>
      </c>
      <c r="J219" s="149" t="s">
        <v>2097</v>
      </c>
      <c r="K219" s="149" t="s">
        <v>177</v>
      </c>
      <c r="L219" s="149" t="s">
        <v>1687</v>
      </c>
      <c r="M219" s="149" t="s">
        <v>2564</v>
      </c>
      <c r="N219" s="149" t="s">
        <v>2577</v>
      </c>
      <c r="O219" s="149" t="s">
        <v>2742</v>
      </c>
      <c r="P219" s="149" t="s">
        <v>2740</v>
      </c>
      <c r="Q219" s="149" t="s">
        <v>2389</v>
      </c>
      <c r="R219" s="149" t="s">
        <v>2713</v>
      </c>
      <c r="S219" s="149">
        <v>0.154</v>
      </c>
      <c r="T219" s="149">
        <v>3.8671999999999984E-2</v>
      </c>
      <c r="U219" s="70">
        <f t="shared" si="13"/>
        <v>0.11532800000000001</v>
      </c>
      <c r="V219" s="149">
        <v>7.9050000000000002</v>
      </c>
      <c r="W219" s="149">
        <f>12.576+10.978</f>
        <v>23.554000000000002</v>
      </c>
      <c r="X219" s="149">
        <f t="shared" si="10"/>
        <v>186.19437000000002</v>
      </c>
      <c r="Y219" s="149"/>
    </row>
    <row r="220" spans="1:25" ht="16">
      <c r="A220" s="149" t="s">
        <v>12</v>
      </c>
      <c r="B220" s="150" t="s">
        <v>406</v>
      </c>
      <c r="C220" s="149" t="s">
        <v>1744</v>
      </c>
      <c r="D220" s="149" t="str">
        <f t="shared" si="11"/>
        <v>COFFS</v>
      </c>
      <c r="E220" s="149" t="s">
        <v>2547</v>
      </c>
      <c r="F220" s="149">
        <v>-29.991299000000001</v>
      </c>
      <c r="G220" s="149">
        <v>153.143249</v>
      </c>
      <c r="H220" s="149">
        <v>0</v>
      </c>
      <c r="I220" s="151">
        <v>42991</v>
      </c>
      <c r="J220" s="149" t="s">
        <v>2097</v>
      </c>
      <c r="K220" s="149" t="s">
        <v>177</v>
      </c>
      <c r="L220" s="149" t="s">
        <v>1687</v>
      </c>
      <c r="M220" s="149" t="s">
        <v>2564</v>
      </c>
      <c r="N220" s="149" t="s">
        <v>2577</v>
      </c>
      <c r="O220" s="149" t="s">
        <v>2742</v>
      </c>
      <c r="P220" s="149" t="s">
        <v>2740</v>
      </c>
      <c r="Q220" s="149" t="s">
        <v>2389</v>
      </c>
      <c r="R220" s="149" t="s">
        <v>2713</v>
      </c>
      <c r="S220" s="149">
        <v>0.15579999999999999</v>
      </c>
      <c r="T220" s="149">
        <v>3.8671999999999984E-2</v>
      </c>
      <c r="U220" s="70">
        <f t="shared" si="13"/>
        <v>0.11712800000000001</v>
      </c>
      <c r="V220" s="149">
        <v>7.1470000000000002</v>
      </c>
      <c r="W220" s="149">
        <f>10.77+14.219</f>
        <v>24.988999999999997</v>
      </c>
      <c r="X220" s="149">
        <f t="shared" si="10"/>
        <v>178.59638299999997</v>
      </c>
      <c r="Y220" s="149"/>
    </row>
    <row r="221" spans="1:25" ht="16">
      <c r="A221" s="149" t="s">
        <v>12</v>
      </c>
      <c r="B221" s="150" t="s">
        <v>2247</v>
      </c>
      <c r="C221" s="149" t="s">
        <v>1744</v>
      </c>
      <c r="D221" s="149" t="s">
        <v>3553</v>
      </c>
      <c r="E221" s="149" t="s">
        <v>2415</v>
      </c>
      <c r="F221" s="149">
        <v>-14.62</v>
      </c>
      <c r="G221" s="149">
        <v>132.45400000000001</v>
      </c>
      <c r="H221" s="149">
        <v>0</v>
      </c>
      <c r="I221" s="151">
        <v>42905</v>
      </c>
      <c r="J221" s="149" t="s">
        <v>2556</v>
      </c>
      <c r="K221" s="149" t="s">
        <v>177</v>
      </c>
      <c r="L221" s="149" t="s">
        <v>1687</v>
      </c>
      <c r="M221" s="149" t="s">
        <v>2563</v>
      </c>
      <c r="N221" s="149" t="s">
        <v>2562</v>
      </c>
      <c r="O221" s="149" t="s">
        <v>2103</v>
      </c>
      <c r="P221" s="149" t="s">
        <v>2103</v>
      </c>
      <c r="Q221" s="149" t="s">
        <v>2405</v>
      </c>
      <c r="R221" s="149" t="s">
        <v>2713</v>
      </c>
      <c r="S221" s="149">
        <v>4.0899999999999999E-2</v>
      </c>
      <c r="T221" s="149">
        <v>3.8671999999999984E-2</v>
      </c>
      <c r="U221" s="70">
        <f t="shared" si="13"/>
        <v>2.2280000000000147E-3</v>
      </c>
      <c r="V221" s="149">
        <v>1.883</v>
      </c>
      <c r="W221" s="70">
        <v>6.1</v>
      </c>
      <c r="X221" s="149">
        <f t="shared" si="10"/>
        <v>11.4863</v>
      </c>
      <c r="Y221" s="149">
        <v>3</v>
      </c>
    </row>
    <row r="222" spans="1:25" ht="16">
      <c r="A222" s="149" t="s">
        <v>12</v>
      </c>
      <c r="B222" s="150" t="s">
        <v>2248</v>
      </c>
      <c r="C222" s="149" t="s">
        <v>1744</v>
      </c>
      <c r="D222" s="149" t="s">
        <v>3553</v>
      </c>
      <c r="E222" s="149" t="s">
        <v>2416</v>
      </c>
      <c r="F222" s="149">
        <v>-14.522</v>
      </c>
      <c r="G222" s="149">
        <v>132.45400000000001</v>
      </c>
      <c r="H222" s="149">
        <v>0</v>
      </c>
      <c r="I222" s="151">
        <v>42889</v>
      </c>
      <c r="J222" s="149" t="s">
        <v>2556</v>
      </c>
      <c r="K222" s="149" t="s">
        <v>177</v>
      </c>
      <c r="L222" s="149" t="s">
        <v>1687</v>
      </c>
      <c r="M222" s="149" t="s">
        <v>2564</v>
      </c>
      <c r="N222" s="149" t="s">
        <v>2565</v>
      </c>
      <c r="O222" s="149" t="s">
        <v>2095</v>
      </c>
      <c r="P222" s="149" t="s">
        <v>2095</v>
      </c>
      <c r="Q222" s="149" t="s">
        <v>2685</v>
      </c>
      <c r="R222" s="149" t="s">
        <v>2713</v>
      </c>
      <c r="S222" s="149">
        <v>4.07E-2</v>
      </c>
      <c r="T222" s="149">
        <v>3.8671999999999984E-2</v>
      </c>
      <c r="U222" s="70">
        <f t="shared" si="13"/>
        <v>2.0280000000000159E-3</v>
      </c>
      <c r="V222" s="149">
        <v>1.673</v>
      </c>
      <c r="W222" s="70">
        <v>6.6310000000000002</v>
      </c>
      <c r="X222" s="149">
        <f t="shared" si="10"/>
        <v>11.093663000000001</v>
      </c>
      <c r="Y222" s="149">
        <v>3</v>
      </c>
    </row>
    <row r="223" spans="1:25" ht="16">
      <c r="A223" s="149" t="s">
        <v>12</v>
      </c>
      <c r="B223" s="150" t="s">
        <v>2249</v>
      </c>
      <c r="C223" s="149" t="s">
        <v>1744</v>
      </c>
      <c r="D223" s="149" t="s">
        <v>3553</v>
      </c>
      <c r="E223" s="149" t="s">
        <v>2417</v>
      </c>
      <c r="F223" s="149">
        <v>-14.62</v>
      </c>
      <c r="G223" s="149">
        <v>132.45400000000001</v>
      </c>
      <c r="H223" s="149">
        <v>0</v>
      </c>
      <c r="I223" s="151">
        <v>42887</v>
      </c>
      <c r="J223" s="149" t="s">
        <v>2556</v>
      </c>
      <c r="K223" s="149" t="s">
        <v>177</v>
      </c>
      <c r="L223" s="149" t="s">
        <v>2566</v>
      </c>
      <c r="M223" s="149" t="s">
        <v>2567</v>
      </c>
      <c r="N223" s="149" t="s">
        <v>2668</v>
      </c>
      <c r="O223" s="149" t="s">
        <v>2105</v>
      </c>
      <c r="P223" s="140" t="s">
        <v>2105</v>
      </c>
      <c r="Q223" s="149" t="s">
        <v>2387</v>
      </c>
      <c r="R223" s="149" t="s">
        <v>2713</v>
      </c>
      <c r="S223" s="149">
        <v>4.0800000000000003E-2</v>
      </c>
      <c r="T223" s="149">
        <v>3.8671999999999984E-2</v>
      </c>
      <c r="U223" s="70">
        <f t="shared" si="13"/>
        <v>2.1280000000000188E-3</v>
      </c>
      <c r="V223" s="149">
        <v>1.661</v>
      </c>
      <c r="W223" s="70">
        <f>3.171+4.309</f>
        <v>7.48</v>
      </c>
      <c r="X223" s="149">
        <f t="shared" si="10"/>
        <v>12.424280000000001</v>
      </c>
      <c r="Y223" s="149">
        <v>3</v>
      </c>
    </row>
    <row r="224" spans="1:25" ht="16">
      <c r="A224" s="149" t="s">
        <v>12</v>
      </c>
      <c r="B224" s="150" t="s">
        <v>2250</v>
      </c>
      <c r="C224" s="149" t="s">
        <v>1744</v>
      </c>
      <c r="D224" s="149" t="s">
        <v>3553</v>
      </c>
      <c r="E224" s="149" t="s">
        <v>2418</v>
      </c>
      <c r="F224" s="149">
        <v>-14.62</v>
      </c>
      <c r="G224" s="149">
        <v>132.45400000000001</v>
      </c>
      <c r="H224" s="149">
        <v>0</v>
      </c>
      <c r="I224" s="151">
        <v>42908</v>
      </c>
      <c r="J224" s="149" t="s">
        <v>2556</v>
      </c>
      <c r="K224" s="149" t="s">
        <v>177</v>
      </c>
      <c r="L224" s="149" t="s">
        <v>2569</v>
      </c>
      <c r="M224" s="149" t="s">
        <v>2570</v>
      </c>
      <c r="N224" s="149" t="s">
        <v>2571</v>
      </c>
      <c r="O224" s="149" t="s">
        <v>2369</v>
      </c>
      <c r="P224" s="149" t="s">
        <v>3556</v>
      </c>
      <c r="Q224" s="149" t="s">
        <v>2674</v>
      </c>
      <c r="R224" s="149" t="s">
        <v>2712</v>
      </c>
      <c r="S224" s="149">
        <v>4.3499999999999997E-2</v>
      </c>
      <c r="T224" s="149">
        <v>3.8671999999999984E-2</v>
      </c>
      <c r="U224" s="70">
        <f t="shared" si="13"/>
        <v>4.8280000000000128E-3</v>
      </c>
      <c r="V224" s="149">
        <v>2.5840000000000001</v>
      </c>
      <c r="W224" s="70">
        <f>5.723+1.738+1.801</f>
        <v>9.2620000000000005</v>
      </c>
      <c r="X224" s="149">
        <f t="shared" si="10"/>
        <v>23.933008000000001</v>
      </c>
      <c r="Y224" s="149">
        <v>3</v>
      </c>
    </row>
    <row r="225" spans="1:25" ht="16">
      <c r="A225" s="149" t="s">
        <v>12</v>
      </c>
      <c r="B225" s="150" t="s">
        <v>2251</v>
      </c>
      <c r="C225" s="149" t="s">
        <v>1744</v>
      </c>
      <c r="D225" s="149" t="s">
        <v>3553</v>
      </c>
      <c r="E225" s="149" t="s">
        <v>2419</v>
      </c>
      <c r="F225" s="149">
        <v>-14.62</v>
      </c>
      <c r="G225" s="149">
        <v>132.45400000000001</v>
      </c>
      <c r="H225" s="149">
        <v>0</v>
      </c>
      <c r="I225" s="151">
        <v>42905</v>
      </c>
      <c r="J225" s="149" t="s">
        <v>2556</v>
      </c>
      <c r="K225" s="149" t="s">
        <v>177</v>
      </c>
      <c r="L225" s="149" t="s">
        <v>2569</v>
      </c>
      <c r="M225" s="149" t="s">
        <v>2570</v>
      </c>
      <c r="N225" s="149" t="s">
        <v>2571</v>
      </c>
      <c r="O225" s="149" t="s">
        <v>2369</v>
      </c>
      <c r="P225" s="149" t="s">
        <v>3556</v>
      </c>
      <c r="Q225" s="149" t="s">
        <v>2681</v>
      </c>
      <c r="R225" s="149" t="s">
        <v>2712</v>
      </c>
      <c r="S225" s="149">
        <v>7.22E-2</v>
      </c>
      <c r="T225" s="149">
        <v>6.7166000000000003E-2</v>
      </c>
      <c r="U225" s="70">
        <f t="shared" si="13"/>
        <v>5.0339999999999968E-3</v>
      </c>
      <c r="V225" s="149">
        <v>3.1549999999999998</v>
      </c>
      <c r="W225" s="70">
        <f>5.265+2.734+1.872</f>
        <v>9.8710000000000004</v>
      </c>
      <c r="X225" s="149">
        <f t="shared" si="10"/>
        <v>31.143004999999999</v>
      </c>
      <c r="Y225" s="149">
        <v>2</v>
      </c>
    </row>
    <row r="226" spans="1:25" ht="16">
      <c r="A226" s="149" t="s">
        <v>12</v>
      </c>
      <c r="B226" s="150" t="s">
        <v>2252</v>
      </c>
      <c r="C226" s="149" t="s">
        <v>1744</v>
      </c>
      <c r="D226" s="149" t="s">
        <v>3553</v>
      </c>
      <c r="E226" s="149" t="s">
        <v>2420</v>
      </c>
      <c r="F226" s="149">
        <v>-14.62</v>
      </c>
      <c r="G226" s="149">
        <v>132.45400000000001</v>
      </c>
      <c r="H226" s="149">
        <v>0</v>
      </c>
      <c r="I226" s="151">
        <v>42907</v>
      </c>
      <c r="J226" s="149" t="s">
        <v>2556</v>
      </c>
      <c r="K226" s="149" t="s">
        <v>177</v>
      </c>
      <c r="L226" s="149" t="s">
        <v>1687</v>
      </c>
      <c r="M226" s="149" t="s">
        <v>2563</v>
      </c>
      <c r="N226" s="149" t="s">
        <v>2710</v>
      </c>
      <c r="O226" s="149" t="s">
        <v>2403</v>
      </c>
      <c r="P226" s="149" t="s">
        <v>2403</v>
      </c>
      <c r="Q226" s="149" t="s">
        <v>2404</v>
      </c>
      <c r="R226" s="149" t="s">
        <v>2713</v>
      </c>
      <c r="S226" s="149">
        <v>5.9400000000000001E-2</v>
      </c>
      <c r="T226" s="149">
        <v>3.8671999999999984E-2</v>
      </c>
      <c r="U226" s="70">
        <f t="shared" si="13"/>
        <v>2.0728000000000017E-2</v>
      </c>
      <c r="V226" s="149">
        <v>4.4450000000000003</v>
      </c>
      <c r="W226" s="70">
        <f>7.404+9.288</f>
        <v>16.692</v>
      </c>
      <c r="X226" s="149">
        <f t="shared" si="10"/>
        <v>74.195940000000007</v>
      </c>
      <c r="Y226" s="149">
        <v>3</v>
      </c>
    </row>
    <row r="227" spans="1:25" ht="16">
      <c r="A227" s="149" t="s">
        <v>12</v>
      </c>
      <c r="B227" s="150" t="s">
        <v>2253</v>
      </c>
      <c r="C227" s="149" t="s">
        <v>1744</v>
      </c>
      <c r="D227" s="149" t="s">
        <v>3553</v>
      </c>
      <c r="E227" s="149" t="s">
        <v>2421</v>
      </c>
      <c r="F227" s="149">
        <v>-14.522</v>
      </c>
      <c r="G227" s="149">
        <v>132.45400000000001</v>
      </c>
      <c r="H227" s="149">
        <v>0</v>
      </c>
      <c r="I227" s="151">
        <v>42889</v>
      </c>
      <c r="J227" s="149" t="s">
        <v>2556</v>
      </c>
      <c r="K227" s="149" t="s">
        <v>177</v>
      </c>
      <c r="L227" s="149" t="s">
        <v>2569</v>
      </c>
      <c r="M227" s="149" t="s">
        <v>2570</v>
      </c>
      <c r="N227" s="149" t="s">
        <v>2571</v>
      </c>
      <c r="O227" s="149" t="s">
        <v>2369</v>
      </c>
      <c r="P227" s="149" t="s">
        <v>2737</v>
      </c>
      <c r="Q227" s="149" t="s">
        <v>2396</v>
      </c>
      <c r="R227" s="149" t="s">
        <v>2713</v>
      </c>
      <c r="S227" s="149">
        <v>0.08</v>
      </c>
      <c r="T227" s="149">
        <v>6.7166000000000003E-2</v>
      </c>
      <c r="U227" s="70">
        <f t="shared" si="13"/>
        <v>1.2833999999999998E-2</v>
      </c>
      <c r="V227" s="149">
        <v>3.91</v>
      </c>
      <c r="W227" s="70">
        <f>6.293+7.136</f>
        <v>13.429</v>
      </c>
      <c r="X227" s="149">
        <f t="shared" si="10"/>
        <v>52.507390000000001</v>
      </c>
      <c r="Y227" s="149">
        <v>2</v>
      </c>
    </row>
    <row r="228" spans="1:25" ht="16">
      <c r="A228" s="149" t="s">
        <v>12</v>
      </c>
      <c r="B228" s="150" t="s">
        <v>2254</v>
      </c>
      <c r="C228" s="149" t="s">
        <v>1744</v>
      </c>
      <c r="D228" s="149" t="s">
        <v>3553</v>
      </c>
      <c r="E228" s="149" t="s">
        <v>2422</v>
      </c>
      <c r="F228" s="149">
        <v>-14.522</v>
      </c>
      <c r="G228" s="149">
        <v>132.45400000000001</v>
      </c>
      <c r="H228" s="149">
        <v>0</v>
      </c>
      <c r="I228" s="151">
        <v>42898</v>
      </c>
      <c r="J228" s="149" t="s">
        <v>2556</v>
      </c>
      <c r="K228" s="149" t="s">
        <v>177</v>
      </c>
      <c r="L228" s="149" t="s">
        <v>1687</v>
      </c>
      <c r="M228" s="149" t="s">
        <v>2563</v>
      </c>
      <c r="N228" s="149" t="s">
        <v>2568</v>
      </c>
      <c r="O228" s="149" t="s">
        <v>2734</v>
      </c>
      <c r="P228" s="149" t="s">
        <v>2782</v>
      </c>
      <c r="Q228" s="149" t="s">
        <v>2650</v>
      </c>
      <c r="R228" s="149" t="s">
        <v>2713</v>
      </c>
      <c r="S228" s="149">
        <v>6.9699999999999998E-2</v>
      </c>
      <c r="T228" s="149">
        <v>3.8671999999999984E-2</v>
      </c>
      <c r="U228" s="70">
        <f t="shared" si="13"/>
        <v>3.1028000000000014E-2</v>
      </c>
      <c r="V228" s="149">
        <v>5.26</v>
      </c>
      <c r="W228" s="70">
        <f>10.13+9.844</f>
        <v>19.974</v>
      </c>
      <c r="X228" s="149">
        <f t="shared" si="10"/>
        <v>105.06323999999999</v>
      </c>
      <c r="Y228" s="149">
        <v>2</v>
      </c>
    </row>
    <row r="229" spans="1:25" ht="16">
      <c r="A229" s="149" t="s">
        <v>12</v>
      </c>
      <c r="B229" s="150" t="s">
        <v>2271</v>
      </c>
      <c r="C229" s="149" t="s">
        <v>1744</v>
      </c>
      <c r="D229" s="149" t="s">
        <v>3554</v>
      </c>
      <c r="E229" s="149" t="s">
        <v>2439</v>
      </c>
      <c r="F229" s="149">
        <v>-16.9011</v>
      </c>
      <c r="G229" s="149">
        <v>145.43090000000001</v>
      </c>
      <c r="H229" s="149">
        <v>0</v>
      </c>
      <c r="I229" s="151">
        <v>42956</v>
      </c>
      <c r="J229" s="149" t="s">
        <v>2556</v>
      </c>
      <c r="K229" s="149" t="s">
        <v>177</v>
      </c>
      <c r="L229" s="149" t="s">
        <v>1687</v>
      </c>
      <c r="M229" s="149" t="s">
        <v>2563</v>
      </c>
      <c r="N229" s="149" t="s">
        <v>2710</v>
      </c>
      <c r="O229" s="149" t="s">
        <v>2403</v>
      </c>
      <c r="P229" s="149" t="s">
        <v>2403</v>
      </c>
      <c r="Q229" s="149" t="s">
        <v>2406</v>
      </c>
      <c r="R229" s="149" t="s">
        <v>2713</v>
      </c>
      <c r="S229" s="149">
        <v>4.9700000000000001E-2</v>
      </c>
      <c r="T229" s="149">
        <v>3.8671999999999984E-2</v>
      </c>
      <c r="U229" s="70">
        <f t="shared" si="13"/>
        <v>1.1028000000000017E-2</v>
      </c>
      <c r="V229" s="149">
        <v>3.6429999999999998</v>
      </c>
      <c r="W229" s="70">
        <v>13.586</v>
      </c>
      <c r="X229" s="149">
        <f t="shared" si="10"/>
        <v>49.493797999999998</v>
      </c>
      <c r="Y229" s="149">
        <v>3</v>
      </c>
    </row>
    <row r="230" spans="1:25" ht="16">
      <c r="A230" s="149" t="s">
        <v>12</v>
      </c>
      <c r="B230" s="150" t="s">
        <v>2272</v>
      </c>
      <c r="C230" s="149" t="s">
        <v>1744</v>
      </c>
      <c r="D230" s="149" t="s">
        <v>3554</v>
      </c>
      <c r="E230" s="149" t="s">
        <v>2440</v>
      </c>
      <c r="F230" s="149">
        <v>-16.9011</v>
      </c>
      <c r="G230" s="149">
        <v>145.43090000000001</v>
      </c>
      <c r="H230" s="149">
        <v>0</v>
      </c>
      <c r="I230" s="151">
        <v>42956</v>
      </c>
      <c r="J230" s="149" t="s">
        <v>2556</v>
      </c>
      <c r="K230" s="149" t="s">
        <v>177</v>
      </c>
      <c r="L230" s="149" t="s">
        <v>1687</v>
      </c>
      <c r="M230" s="149" t="s">
        <v>2563</v>
      </c>
      <c r="N230" s="149" t="s">
        <v>2710</v>
      </c>
      <c r="O230" s="149" t="s">
        <v>2403</v>
      </c>
      <c r="P230" s="149" t="s">
        <v>2403</v>
      </c>
      <c r="Q230" s="149" t="s">
        <v>2406</v>
      </c>
      <c r="R230" s="149" t="s">
        <v>2713</v>
      </c>
      <c r="S230" s="149">
        <v>5.1200000000000002E-2</v>
      </c>
      <c r="T230" s="149">
        <v>3.8671999999999984E-2</v>
      </c>
      <c r="U230" s="70">
        <f t="shared" si="13"/>
        <v>1.2528000000000018E-2</v>
      </c>
      <c r="V230" s="149">
        <v>3.6070000000000002</v>
      </c>
      <c r="W230" s="70">
        <v>14.127000000000001</v>
      </c>
      <c r="X230" s="149">
        <f t="shared" si="10"/>
        <v>50.956089000000006</v>
      </c>
      <c r="Y230" s="149">
        <v>3</v>
      </c>
    </row>
    <row r="231" spans="1:25" ht="16">
      <c r="A231" s="149" t="s">
        <v>12</v>
      </c>
      <c r="B231" s="150" t="s">
        <v>2273</v>
      </c>
      <c r="C231" s="149" t="s">
        <v>1744</v>
      </c>
      <c r="D231" s="149" t="s">
        <v>3554</v>
      </c>
      <c r="E231" s="149" t="s">
        <v>2441</v>
      </c>
      <c r="F231" s="149">
        <v>-16.992799999999999</v>
      </c>
      <c r="G231" s="149">
        <v>145.46170000000001</v>
      </c>
      <c r="H231" s="149">
        <v>0</v>
      </c>
      <c r="I231" s="151">
        <v>42961</v>
      </c>
      <c r="J231" s="149" t="s">
        <v>2556</v>
      </c>
      <c r="K231" s="149" t="s">
        <v>177</v>
      </c>
      <c r="L231" s="149" t="s">
        <v>1687</v>
      </c>
      <c r="M231" s="149" t="s">
        <v>2563</v>
      </c>
      <c r="N231" s="149" t="s">
        <v>2710</v>
      </c>
      <c r="O231" s="149" t="s">
        <v>2403</v>
      </c>
      <c r="P231" s="149" t="s">
        <v>2403</v>
      </c>
      <c r="Q231" s="149" t="s">
        <v>2404</v>
      </c>
      <c r="R231" s="149" t="s">
        <v>2713</v>
      </c>
      <c r="S231" s="149">
        <v>6.0100000000000001E-2</v>
      </c>
      <c r="T231" s="149">
        <v>3.8671999999999984E-2</v>
      </c>
      <c r="U231" s="70">
        <f t="shared" si="13"/>
        <v>2.1428000000000016E-2</v>
      </c>
      <c r="V231" s="149">
        <v>4.6189999999999998</v>
      </c>
      <c r="W231" s="70">
        <f>9.056+7.599</f>
        <v>16.655000000000001</v>
      </c>
      <c r="X231" s="149">
        <f t="shared" si="10"/>
        <v>76.929445000000001</v>
      </c>
      <c r="Y231" s="149">
        <v>3</v>
      </c>
    </row>
    <row r="232" spans="1:25" ht="16">
      <c r="A232" s="149" t="s">
        <v>12</v>
      </c>
      <c r="B232" s="150" t="s">
        <v>2274</v>
      </c>
      <c r="C232" s="149" t="s">
        <v>1744</v>
      </c>
      <c r="D232" s="149" t="s">
        <v>3554</v>
      </c>
      <c r="E232" s="149" t="s">
        <v>2442</v>
      </c>
      <c r="F232" s="149">
        <v>-17.020199999999999</v>
      </c>
      <c r="G232" s="149">
        <v>145.34039999999999</v>
      </c>
      <c r="H232" s="149">
        <v>0</v>
      </c>
      <c r="I232" s="151">
        <v>42961</v>
      </c>
      <c r="J232" s="149" t="s">
        <v>2556</v>
      </c>
      <c r="K232" s="149" t="s">
        <v>177</v>
      </c>
      <c r="L232" s="149" t="s">
        <v>1687</v>
      </c>
      <c r="M232" s="149" t="s">
        <v>2563</v>
      </c>
      <c r="N232" s="149" t="s">
        <v>2710</v>
      </c>
      <c r="O232" s="149" t="s">
        <v>2403</v>
      </c>
      <c r="P232" s="149" t="s">
        <v>2403</v>
      </c>
      <c r="Q232" s="149" t="s">
        <v>2404</v>
      </c>
      <c r="R232" s="149" t="s">
        <v>2713</v>
      </c>
      <c r="S232" s="149">
        <v>6.0199999999999997E-2</v>
      </c>
      <c r="T232" s="149">
        <v>3.8671999999999984E-2</v>
      </c>
      <c r="U232" s="70">
        <f t="shared" si="13"/>
        <v>2.1528000000000012E-2</v>
      </c>
      <c r="V232" s="149">
        <v>4.335</v>
      </c>
      <c r="W232" s="70">
        <f>6.937+9.066</f>
        <v>16.003</v>
      </c>
      <c r="X232" s="149">
        <f t="shared" si="10"/>
        <v>69.373005000000006</v>
      </c>
      <c r="Y232" s="149">
        <v>3</v>
      </c>
    </row>
    <row r="233" spans="1:25" ht="16">
      <c r="A233" s="149" t="s">
        <v>12</v>
      </c>
      <c r="B233" s="150" t="s">
        <v>2275</v>
      </c>
      <c r="C233" s="149" t="s">
        <v>1744</v>
      </c>
      <c r="D233" s="149" t="s">
        <v>3554</v>
      </c>
      <c r="E233" s="149" t="s">
        <v>2443</v>
      </c>
      <c r="F233" s="149">
        <v>-17.020199999999999</v>
      </c>
      <c r="G233" s="149">
        <v>145.34039999999999</v>
      </c>
      <c r="H233" s="149">
        <v>0</v>
      </c>
      <c r="I233" s="151">
        <v>42961</v>
      </c>
      <c r="J233" s="149" t="s">
        <v>2556</v>
      </c>
      <c r="K233" s="149" t="s">
        <v>177</v>
      </c>
      <c r="L233" s="149" t="s">
        <v>1687</v>
      </c>
      <c r="M233" s="149" t="s">
        <v>2564</v>
      </c>
      <c r="N233" s="149" t="s">
        <v>2565</v>
      </c>
      <c r="O233" s="149" t="s">
        <v>2095</v>
      </c>
      <c r="P233" s="149" t="s">
        <v>2095</v>
      </c>
      <c r="Q233" s="149" t="s">
        <v>2685</v>
      </c>
      <c r="R233" s="149" t="s">
        <v>2713</v>
      </c>
      <c r="S233" s="149">
        <v>3.9300000000000002E-2</v>
      </c>
      <c r="T233" s="149">
        <v>3.8671999999999984E-2</v>
      </c>
      <c r="U233" s="70">
        <f t="shared" si="13"/>
        <v>6.2800000000001743E-4</v>
      </c>
      <c r="V233" s="149">
        <v>1.798</v>
      </c>
      <c r="W233" s="70">
        <v>8.0060000000000002</v>
      </c>
      <c r="X233" s="149">
        <f t="shared" si="10"/>
        <v>14.394788</v>
      </c>
      <c r="Y233" s="149">
        <v>3</v>
      </c>
    </row>
    <row r="234" spans="1:25" ht="16">
      <c r="A234" s="149" t="s">
        <v>12</v>
      </c>
      <c r="B234" s="150" t="s">
        <v>2276</v>
      </c>
      <c r="C234" s="149" t="s">
        <v>1744</v>
      </c>
      <c r="D234" s="149" t="s">
        <v>3554</v>
      </c>
      <c r="E234" s="149" t="s">
        <v>2444</v>
      </c>
      <c r="F234" s="149">
        <v>-16.9011</v>
      </c>
      <c r="G234" s="149">
        <v>145.43090000000001</v>
      </c>
      <c r="H234" s="149">
        <v>0</v>
      </c>
      <c r="I234" s="151">
        <v>42956</v>
      </c>
      <c r="J234" s="149" t="s">
        <v>2556</v>
      </c>
      <c r="K234" s="149" t="s">
        <v>177</v>
      </c>
      <c r="L234" s="149" t="s">
        <v>2566</v>
      </c>
      <c r="M234" s="149" t="s">
        <v>2567</v>
      </c>
      <c r="N234" s="149" t="s">
        <v>2668</v>
      </c>
      <c r="O234" s="140" t="s">
        <v>2600</v>
      </c>
      <c r="P234" s="149" t="s">
        <v>2735</v>
      </c>
      <c r="Q234" s="149" t="s">
        <v>2704</v>
      </c>
      <c r="R234" s="149" t="s">
        <v>2713</v>
      </c>
      <c r="S234" s="149">
        <v>4.3400000000000001E-2</v>
      </c>
      <c r="T234" s="149">
        <v>3.8671999999999984E-2</v>
      </c>
      <c r="U234" s="70">
        <f t="shared" si="13"/>
        <v>4.7280000000000169E-3</v>
      </c>
      <c r="V234" s="149">
        <v>2.6840000000000002</v>
      </c>
      <c r="W234" s="70">
        <f>3.104+1.997+5.741</f>
        <v>10.841999999999999</v>
      </c>
      <c r="X234" s="149">
        <f t="shared" si="10"/>
        <v>29.099927999999998</v>
      </c>
      <c r="Y234" s="149">
        <v>3</v>
      </c>
    </row>
    <row r="235" spans="1:25" ht="16">
      <c r="A235" s="149" t="s">
        <v>12</v>
      </c>
      <c r="B235" s="150" t="s">
        <v>2277</v>
      </c>
      <c r="C235" s="149" t="s">
        <v>1744</v>
      </c>
      <c r="D235" s="149" t="s">
        <v>3554</v>
      </c>
      <c r="E235" s="149" t="s">
        <v>2445</v>
      </c>
      <c r="F235" s="149">
        <v>-16.987500000000001</v>
      </c>
      <c r="G235" s="149">
        <v>145.36689999999999</v>
      </c>
      <c r="H235" s="149">
        <v>0</v>
      </c>
      <c r="I235" s="151">
        <v>42961</v>
      </c>
      <c r="J235" s="149" t="s">
        <v>2556</v>
      </c>
      <c r="K235" s="149" t="s">
        <v>177</v>
      </c>
      <c r="L235" s="149" t="s">
        <v>1687</v>
      </c>
      <c r="M235" s="149" t="s">
        <v>2563</v>
      </c>
      <c r="N235" s="149" t="s">
        <v>2562</v>
      </c>
      <c r="O235" s="149" t="s">
        <v>2103</v>
      </c>
      <c r="P235" s="149" t="s">
        <v>2103</v>
      </c>
      <c r="Q235" s="149" t="s">
        <v>2104</v>
      </c>
      <c r="R235" s="149" t="s">
        <v>2713</v>
      </c>
      <c r="S235" s="149">
        <v>4.1500000000000002E-2</v>
      </c>
      <c r="T235" s="149">
        <v>3.8671999999999984E-2</v>
      </c>
      <c r="U235" s="70">
        <f t="shared" si="13"/>
        <v>2.828000000000018E-3</v>
      </c>
      <c r="V235" s="149">
        <v>2.0409999999999999</v>
      </c>
      <c r="W235" s="70">
        <v>6.4880000000000004</v>
      </c>
      <c r="X235" s="149">
        <f t="shared" si="10"/>
        <v>13.242008</v>
      </c>
      <c r="Y235" s="149">
        <v>3</v>
      </c>
    </row>
    <row r="236" spans="1:25" ht="16">
      <c r="A236" s="149" t="s">
        <v>12</v>
      </c>
      <c r="B236" s="150" t="s">
        <v>2278</v>
      </c>
      <c r="C236" s="149" t="s">
        <v>1744</v>
      </c>
      <c r="D236" s="149" t="s">
        <v>3554</v>
      </c>
      <c r="E236" s="149" t="s">
        <v>2446</v>
      </c>
      <c r="F236" s="149">
        <v>-16.992799999999999</v>
      </c>
      <c r="G236" s="149">
        <v>145.46170000000001</v>
      </c>
      <c r="H236" s="149">
        <v>0</v>
      </c>
      <c r="I236" s="151">
        <v>42961</v>
      </c>
      <c r="J236" s="149" t="s">
        <v>2556</v>
      </c>
      <c r="K236" s="149" t="s">
        <v>177</v>
      </c>
      <c r="L236" s="149" t="s">
        <v>1687</v>
      </c>
      <c r="M236" s="149" t="s">
        <v>2563</v>
      </c>
      <c r="N236" s="149" t="s">
        <v>2568</v>
      </c>
      <c r="O236" s="149" t="s">
        <v>2734</v>
      </c>
      <c r="P236" s="149" t="s">
        <v>2782</v>
      </c>
      <c r="Q236" s="149" t="s">
        <v>2650</v>
      </c>
      <c r="R236" s="149" t="s">
        <v>2713</v>
      </c>
      <c r="S236" s="149">
        <v>7.0099999999999996E-2</v>
      </c>
      <c r="T236" s="149">
        <v>3.8671999999999984E-2</v>
      </c>
      <c r="U236" s="70">
        <f t="shared" si="13"/>
        <v>3.1428000000000011E-2</v>
      </c>
      <c r="V236" s="149">
        <v>5.05</v>
      </c>
      <c r="W236" s="149">
        <f>9.255+8.998</f>
        <v>18.253</v>
      </c>
      <c r="X236" s="149">
        <f t="shared" si="10"/>
        <v>92.17765</v>
      </c>
      <c r="Y236" s="149">
        <v>2</v>
      </c>
    </row>
    <row r="237" spans="1:25" ht="16">
      <c r="A237" s="149" t="s">
        <v>12</v>
      </c>
      <c r="B237" s="150" t="s">
        <v>2283</v>
      </c>
      <c r="C237" s="149" t="s">
        <v>1744</v>
      </c>
      <c r="D237" s="149" t="str">
        <f t="shared" si="11"/>
        <v>Kathe</v>
      </c>
      <c r="E237" s="149" t="s">
        <v>2450</v>
      </c>
      <c r="F237" s="149">
        <v>-14.54</v>
      </c>
      <c r="G237" s="149">
        <v>132.131</v>
      </c>
      <c r="H237" s="149">
        <v>0</v>
      </c>
      <c r="I237" s="151">
        <v>42948</v>
      </c>
      <c r="J237" s="149" t="s">
        <v>2557</v>
      </c>
      <c r="K237" s="149" t="s">
        <v>177</v>
      </c>
      <c r="L237" s="149" t="s">
        <v>2566</v>
      </c>
      <c r="M237" s="149" t="s">
        <v>2574</v>
      </c>
      <c r="N237" s="140" t="s">
        <v>3191</v>
      </c>
      <c r="O237" s="149" t="s">
        <v>2111</v>
      </c>
      <c r="P237" s="149" t="s">
        <v>2739</v>
      </c>
      <c r="Q237" s="149" t="s">
        <v>2401</v>
      </c>
      <c r="R237" s="149" t="s">
        <v>2713</v>
      </c>
      <c r="S237" s="149">
        <v>4.19E-2</v>
      </c>
      <c r="T237" s="149">
        <v>3.8671999999999984E-2</v>
      </c>
      <c r="U237" s="70">
        <f t="shared" si="13"/>
        <v>3.2280000000000156E-3</v>
      </c>
      <c r="V237" s="149">
        <v>2.206</v>
      </c>
      <c r="W237" s="70">
        <f>2.603+1.964+4.419</f>
        <v>8.9860000000000007</v>
      </c>
      <c r="X237" s="149">
        <f t="shared" si="10"/>
        <v>19.823116000000002</v>
      </c>
      <c r="Y237" s="149">
        <v>3</v>
      </c>
    </row>
    <row r="238" spans="1:25" ht="16">
      <c r="A238" s="149" t="s">
        <v>12</v>
      </c>
      <c r="B238" s="150" t="s">
        <v>2284</v>
      </c>
      <c r="C238" s="149" t="s">
        <v>1744</v>
      </c>
      <c r="D238" s="149" t="str">
        <f t="shared" si="11"/>
        <v>Kathe</v>
      </c>
      <c r="E238" s="149" t="s">
        <v>2451</v>
      </c>
      <c r="F238" s="149">
        <v>-14.54</v>
      </c>
      <c r="G238" s="149">
        <v>132.131</v>
      </c>
      <c r="H238" s="149">
        <v>0</v>
      </c>
      <c r="I238" s="151">
        <v>42945</v>
      </c>
      <c r="J238" s="149" t="s">
        <v>2557</v>
      </c>
      <c r="K238" s="149" t="s">
        <v>177</v>
      </c>
      <c r="L238" s="149" t="s">
        <v>2566</v>
      </c>
      <c r="M238" s="149" t="s">
        <v>2574</v>
      </c>
      <c r="N238" s="140" t="s">
        <v>3191</v>
      </c>
      <c r="O238" s="149" t="s">
        <v>2111</v>
      </c>
      <c r="P238" s="149" t="s">
        <v>2739</v>
      </c>
      <c r="Q238" s="149" t="s">
        <v>2401</v>
      </c>
      <c r="R238" s="149" t="s">
        <v>2713</v>
      </c>
      <c r="S238" s="149">
        <v>4.2700000000000002E-2</v>
      </c>
      <c r="T238" s="149">
        <v>3.8671999999999984E-2</v>
      </c>
      <c r="U238" s="70">
        <f t="shared" ref="U238:U255" si="14">S238-T238</f>
        <v>4.0280000000000177E-3</v>
      </c>
      <c r="V238" s="149">
        <v>2.492</v>
      </c>
      <c r="W238" s="70">
        <f>4.877+4.435</f>
        <v>9.3119999999999994</v>
      </c>
      <c r="X238" s="149">
        <f t="shared" si="10"/>
        <v>23.205503999999998</v>
      </c>
      <c r="Y238" s="149">
        <v>3</v>
      </c>
    </row>
    <row r="239" spans="1:25" ht="16">
      <c r="A239" s="149" t="s">
        <v>12</v>
      </c>
      <c r="B239" s="150" t="s">
        <v>2285</v>
      </c>
      <c r="C239" s="149" t="s">
        <v>1744</v>
      </c>
      <c r="D239" s="149" t="str">
        <f t="shared" si="11"/>
        <v>Kathe</v>
      </c>
      <c r="E239" s="149" t="s">
        <v>2452</v>
      </c>
      <c r="F239" s="149">
        <v>-14.555999999999999</v>
      </c>
      <c r="G239" s="149">
        <v>132.47499999999999</v>
      </c>
      <c r="H239" s="149">
        <v>0</v>
      </c>
      <c r="I239" s="151">
        <v>42950</v>
      </c>
      <c r="J239" s="149" t="s">
        <v>2557</v>
      </c>
      <c r="K239" s="149" t="s">
        <v>177</v>
      </c>
      <c r="L239" s="149" t="s">
        <v>2569</v>
      </c>
      <c r="M239" s="149" t="s">
        <v>2570</v>
      </c>
      <c r="N239" s="149" t="s">
        <v>2571</v>
      </c>
      <c r="O239" s="149" t="s">
        <v>2369</v>
      </c>
      <c r="P239" s="149" t="s">
        <v>3556</v>
      </c>
      <c r="Q239" s="149" t="s">
        <v>2669</v>
      </c>
      <c r="R239" s="149" t="s">
        <v>2713</v>
      </c>
      <c r="S239" s="149">
        <v>4.5600000000000002E-2</v>
      </c>
      <c r="T239" s="149">
        <v>3.8671999999999984E-2</v>
      </c>
      <c r="U239" s="70">
        <f t="shared" si="14"/>
        <v>6.9280000000000175E-3</v>
      </c>
      <c r="V239" s="149">
        <v>2.9249999999999998</v>
      </c>
      <c r="W239" s="70">
        <f>4.902+5.917</f>
        <v>10.818999999999999</v>
      </c>
      <c r="X239" s="149">
        <f t="shared" si="10"/>
        <v>31.645574999999994</v>
      </c>
      <c r="Y239" s="149">
        <v>3</v>
      </c>
    </row>
    <row r="240" spans="1:25" ht="16">
      <c r="A240" s="149" t="s">
        <v>12</v>
      </c>
      <c r="B240" s="150" t="s">
        <v>2286</v>
      </c>
      <c r="C240" s="149" t="s">
        <v>1744</v>
      </c>
      <c r="D240" s="149" t="str">
        <f t="shared" si="11"/>
        <v>Kathe</v>
      </c>
      <c r="E240" s="149" t="s">
        <v>2453</v>
      </c>
      <c r="F240" s="149">
        <v>-14.555999999999999</v>
      </c>
      <c r="G240" s="149">
        <v>132.47499999999999</v>
      </c>
      <c r="H240" s="149">
        <v>0</v>
      </c>
      <c r="I240" s="151">
        <v>42947</v>
      </c>
      <c r="J240" s="149" t="s">
        <v>2557</v>
      </c>
      <c r="K240" s="149" t="s">
        <v>177</v>
      </c>
      <c r="L240" s="149" t="s">
        <v>2569</v>
      </c>
      <c r="M240" s="149" t="s">
        <v>2570</v>
      </c>
      <c r="N240" s="149" t="s">
        <v>2571</v>
      </c>
      <c r="O240" s="149" t="s">
        <v>2369</v>
      </c>
      <c r="P240" s="149" t="s">
        <v>3556</v>
      </c>
      <c r="Q240" s="149" t="s">
        <v>2674</v>
      </c>
      <c r="R240" s="149" t="s">
        <v>2712</v>
      </c>
      <c r="S240" s="149">
        <v>4.24E-2</v>
      </c>
      <c r="T240" s="149">
        <v>3.8671999999999984E-2</v>
      </c>
      <c r="U240" s="70">
        <f t="shared" si="14"/>
        <v>3.728000000000016E-3</v>
      </c>
      <c r="V240" s="149">
        <v>2.3620000000000001</v>
      </c>
      <c r="W240" s="70">
        <v>9.1910000000000007</v>
      </c>
      <c r="X240" s="149">
        <f t="shared" si="10"/>
        <v>21.709142000000003</v>
      </c>
      <c r="Y240" s="149">
        <v>3</v>
      </c>
    </row>
    <row r="241" spans="1:25" ht="16">
      <c r="A241" s="149" t="s">
        <v>12</v>
      </c>
      <c r="B241" s="150" t="s">
        <v>2287</v>
      </c>
      <c r="C241" s="149" t="s">
        <v>1744</v>
      </c>
      <c r="D241" s="149" t="str">
        <f t="shared" si="11"/>
        <v>Kathe</v>
      </c>
      <c r="E241" s="149" t="s">
        <v>2454</v>
      </c>
      <c r="F241" s="149">
        <v>-14.525</v>
      </c>
      <c r="G241" s="149">
        <v>132.45500000000001</v>
      </c>
      <c r="H241" s="149">
        <v>0</v>
      </c>
      <c r="I241" s="151">
        <v>42944</v>
      </c>
      <c r="J241" s="149" t="s">
        <v>2557</v>
      </c>
      <c r="K241" s="149" t="s">
        <v>177</v>
      </c>
      <c r="L241" s="149" t="s">
        <v>2566</v>
      </c>
      <c r="M241" s="149" t="s">
        <v>2567</v>
      </c>
      <c r="N241" s="149" t="s">
        <v>2668</v>
      </c>
      <c r="O241" s="149" t="s">
        <v>2105</v>
      </c>
      <c r="P241" s="140" t="s">
        <v>2105</v>
      </c>
      <c r="Q241" s="149" t="s">
        <v>2387</v>
      </c>
      <c r="R241" s="149" t="s">
        <v>2713</v>
      </c>
      <c r="S241" s="149">
        <v>4.0399999999999998E-2</v>
      </c>
      <c r="T241" s="149">
        <v>3.8671999999999984E-2</v>
      </c>
      <c r="U241" s="70">
        <f t="shared" si="14"/>
        <v>1.7280000000000142E-3</v>
      </c>
      <c r="V241" s="149">
        <v>1.7330000000000001</v>
      </c>
      <c r="W241" s="70">
        <f>3.414+3.61</f>
        <v>7.024</v>
      </c>
      <c r="X241" s="149">
        <f t="shared" si="10"/>
        <v>12.172592</v>
      </c>
      <c r="Y241" s="149">
        <v>3</v>
      </c>
    </row>
    <row r="242" spans="1:25" ht="16">
      <c r="A242" s="149" t="s">
        <v>12</v>
      </c>
      <c r="B242" s="150" t="s">
        <v>2288</v>
      </c>
      <c r="C242" s="149" t="s">
        <v>1744</v>
      </c>
      <c r="D242" s="149" t="str">
        <f t="shared" si="11"/>
        <v>Kathe</v>
      </c>
      <c r="E242" s="149" t="s">
        <v>2455</v>
      </c>
      <c r="F242" s="149">
        <v>-14.525</v>
      </c>
      <c r="G242" s="149">
        <v>132.45500000000001</v>
      </c>
      <c r="H242" s="149">
        <v>0</v>
      </c>
      <c r="I242" s="151">
        <v>42944</v>
      </c>
      <c r="J242" s="149" t="s">
        <v>2557</v>
      </c>
      <c r="K242" s="149" t="s">
        <v>177</v>
      </c>
      <c r="L242" s="149" t="s">
        <v>2566</v>
      </c>
      <c r="M242" s="149" t="s">
        <v>2567</v>
      </c>
      <c r="N242" s="149" t="s">
        <v>2668</v>
      </c>
      <c r="O242" s="149" t="s">
        <v>2105</v>
      </c>
      <c r="P242" s="140" t="s">
        <v>2105</v>
      </c>
      <c r="Q242" s="149" t="s">
        <v>2387</v>
      </c>
      <c r="R242" s="149" t="s">
        <v>2713</v>
      </c>
      <c r="S242" s="149">
        <v>4.0300000000000002E-2</v>
      </c>
      <c r="T242" s="149">
        <v>3.8671999999999984E-2</v>
      </c>
      <c r="U242" s="70">
        <f t="shared" si="14"/>
        <v>1.6280000000000183E-3</v>
      </c>
      <c r="V242" s="149">
        <v>1.806</v>
      </c>
      <c r="W242" s="70">
        <f>2.7+1.558+3.889</f>
        <v>8.1470000000000002</v>
      </c>
      <c r="X242" s="149">
        <f t="shared" si="10"/>
        <v>14.713482000000001</v>
      </c>
      <c r="Y242" s="149">
        <v>3</v>
      </c>
    </row>
    <row r="243" spans="1:25" ht="16">
      <c r="A243" s="149" t="s">
        <v>12</v>
      </c>
      <c r="B243" s="150" t="s">
        <v>2289</v>
      </c>
      <c r="C243" s="149" t="s">
        <v>1744</v>
      </c>
      <c r="D243" s="149" t="str">
        <f t="shared" si="11"/>
        <v>Kathe</v>
      </c>
      <c r="E243" s="149" t="s">
        <v>2456</v>
      </c>
      <c r="F243" s="149">
        <v>-14.555999999999999</v>
      </c>
      <c r="G243" s="149">
        <v>132.47499999999999</v>
      </c>
      <c r="H243" s="149">
        <v>0</v>
      </c>
      <c r="I243" s="151">
        <v>42947</v>
      </c>
      <c r="J243" s="149" t="s">
        <v>2557</v>
      </c>
      <c r="K243" s="149" t="s">
        <v>177</v>
      </c>
      <c r="L243" s="149" t="s">
        <v>2566</v>
      </c>
      <c r="M243" s="149" t="s">
        <v>2567</v>
      </c>
      <c r="N243" s="149" t="s">
        <v>2668</v>
      </c>
      <c r="O243" s="149" t="s">
        <v>2105</v>
      </c>
      <c r="P243" s="140" t="s">
        <v>2105</v>
      </c>
      <c r="Q243" s="149" t="s">
        <v>2387</v>
      </c>
      <c r="R243" s="149" t="s">
        <v>2713</v>
      </c>
      <c r="S243" s="149">
        <v>2.8999999999999998E-3</v>
      </c>
      <c r="T243" s="149">
        <v>2.6680000000000011E-3</v>
      </c>
      <c r="U243" s="70">
        <f t="shared" si="14"/>
        <v>2.319999999999987E-4</v>
      </c>
      <c r="V243" s="149">
        <v>1.5589999999999999</v>
      </c>
      <c r="W243" s="70">
        <f>3.335+3.342</f>
        <v>6.6769999999999996</v>
      </c>
      <c r="X243" s="149">
        <f t="shared" si="10"/>
        <v>10.409443</v>
      </c>
      <c r="Y243" s="149">
        <v>4</v>
      </c>
    </row>
    <row r="244" spans="1:25" ht="16">
      <c r="A244" s="149" t="s">
        <v>12</v>
      </c>
      <c r="B244" s="150" t="s">
        <v>2290</v>
      </c>
      <c r="C244" s="149" t="s">
        <v>1744</v>
      </c>
      <c r="D244" s="149" t="str">
        <f t="shared" si="11"/>
        <v>Kathe</v>
      </c>
      <c r="E244" s="149" t="s">
        <v>2457</v>
      </c>
      <c r="F244" s="149">
        <v>-14.555999999999999</v>
      </c>
      <c r="G244" s="149">
        <v>132.47499999999999</v>
      </c>
      <c r="H244" s="149">
        <v>0</v>
      </c>
      <c r="I244" s="151">
        <v>42947</v>
      </c>
      <c r="J244" s="149" t="s">
        <v>2557</v>
      </c>
      <c r="K244" s="149" t="s">
        <v>177</v>
      </c>
      <c r="L244" s="149" t="s">
        <v>2566</v>
      </c>
      <c r="M244" s="149" t="s">
        <v>2567</v>
      </c>
      <c r="N244" s="149" t="s">
        <v>2668</v>
      </c>
      <c r="O244" s="149" t="s">
        <v>2105</v>
      </c>
      <c r="P244" s="140" t="s">
        <v>2105</v>
      </c>
      <c r="Q244" s="149" t="s">
        <v>2387</v>
      </c>
      <c r="R244" s="149" t="s">
        <v>2713</v>
      </c>
      <c r="S244" s="149">
        <v>2.8E-3</v>
      </c>
      <c r="T244" s="149">
        <v>2.6680000000000011E-3</v>
      </c>
      <c r="U244" s="70">
        <f t="shared" si="14"/>
        <v>1.3199999999999887E-4</v>
      </c>
      <c r="V244" s="149">
        <v>1.589</v>
      </c>
      <c r="W244" s="70">
        <f>3.484+3.438</f>
        <v>6.9220000000000006</v>
      </c>
      <c r="X244" s="149">
        <f t="shared" si="10"/>
        <v>10.999058000000002</v>
      </c>
      <c r="Y244" s="149">
        <v>4</v>
      </c>
    </row>
    <row r="245" spans="1:25" ht="16">
      <c r="A245" s="149" t="s">
        <v>12</v>
      </c>
      <c r="B245" s="150" t="s">
        <v>2291</v>
      </c>
      <c r="C245" s="149" t="s">
        <v>1744</v>
      </c>
      <c r="D245" s="149" t="str">
        <f t="shared" si="11"/>
        <v>Kathe</v>
      </c>
      <c r="E245" s="149" t="s">
        <v>2458</v>
      </c>
      <c r="F245" s="149">
        <v>-14.555999999999999</v>
      </c>
      <c r="G245" s="149">
        <v>132.47499999999999</v>
      </c>
      <c r="H245" s="149">
        <v>0</v>
      </c>
      <c r="I245" s="151">
        <v>42950</v>
      </c>
      <c r="J245" s="149" t="s">
        <v>2557</v>
      </c>
      <c r="K245" s="149" t="s">
        <v>177</v>
      </c>
      <c r="L245" s="149" t="s">
        <v>2566</v>
      </c>
      <c r="M245" s="149" t="s">
        <v>2567</v>
      </c>
      <c r="N245" s="149" t="s">
        <v>2668</v>
      </c>
      <c r="O245" s="149" t="s">
        <v>2105</v>
      </c>
      <c r="P245" s="140" t="s">
        <v>2105</v>
      </c>
      <c r="Q245" s="149" t="s">
        <v>2387</v>
      </c>
      <c r="R245" s="149" t="s">
        <v>2713</v>
      </c>
      <c r="S245" s="149">
        <v>3.0999999999999999E-3</v>
      </c>
      <c r="T245" s="149">
        <v>2.6680000000000011E-3</v>
      </c>
      <c r="U245" s="70">
        <f t="shared" si="14"/>
        <v>4.3199999999999879E-4</v>
      </c>
      <c r="V245" s="149">
        <v>1.69</v>
      </c>
      <c r="W245" s="70">
        <f>3.6+3.282</f>
        <v>6.8819999999999997</v>
      </c>
      <c r="X245" s="149">
        <f t="shared" si="10"/>
        <v>11.630579999999998</v>
      </c>
      <c r="Y245" s="149">
        <v>4</v>
      </c>
    </row>
    <row r="246" spans="1:25" s="20" customFormat="1" ht="16">
      <c r="A246" s="140" t="s">
        <v>12</v>
      </c>
      <c r="B246" s="139" t="s">
        <v>2292</v>
      </c>
      <c r="C246" s="140" t="s">
        <v>1744</v>
      </c>
      <c r="D246" s="149" t="s">
        <v>3553</v>
      </c>
      <c r="E246" s="140" t="s">
        <v>2459</v>
      </c>
      <c r="F246" s="140">
        <v>-14.62</v>
      </c>
      <c r="G246" s="140">
        <v>132.45400000000001</v>
      </c>
      <c r="H246" s="140">
        <v>0</v>
      </c>
      <c r="I246" s="141">
        <v>42905</v>
      </c>
      <c r="J246" s="140" t="s">
        <v>2556</v>
      </c>
      <c r="K246" s="149" t="s">
        <v>177</v>
      </c>
      <c r="L246" s="140" t="s">
        <v>1687</v>
      </c>
      <c r="M246" s="140" t="s">
        <v>2563</v>
      </c>
      <c r="N246" s="140" t="s">
        <v>2562</v>
      </c>
      <c r="O246" s="140" t="s">
        <v>2103</v>
      </c>
      <c r="P246" s="149" t="s">
        <v>2103</v>
      </c>
      <c r="Q246" s="140" t="s">
        <v>2405</v>
      </c>
      <c r="R246" s="140" t="s">
        <v>2713</v>
      </c>
      <c r="S246" s="140">
        <v>6.8199999999999997E-2</v>
      </c>
      <c r="T246" s="140">
        <v>6.7166000000000003E-2</v>
      </c>
      <c r="U246" s="142">
        <f t="shared" si="14"/>
        <v>1.0339999999999933E-3</v>
      </c>
      <c r="V246" s="140">
        <v>1.7350000000000001</v>
      </c>
      <c r="W246" s="142">
        <f>3.696+2.446</f>
        <v>6.1420000000000003</v>
      </c>
      <c r="X246" s="140">
        <f t="shared" si="10"/>
        <v>10.656370000000001</v>
      </c>
      <c r="Y246" s="140">
        <v>2</v>
      </c>
    </row>
    <row r="247" spans="1:25" s="20" customFormat="1" ht="16">
      <c r="A247" s="140" t="s">
        <v>12</v>
      </c>
      <c r="B247" s="139" t="s">
        <v>2293</v>
      </c>
      <c r="C247" s="140" t="s">
        <v>1744</v>
      </c>
      <c r="D247" s="149" t="s">
        <v>3553</v>
      </c>
      <c r="E247" s="140" t="s">
        <v>2460</v>
      </c>
      <c r="F247" s="140">
        <v>-14.522</v>
      </c>
      <c r="G247" s="140">
        <v>132.45400000000001</v>
      </c>
      <c r="H247" s="140">
        <v>0</v>
      </c>
      <c r="I247" s="141">
        <v>42919</v>
      </c>
      <c r="J247" s="140" t="s">
        <v>2556</v>
      </c>
      <c r="K247" s="149" t="s">
        <v>177</v>
      </c>
      <c r="L247" s="140" t="s">
        <v>2566</v>
      </c>
      <c r="M247" s="140" t="s">
        <v>2567</v>
      </c>
      <c r="N247" s="140" t="s">
        <v>2668</v>
      </c>
      <c r="O247" s="140" t="s">
        <v>2105</v>
      </c>
      <c r="P247" s="140" t="s">
        <v>2105</v>
      </c>
      <c r="Q247" s="140" t="s">
        <v>2387</v>
      </c>
      <c r="R247" s="140" t="s">
        <v>2712</v>
      </c>
      <c r="S247" s="140">
        <v>6.0000000000000001E-3</v>
      </c>
      <c r="T247" s="149">
        <v>2.6680000000000011E-3</v>
      </c>
      <c r="U247" s="142">
        <f t="shared" si="14"/>
        <v>3.331999999999999E-3</v>
      </c>
      <c r="V247" s="140">
        <v>1.2490000000000001</v>
      </c>
      <c r="W247" s="142">
        <f>2.701+1.047+1.532</f>
        <v>5.28</v>
      </c>
      <c r="X247" s="140">
        <f t="shared" si="10"/>
        <v>6.5947200000000006</v>
      </c>
      <c r="Y247" s="140">
        <v>4</v>
      </c>
    </row>
    <row r="248" spans="1:25" ht="16">
      <c r="A248" s="149" t="s">
        <v>12</v>
      </c>
      <c r="B248" s="150" t="s">
        <v>2294</v>
      </c>
      <c r="C248" s="149" t="s">
        <v>1744</v>
      </c>
      <c r="D248" s="149" t="s">
        <v>3553</v>
      </c>
      <c r="E248" s="149" t="s">
        <v>2461</v>
      </c>
      <c r="F248" s="149">
        <v>-14.62</v>
      </c>
      <c r="G248" s="149">
        <v>132.45400000000001</v>
      </c>
      <c r="H248" s="149">
        <v>0</v>
      </c>
      <c r="I248" s="151">
        <v>42912</v>
      </c>
      <c r="J248" s="149" t="s">
        <v>2556</v>
      </c>
      <c r="K248" s="149" t="s">
        <v>177</v>
      </c>
      <c r="L248" s="149" t="s">
        <v>1687</v>
      </c>
      <c r="M248" s="149" t="s">
        <v>2564</v>
      </c>
      <c r="N248" s="149" t="s">
        <v>2565</v>
      </c>
      <c r="O248" s="149" t="s">
        <v>2095</v>
      </c>
      <c r="P248" s="149" t="s">
        <v>2095</v>
      </c>
      <c r="Q248" s="149" t="s">
        <v>2685</v>
      </c>
      <c r="R248" s="149" t="s">
        <v>2713</v>
      </c>
      <c r="S248" s="149">
        <v>0.04</v>
      </c>
      <c r="T248" s="149">
        <v>3.8671999999999984E-2</v>
      </c>
      <c r="U248" s="70">
        <f t="shared" si="14"/>
        <v>1.3280000000000167E-3</v>
      </c>
      <c r="V248" s="149">
        <v>2.1920000000000002</v>
      </c>
      <c r="W248" s="70">
        <v>8.5020000000000007</v>
      </c>
      <c r="X248" s="149">
        <f t="shared" si="10"/>
        <v>18.636384000000003</v>
      </c>
      <c r="Y248" s="149">
        <v>3</v>
      </c>
    </row>
    <row r="249" spans="1:25" ht="16">
      <c r="A249" s="149" t="s">
        <v>12</v>
      </c>
      <c r="B249" s="150" t="s">
        <v>2295</v>
      </c>
      <c r="C249" s="149" t="s">
        <v>1744</v>
      </c>
      <c r="D249" s="149" t="s">
        <v>3553</v>
      </c>
      <c r="E249" s="149" t="s">
        <v>2462</v>
      </c>
      <c r="F249" s="149">
        <v>-14.62</v>
      </c>
      <c r="G249" s="149">
        <v>132.45400000000001</v>
      </c>
      <c r="H249" s="149">
        <v>0</v>
      </c>
      <c r="I249" s="151">
        <v>42901</v>
      </c>
      <c r="J249" s="149" t="s">
        <v>2556</v>
      </c>
      <c r="K249" s="149" t="s">
        <v>177</v>
      </c>
      <c r="L249" s="149" t="s">
        <v>1687</v>
      </c>
      <c r="M249" s="149" t="s">
        <v>2563</v>
      </c>
      <c r="N249" s="149" t="s">
        <v>2562</v>
      </c>
      <c r="O249" s="149" t="s">
        <v>2103</v>
      </c>
      <c r="P249" s="149" t="s">
        <v>2103</v>
      </c>
      <c r="Q249" s="149" t="s">
        <v>2405</v>
      </c>
      <c r="R249" s="149" t="s">
        <v>2713</v>
      </c>
      <c r="S249" s="149">
        <v>4.1000000000000002E-2</v>
      </c>
      <c r="T249" s="149">
        <v>3.8671999999999984E-2</v>
      </c>
      <c r="U249" s="70">
        <f t="shared" si="14"/>
        <v>2.3280000000000176E-3</v>
      </c>
      <c r="V249" s="149">
        <v>1.7390000000000001</v>
      </c>
      <c r="W249" s="70">
        <f>2.84+3.434</f>
        <v>6.274</v>
      </c>
      <c r="X249" s="149">
        <f t="shared" si="10"/>
        <v>10.910486000000001</v>
      </c>
      <c r="Y249" s="149">
        <v>3</v>
      </c>
    </row>
    <row r="250" spans="1:25" ht="16">
      <c r="A250" s="149" t="s">
        <v>12</v>
      </c>
      <c r="B250" s="150" t="s">
        <v>2296</v>
      </c>
      <c r="C250" s="149" t="s">
        <v>1744</v>
      </c>
      <c r="D250" s="149" t="s">
        <v>3553</v>
      </c>
      <c r="E250" s="149" t="s">
        <v>2463</v>
      </c>
      <c r="F250" s="149">
        <v>-14.62</v>
      </c>
      <c r="G250" s="149">
        <v>132.45400000000001</v>
      </c>
      <c r="H250" s="149">
        <v>0</v>
      </c>
      <c r="I250" s="151">
        <v>42901</v>
      </c>
      <c r="J250" s="149" t="s">
        <v>2556</v>
      </c>
      <c r="K250" s="149" t="s">
        <v>177</v>
      </c>
      <c r="L250" s="149" t="s">
        <v>1687</v>
      </c>
      <c r="M250" s="149" t="s">
        <v>2563</v>
      </c>
      <c r="N250" s="149" t="s">
        <v>2562</v>
      </c>
      <c r="O250" s="149" t="s">
        <v>2103</v>
      </c>
      <c r="P250" s="149" t="s">
        <v>2103</v>
      </c>
      <c r="Q250" s="149" t="s">
        <v>2405</v>
      </c>
      <c r="R250" s="149" t="s">
        <v>2713</v>
      </c>
      <c r="S250" s="149">
        <v>4.0599999999999997E-2</v>
      </c>
      <c r="T250" s="149">
        <v>3.8671999999999984E-2</v>
      </c>
      <c r="U250" s="70">
        <f t="shared" si="14"/>
        <v>1.928000000000013E-3</v>
      </c>
      <c r="V250" s="149">
        <v>1.7909999999999999</v>
      </c>
      <c r="W250" s="70">
        <f>3.363+2.621</f>
        <v>5.984</v>
      </c>
      <c r="X250" s="149">
        <f t="shared" si="10"/>
        <v>10.717343999999999</v>
      </c>
      <c r="Y250" s="149">
        <v>3</v>
      </c>
    </row>
    <row r="251" spans="1:25" ht="16">
      <c r="A251" s="149" t="s">
        <v>12</v>
      </c>
      <c r="B251" s="150" t="s">
        <v>2297</v>
      </c>
      <c r="C251" s="149" t="s">
        <v>1744</v>
      </c>
      <c r="D251" s="149" t="s">
        <v>3553</v>
      </c>
      <c r="E251" s="149" t="s">
        <v>2464</v>
      </c>
      <c r="F251" s="149">
        <v>-14.62</v>
      </c>
      <c r="G251" s="149">
        <v>132.45400000000001</v>
      </c>
      <c r="H251" s="149">
        <v>0</v>
      </c>
      <c r="I251" s="151">
        <v>42905</v>
      </c>
      <c r="J251" s="149" t="s">
        <v>2556</v>
      </c>
      <c r="K251" s="149" t="s">
        <v>177</v>
      </c>
      <c r="L251" s="149" t="s">
        <v>1687</v>
      </c>
      <c r="M251" s="149" t="s">
        <v>2563</v>
      </c>
      <c r="N251" s="149" t="s">
        <v>2562</v>
      </c>
      <c r="O251" s="149" t="s">
        <v>2103</v>
      </c>
      <c r="P251" s="149" t="s">
        <v>2103</v>
      </c>
      <c r="Q251" s="149" t="s">
        <v>2405</v>
      </c>
      <c r="R251" s="149" t="s">
        <v>2713</v>
      </c>
      <c r="S251" s="149">
        <v>4.0099999999999997E-2</v>
      </c>
      <c r="T251" s="149">
        <v>3.8671999999999984E-2</v>
      </c>
      <c r="U251" s="70">
        <f t="shared" si="14"/>
        <v>1.4280000000000126E-3</v>
      </c>
      <c r="V251" s="149">
        <v>1.839</v>
      </c>
      <c r="W251" s="70">
        <f>3.558+2.191</f>
        <v>5.7489999999999997</v>
      </c>
      <c r="X251" s="149">
        <f t="shared" si="10"/>
        <v>10.572410999999999</v>
      </c>
      <c r="Y251" s="149">
        <v>3</v>
      </c>
    </row>
    <row r="252" spans="1:25" ht="16">
      <c r="A252" s="149" t="s">
        <v>12</v>
      </c>
      <c r="B252" s="150" t="s">
        <v>2298</v>
      </c>
      <c r="C252" s="149" t="s">
        <v>1744</v>
      </c>
      <c r="D252" s="149" t="s">
        <v>3553</v>
      </c>
      <c r="E252" s="149" t="s">
        <v>2465</v>
      </c>
      <c r="F252" s="149">
        <v>-14.62</v>
      </c>
      <c r="G252" s="149">
        <v>132.45400000000001</v>
      </c>
      <c r="H252" s="149">
        <v>0</v>
      </c>
      <c r="I252" s="151">
        <v>42906</v>
      </c>
      <c r="J252" s="149" t="s">
        <v>2556</v>
      </c>
      <c r="K252" s="149" t="s">
        <v>177</v>
      </c>
      <c r="L252" s="149" t="s">
        <v>1687</v>
      </c>
      <c r="M252" s="149" t="s">
        <v>2563</v>
      </c>
      <c r="N252" s="149" t="s">
        <v>2562</v>
      </c>
      <c r="O252" s="149" t="s">
        <v>2103</v>
      </c>
      <c r="P252" s="149" t="s">
        <v>2103</v>
      </c>
      <c r="Q252" s="149" t="s">
        <v>2405</v>
      </c>
      <c r="R252" s="149" t="s">
        <v>2713</v>
      </c>
      <c r="S252" s="149">
        <v>3.9699999999999999E-2</v>
      </c>
      <c r="T252" s="149">
        <v>3.8671999999999984E-2</v>
      </c>
      <c r="U252" s="70">
        <f t="shared" si="14"/>
        <v>1.028000000000015E-3</v>
      </c>
      <c r="V252" s="149">
        <v>2.101</v>
      </c>
      <c r="W252" s="70">
        <f>3.325+2.803</f>
        <v>6.1280000000000001</v>
      </c>
      <c r="X252" s="149">
        <f t="shared" si="10"/>
        <v>12.874928000000001</v>
      </c>
      <c r="Y252" s="149">
        <v>3</v>
      </c>
    </row>
    <row r="253" spans="1:25" ht="16">
      <c r="A253" s="149" t="s">
        <v>12</v>
      </c>
      <c r="B253" s="150" t="s">
        <v>2299</v>
      </c>
      <c r="C253" s="149" t="s">
        <v>1744</v>
      </c>
      <c r="D253" s="149" t="s">
        <v>3553</v>
      </c>
      <c r="E253" s="149" t="s">
        <v>2466</v>
      </c>
      <c r="F253" s="149">
        <v>-14.62</v>
      </c>
      <c r="G253" s="149">
        <v>132.45400000000001</v>
      </c>
      <c r="H253" s="149">
        <v>0</v>
      </c>
      <c r="I253" s="151">
        <v>42905</v>
      </c>
      <c r="J253" s="149" t="s">
        <v>2556</v>
      </c>
      <c r="K253" s="149" t="s">
        <v>177</v>
      </c>
      <c r="L253" s="149" t="s">
        <v>1687</v>
      </c>
      <c r="M253" s="149" t="s">
        <v>2563</v>
      </c>
      <c r="N253" s="149" t="s">
        <v>2562</v>
      </c>
      <c r="O253" s="149" t="s">
        <v>2103</v>
      </c>
      <c r="P253" s="149" t="s">
        <v>2103</v>
      </c>
      <c r="Q253" s="149" t="s">
        <v>2405</v>
      </c>
      <c r="R253" s="149" t="s">
        <v>2713</v>
      </c>
      <c r="S253" s="149">
        <v>4.02E-2</v>
      </c>
      <c r="T253" s="149">
        <v>3.8671999999999984E-2</v>
      </c>
      <c r="U253" s="70">
        <f t="shared" si="14"/>
        <v>1.5280000000000155E-3</v>
      </c>
      <c r="V253" s="149">
        <v>1.8580000000000001</v>
      </c>
      <c r="W253" s="70">
        <f>3.696+1.994</f>
        <v>5.69</v>
      </c>
      <c r="X253" s="149">
        <f t="shared" si="10"/>
        <v>10.572020000000002</v>
      </c>
      <c r="Y253" s="149">
        <v>3</v>
      </c>
    </row>
    <row r="254" spans="1:25" ht="16">
      <c r="A254" s="149" t="s">
        <v>12</v>
      </c>
      <c r="B254" s="150" t="s">
        <v>2300</v>
      </c>
      <c r="C254" s="149" t="s">
        <v>1744</v>
      </c>
      <c r="D254" s="149" t="s">
        <v>3553</v>
      </c>
      <c r="E254" s="149" t="s">
        <v>2467</v>
      </c>
      <c r="F254" s="149">
        <v>-14.62</v>
      </c>
      <c r="G254" s="149">
        <v>132.45400000000001</v>
      </c>
      <c r="H254" s="149">
        <v>0</v>
      </c>
      <c r="I254" s="151">
        <v>42901</v>
      </c>
      <c r="J254" s="149" t="s">
        <v>2556</v>
      </c>
      <c r="K254" s="149" t="s">
        <v>177</v>
      </c>
      <c r="L254" s="149" t="s">
        <v>1687</v>
      </c>
      <c r="M254" s="149" t="s">
        <v>2563</v>
      </c>
      <c r="N254" s="149" t="s">
        <v>2562</v>
      </c>
      <c r="O254" s="149" t="s">
        <v>2103</v>
      </c>
      <c r="P254" s="149" t="s">
        <v>2103</v>
      </c>
      <c r="Q254" s="149" t="s">
        <v>2405</v>
      </c>
      <c r="R254" s="149" t="s">
        <v>2713</v>
      </c>
      <c r="S254" s="149">
        <v>4.0500000000000001E-2</v>
      </c>
      <c r="T254" s="149">
        <v>3.8671999999999984E-2</v>
      </c>
      <c r="U254" s="70">
        <f t="shared" si="14"/>
        <v>1.8280000000000171E-3</v>
      </c>
      <c r="V254" s="149">
        <v>1.855</v>
      </c>
      <c r="W254" s="70">
        <f>3.972+2.396</f>
        <v>6.3680000000000003</v>
      </c>
      <c r="X254" s="149">
        <f t="shared" si="10"/>
        <v>11.81264</v>
      </c>
      <c r="Y254" s="149">
        <v>3</v>
      </c>
    </row>
    <row r="255" spans="1:25" ht="16">
      <c r="A255" s="149" t="s">
        <v>12</v>
      </c>
      <c r="B255" s="150" t="s">
        <v>2301</v>
      </c>
      <c r="C255" s="149" t="s">
        <v>1744</v>
      </c>
      <c r="D255" s="149" t="s">
        <v>3553</v>
      </c>
      <c r="E255" s="149" t="s">
        <v>2468</v>
      </c>
      <c r="F255" s="149">
        <v>-14.521000000000001</v>
      </c>
      <c r="G255" s="149">
        <v>132.446</v>
      </c>
      <c r="H255" s="149">
        <v>0</v>
      </c>
      <c r="I255" s="151">
        <v>42924</v>
      </c>
      <c r="J255" s="149" t="s">
        <v>2556</v>
      </c>
      <c r="K255" s="149" t="s">
        <v>177</v>
      </c>
      <c r="L255" s="149" t="s">
        <v>1687</v>
      </c>
      <c r="M255" s="149" t="s">
        <v>2563</v>
      </c>
      <c r="N255" s="149" t="s">
        <v>2562</v>
      </c>
      <c r="O255" s="149" t="s">
        <v>2106</v>
      </c>
      <c r="P255" s="149" t="s">
        <v>2106</v>
      </c>
      <c r="Q255" s="149" t="s">
        <v>2107</v>
      </c>
      <c r="R255" s="149" t="s">
        <v>2713</v>
      </c>
      <c r="S255" s="149">
        <v>4.1500000000000002E-2</v>
      </c>
      <c r="T255" s="149">
        <v>3.8671999999999984E-2</v>
      </c>
      <c r="U255" s="70">
        <f t="shared" si="14"/>
        <v>2.828000000000018E-3</v>
      </c>
      <c r="V255" s="149">
        <v>2.1459999999999999</v>
      </c>
      <c r="W255" s="70">
        <f>2.703+4.052</f>
        <v>6.754999999999999</v>
      </c>
      <c r="X255" s="149">
        <f t="shared" si="10"/>
        <v>14.496229999999997</v>
      </c>
      <c r="Y255" s="149">
        <v>3</v>
      </c>
    </row>
    <row r="256" spans="1:25" ht="16">
      <c r="A256" s="149" t="s">
        <v>12</v>
      </c>
      <c r="B256" s="150" t="s">
        <v>2302</v>
      </c>
      <c r="C256" s="149" t="s">
        <v>1744</v>
      </c>
      <c r="D256" s="149" t="s">
        <v>3553</v>
      </c>
      <c r="E256" s="149" t="s">
        <v>2469</v>
      </c>
      <c r="F256" s="149">
        <v>-14.522</v>
      </c>
      <c r="G256" s="149">
        <v>132.45400000000001</v>
      </c>
      <c r="H256" s="149">
        <v>0</v>
      </c>
      <c r="I256" s="151">
        <v>42919</v>
      </c>
      <c r="J256" s="149" t="s">
        <v>2556</v>
      </c>
      <c r="K256" s="149" t="s">
        <v>177</v>
      </c>
      <c r="L256" s="149" t="s">
        <v>2566</v>
      </c>
      <c r="M256" s="149" t="s">
        <v>2567</v>
      </c>
      <c r="N256" s="149" t="s">
        <v>2668</v>
      </c>
      <c r="O256" s="149" t="s">
        <v>2105</v>
      </c>
      <c r="P256" s="140" t="s">
        <v>2105</v>
      </c>
      <c r="Q256" s="149" t="s">
        <v>2387</v>
      </c>
      <c r="R256" s="149" t="s">
        <v>2712</v>
      </c>
      <c r="S256" s="149">
        <v>5.0000000000000001E-3</v>
      </c>
      <c r="T256" s="149">
        <v>2.6680000000000011E-3</v>
      </c>
      <c r="U256" s="70">
        <f t="shared" ref="U256:U295" si="15">S256-T256</f>
        <v>2.331999999999999E-3</v>
      </c>
      <c r="V256" s="149">
        <v>1.139</v>
      </c>
      <c r="W256" s="70">
        <f>3.199+2.003</f>
        <v>5.202</v>
      </c>
      <c r="X256" s="149">
        <f t="shared" ref="X256:X319" si="16">V256*W256</f>
        <v>5.9250780000000001</v>
      </c>
      <c r="Y256" s="149">
        <v>4</v>
      </c>
    </row>
    <row r="257" spans="1:25" ht="16">
      <c r="A257" s="149" t="s">
        <v>12</v>
      </c>
      <c r="B257" s="150" t="s">
        <v>2303</v>
      </c>
      <c r="C257" s="149" t="s">
        <v>1744</v>
      </c>
      <c r="D257" s="149" t="s">
        <v>3553</v>
      </c>
      <c r="E257" s="149" t="s">
        <v>2470</v>
      </c>
      <c r="F257" s="149">
        <v>-14.62</v>
      </c>
      <c r="G257" s="149">
        <v>132.45400000000001</v>
      </c>
      <c r="H257" s="149">
        <v>0</v>
      </c>
      <c r="I257" s="151">
        <v>42936</v>
      </c>
      <c r="J257" s="149" t="s">
        <v>2556</v>
      </c>
      <c r="K257" s="149" t="s">
        <v>177</v>
      </c>
      <c r="L257" s="149" t="s">
        <v>2569</v>
      </c>
      <c r="M257" s="149" t="s">
        <v>2570</v>
      </c>
      <c r="N257" s="149" t="s">
        <v>2571</v>
      </c>
      <c r="O257" s="149" t="s">
        <v>2369</v>
      </c>
      <c r="P257" s="149" t="s">
        <v>3556</v>
      </c>
      <c r="Q257" s="149" t="s">
        <v>2681</v>
      </c>
      <c r="R257" s="149" t="s">
        <v>2712</v>
      </c>
      <c r="S257" s="149">
        <v>7.1599999999999997E-2</v>
      </c>
      <c r="T257" s="149">
        <v>6.7166000000000003E-2</v>
      </c>
      <c r="U257" s="70">
        <f t="shared" si="15"/>
        <v>4.4339999999999935E-3</v>
      </c>
      <c r="V257" s="149">
        <v>2.8849999999999998</v>
      </c>
      <c r="W257" s="70">
        <f>5.988+1.69+2.395</f>
        <v>10.073</v>
      </c>
      <c r="X257" s="149">
        <f t="shared" si="16"/>
        <v>29.060604999999999</v>
      </c>
      <c r="Y257" s="149">
        <v>2</v>
      </c>
    </row>
    <row r="258" spans="1:25" ht="16">
      <c r="A258" s="149" t="s">
        <v>12</v>
      </c>
      <c r="B258" s="150" t="s">
        <v>2304</v>
      </c>
      <c r="C258" s="149" t="s">
        <v>1744</v>
      </c>
      <c r="D258" s="149" t="s">
        <v>3553</v>
      </c>
      <c r="E258" s="149" t="s">
        <v>2471</v>
      </c>
      <c r="F258" s="149">
        <v>-14.62</v>
      </c>
      <c r="G258" s="149">
        <v>132.45400000000001</v>
      </c>
      <c r="H258" s="149">
        <v>0</v>
      </c>
      <c r="I258" s="151">
        <v>42938</v>
      </c>
      <c r="J258" s="149" t="s">
        <v>2556</v>
      </c>
      <c r="K258" s="149" t="s">
        <v>177</v>
      </c>
      <c r="L258" s="149" t="s">
        <v>1687</v>
      </c>
      <c r="M258" s="149" t="s">
        <v>2564</v>
      </c>
      <c r="N258" s="149" t="s">
        <v>2565</v>
      </c>
      <c r="O258" s="149" t="s">
        <v>2095</v>
      </c>
      <c r="P258" s="149" t="s">
        <v>2095</v>
      </c>
      <c r="Q258" s="149" t="s">
        <v>2684</v>
      </c>
      <c r="R258" s="149" t="s">
        <v>2713</v>
      </c>
      <c r="S258" s="149">
        <v>4.02E-2</v>
      </c>
      <c r="T258" s="149">
        <v>3.8671999999999984E-2</v>
      </c>
      <c r="U258" s="70">
        <f t="shared" si="15"/>
        <v>1.5280000000000155E-3</v>
      </c>
      <c r="V258" s="149">
        <v>1.637</v>
      </c>
      <c r="W258" s="70">
        <v>7.3470000000000004</v>
      </c>
      <c r="X258" s="149">
        <f t="shared" si="16"/>
        <v>12.027039</v>
      </c>
      <c r="Y258" s="149">
        <v>3</v>
      </c>
    </row>
    <row r="259" spans="1:25" ht="16">
      <c r="A259" s="149" t="s">
        <v>12</v>
      </c>
      <c r="B259" s="150" t="s">
        <v>2305</v>
      </c>
      <c r="C259" s="149" t="s">
        <v>1744</v>
      </c>
      <c r="D259" s="149" t="s">
        <v>3553</v>
      </c>
      <c r="E259" s="149" t="s">
        <v>2472</v>
      </c>
      <c r="F259" s="149">
        <v>-14.62</v>
      </c>
      <c r="G259" s="149">
        <v>132.45400000000001</v>
      </c>
      <c r="H259" s="149">
        <v>0</v>
      </c>
      <c r="I259" s="151">
        <v>42943</v>
      </c>
      <c r="J259" s="149" t="s">
        <v>2556</v>
      </c>
      <c r="K259" s="149" t="s">
        <v>177</v>
      </c>
      <c r="L259" s="149" t="s">
        <v>2569</v>
      </c>
      <c r="M259" s="149" t="s">
        <v>2570</v>
      </c>
      <c r="N259" s="149" t="s">
        <v>2571</v>
      </c>
      <c r="O259" s="149" t="s">
        <v>2369</v>
      </c>
      <c r="P259" s="149" t="s">
        <v>2737</v>
      </c>
      <c r="Q259" s="149" t="s">
        <v>2396</v>
      </c>
      <c r="R259" s="149" t="s">
        <v>2713</v>
      </c>
      <c r="S259" s="149">
        <v>7.8200000000000006E-2</v>
      </c>
      <c r="T259" s="149">
        <v>6.7166000000000003E-2</v>
      </c>
      <c r="U259" s="70">
        <f t="shared" si="15"/>
        <v>1.1034000000000002E-2</v>
      </c>
      <c r="V259" s="149">
        <v>3.6589999999999998</v>
      </c>
      <c r="W259" s="70">
        <v>13.462999999999999</v>
      </c>
      <c r="X259" s="149">
        <f t="shared" si="16"/>
        <v>49.261116999999992</v>
      </c>
      <c r="Y259" s="149">
        <v>2</v>
      </c>
    </row>
    <row r="260" spans="1:25" ht="16">
      <c r="A260" s="149" t="s">
        <v>12</v>
      </c>
      <c r="B260" s="150" t="s">
        <v>2306</v>
      </c>
      <c r="C260" s="149" t="s">
        <v>1744</v>
      </c>
      <c r="D260" s="149" t="s">
        <v>3553</v>
      </c>
      <c r="E260" s="149" t="s">
        <v>2473</v>
      </c>
      <c r="F260" s="149">
        <v>-14.62</v>
      </c>
      <c r="G260" s="149">
        <v>132.45400000000001</v>
      </c>
      <c r="H260" s="149">
        <v>0</v>
      </c>
      <c r="I260" s="151">
        <v>42931</v>
      </c>
      <c r="J260" s="149" t="s">
        <v>2556</v>
      </c>
      <c r="K260" s="149" t="s">
        <v>177</v>
      </c>
      <c r="L260" s="149" t="s">
        <v>1687</v>
      </c>
      <c r="M260" s="149" t="s">
        <v>2563</v>
      </c>
      <c r="N260" s="149" t="s">
        <v>2562</v>
      </c>
      <c r="O260" s="149" t="s">
        <v>2103</v>
      </c>
      <c r="P260" s="149" t="s">
        <v>2103</v>
      </c>
      <c r="Q260" s="149" t="s">
        <v>2405</v>
      </c>
      <c r="R260" s="149" t="s">
        <v>2713</v>
      </c>
      <c r="S260" s="149">
        <v>4.0300000000000002E-2</v>
      </c>
      <c r="T260" s="149">
        <v>3.8671999999999984E-2</v>
      </c>
      <c r="U260" s="70">
        <f t="shared" si="15"/>
        <v>1.6280000000000183E-3</v>
      </c>
      <c r="V260" s="149">
        <v>1.734</v>
      </c>
      <c r="W260" s="70">
        <f>2.624+3.568</f>
        <v>6.1920000000000002</v>
      </c>
      <c r="X260" s="149">
        <f t="shared" si="16"/>
        <v>10.736928000000001</v>
      </c>
      <c r="Y260" s="149">
        <v>3</v>
      </c>
    </row>
    <row r="261" spans="1:25" ht="16">
      <c r="A261" s="149" t="s">
        <v>12</v>
      </c>
      <c r="B261" s="150" t="s">
        <v>2308</v>
      </c>
      <c r="C261" s="149" t="s">
        <v>1744</v>
      </c>
      <c r="D261" s="149" t="str">
        <f t="shared" ref="D261:D295" si="17">LEFT(E261,5)</f>
        <v>Stant</v>
      </c>
      <c r="E261" s="149" t="s">
        <v>2475</v>
      </c>
      <c r="F261" s="149">
        <v>-28.536000000000001</v>
      </c>
      <c r="G261" s="149">
        <v>151.95500000000001</v>
      </c>
      <c r="H261" s="149">
        <v>0</v>
      </c>
      <c r="I261" s="151">
        <v>43018</v>
      </c>
      <c r="J261" s="149" t="s">
        <v>2558</v>
      </c>
      <c r="K261" s="149" t="s">
        <v>177</v>
      </c>
      <c r="L261" s="149" t="s">
        <v>2566</v>
      </c>
      <c r="M261" s="149" t="s">
        <v>2567</v>
      </c>
      <c r="N261" s="149" t="s">
        <v>2668</v>
      </c>
      <c r="O261" s="140" t="s">
        <v>2600</v>
      </c>
      <c r="P261" s="149" t="s">
        <v>2735</v>
      </c>
      <c r="Q261" s="149" t="s">
        <v>2384</v>
      </c>
      <c r="R261" s="149" t="s">
        <v>2713</v>
      </c>
      <c r="S261" s="149">
        <v>4.6600000000000003E-2</v>
      </c>
      <c r="T261" s="149">
        <v>3.8671999999999984E-2</v>
      </c>
      <c r="U261" s="70">
        <f t="shared" si="15"/>
        <v>7.9280000000000184E-3</v>
      </c>
      <c r="V261" s="149">
        <v>2.698</v>
      </c>
      <c r="W261" s="70">
        <f>6.327+5.539</f>
        <v>11.866</v>
      </c>
      <c r="X261" s="149">
        <f t="shared" si="16"/>
        <v>32.014468000000001</v>
      </c>
      <c r="Y261" s="149">
        <v>3</v>
      </c>
    </row>
    <row r="262" spans="1:25" ht="16">
      <c r="A262" s="149" t="s">
        <v>12</v>
      </c>
      <c r="B262" s="150" t="s">
        <v>2309</v>
      </c>
      <c r="C262" s="149" t="s">
        <v>1744</v>
      </c>
      <c r="D262" s="149" t="str">
        <f t="shared" si="17"/>
        <v>Stant</v>
      </c>
      <c r="E262" s="149" t="s">
        <v>2476</v>
      </c>
      <c r="F262" s="149">
        <v>-28.521999999999998</v>
      </c>
      <c r="G262" s="149">
        <v>151.9</v>
      </c>
      <c r="H262" s="149">
        <v>0</v>
      </c>
      <c r="I262" s="151">
        <v>43018</v>
      </c>
      <c r="J262" s="149" t="s">
        <v>2558</v>
      </c>
      <c r="K262" s="149" t="s">
        <v>177</v>
      </c>
      <c r="L262" s="149" t="s">
        <v>2566</v>
      </c>
      <c r="M262" s="149" t="s">
        <v>2567</v>
      </c>
      <c r="N262" s="149" t="s">
        <v>2668</v>
      </c>
      <c r="O262" s="140" t="s">
        <v>2600</v>
      </c>
      <c r="P262" s="149" t="s">
        <v>2735</v>
      </c>
      <c r="Q262" s="149" t="s">
        <v>2384</v>
      </c>
      <c r="R262" s="149" t="s">
        <v>2713</v>
      </c>
      <c r="S262" s="149">
        <v>4.7199999999999999E-2</v>
      </c>
      <c r="T262" s="149">
        <v>3.8671999999999984E-2</v>
      </c>
      <c r="U262" s="70">
        <f t="shared" si="15"/>
        <v>8.5280000000000147E-3</v>
      </c>
      <c r="V262" s="149">
        <v>2.9809999999999999</v>
      </c>
      <c r="W262" s="70">
        <f>6.035+5.791</f>
        <v>11.826000000000001</v>
      </c>
      <c r="X262" s="149">
        <f t="shared" si="16"/>
        <v>35.253306000000002</v>
      </c>
      <c r="Y262" s="149">
        <v>3</v>
      </c>
    </row>
    <row r="263" spans="1:25" ht="16">
      <c r="A263" s="149" t="s">
        <v>12</v>
      </c>
      <c r="B263" s="150" t="s">
        <v>2310</v>
      </c>
      <c r="C263" s="149" t="s">
        <v>1744</v>
      </c>
      <c r="D263" s="149" t="str">
        <f t="shared" si="17"/>
        <v>Stant</v>
      </c>
      <c r="E263" s="149" t="s">
        <v>2477</v>
      </c>
      <c r="F263" s="149">
        <v>-28.51</v>
      </c>
      <c r="G263" s="149">
        <v>151.86000000000001</v>
      </c>
      <c r="H263" s="149">
        <v>0</v>
      </c>
      <c r="I263" s="151">
        <v>43012</v>
      </c>
      <c r="J263" s="149" t="s">
        <v>2558</v>
      </c>
      <c r="K263" s="149" t="s">
        <v>177</v>
      </c>
      <c r="L263" s="149" t="s">
        <v>2566</v>
      </c>
      <c r="M263" s="149" t="s">
        <v>2567</v>
      </c>
      <c r="N263" s="149" t="s">
        <v>2668</v>
      </c>
      <c r="O263" s="140" t="s">
        <v>2600</v>
      </c>
      <c r="P263" s="149" t="s">
        <v>2735</v>
      </c>
      <c r="Q263" s="149" t="s">
        <v>2384</v>
      </c>
      <c r="R263" s="149" t="s">
        <v>2713</v>
      </c>
      <c r="S263" s="149">
        <v>4.7500000000000001E-2</v>
      </c>
      <c r="T263" s="149">
        <v>3.8671999999999984E-2</v>
      </c>
      <c r="U263" s="70">
        <f t="shared" si="15"/>
        <v>8.8280000000000164E-3</v>
      </c>
      <c r="V263" s="149">
        <v>2.9220000000000002</v>
      </c>
      <c r="W263" s="70">
        <v>12.401</v>
      </c>
      <c r="X263" s="149">
        <f t="shared" si="16"/>
        <v>36.235722000000003</v>
      </c>
      <c r="Y263" s="149">
        <v>3</v>
      </c>
    </row>
    <row r="264" spans="1:25" ht="16">
      <c r="A264" s="149" t="s">
        <v>12</v>
      </c>
      <c r="B264" s="150" t="s">
        <v>2311</v>
      </c>
      <c r="C264" s="149" t="s">
        <v>1744</v>
      </c>
      <c r="D264" s="149" t="str">
        <f t="shared" si="17"/>
        <v>Stant</v>
      </c>
      <c r="E264" s="149" t="s">
        <v>2478</v>
      </c>
      <c r="F264" s="149">
        <v>-28.536000000000001</v>
      </c>
      <c r="G264" s="149">
        <v>151.95500000000001</v>
      </c>
      <c r="H264" s="149">
        <v>0</v>
      </c>
      <c r="I264" s="151">
        <v>43014</v>
      </c>
      <c r="J264" s="149" t="s">
        <v>2558</v>
      </c>
      <c r="K264" s="149" t="s">
        <v>177</v>
      </c>
      <c r="L264" s="149" t="s">
        <v>2566</v>
      </c>
      <c r="M264" s="149" t="s">
        <v>2567</v>
      </c>
      <c r="N264" s="149" t="s">
        <v>2668</v>
      </c>
      <c r="O264" s="140" t="s">
        <v>2600</v>
      </c>
      <c r="P264" s="149" t="s">
        <v>2735</v>
      </c>
      <c r="Q264" s="149" t="s">
        <v>2384</v>
      </c>
      <c r="R264" s="149" t="s">
        <v>2712</v>
      </c>
      <c r="S264" s="149">
        <v>7.3099999999999998E-2</v>
      </c>
      <c r="T264" s="149">
        <v>6.7166000000000003E-2</v>
      </c>
      <c r="U264" s="70">
        <f t="shared" si="15"/>
        <v>5.9339999999999948E-3</v>
      </c>
      <c r="V264" s="149">
        <v>2.5950000000000002</v>
      </c>
      <c r="W264" s="70">
        <f>5.53+7.981</f>
        <v>13.510999999999999</v>
      </c>
      <c r="X264" s="149">
        <f t="shared" si="16"/>
        <v>35.061045</v>
      </c>
      <c r="Y264" s="149">
        <v>2</v>
      </c>
    </row>
    <row r="265" spans="1:25" ht="16">
      <c r="A265" s="149" t="s">
        <v>12</v>
      </c>
      <c r="B265" s="150" t="s">
        <v>2312</v>
      </c>
      <c r="C265" s="149" t="s">
        <v>1744</v>
      </c>
      <c r="D265" s="149" t="str">
        <f t="shared" si="17"/>
        <v>Stant</v>
      </c>
      <c r="E265" s="149" t="s">
        <v>2479</v>
      </c>
      <c r="F265" s="149">
        <v>-28.529</v>
      </c>
      <c r="G265" s="149">
        <v>151.90700000000001</v>
      </c>
      <c r="H265" s="149">
        <v>0</v>
      </c>
      <c r="I265" s="151">
        <v>43013</v>
      </c>
      <c r="J265" s="149" t="s">
        <v>2558</v>
      </c>
      <c r="K265" s="149" t="s">
        <v>177</v>
      </c>
      <c r="L265" s="149" t="s">
        <v>1687</v>
      </c>
      <c r="M265" s="149" t="s">
        <v>2563</v>
      </c>
      <c r="N265" s="149" t="s">
        <v>2710</v>
      </c>
      <c r="O265" s="149" t="s">
        <v>2403</v>
      </c>
      <c r="P265" s="149" t="s">
        <v>2403</v>
      </c>
      <c r="Q265" s="149" t="s">
        <v>2404</v>
      </c>
      <c r="R265" s="149" t="s">
        <v>2713</v>
      </c>
      <c r="S265" s="149">
        <v>5.6500000000000002E-2</v>
      </c>
      <c r="T265" s="149">
        <v>3.8671999999999984E-2</v>
      </c>
      <c r="U265" s="70">
        <f t="shared" si="15"/>
        <v>1.7828000000000017E-2</v>
      </c>
      <c r="V265" s="149">
        <v>4.2409999999999997</v>
      </c>
      <c r="W265" s="70">
        <f>7.246+8.291</f>
        <v>15.537000000000001</v>
      </c>
      <c r="X265" s="149">
        <f t="shared" si="16"/>
        <v>65.892416999999995</v>
      </c>
      <c r="Y265" s="149">
        <v>3</v>
      </c>
    </row>
    <row r="266" spans="1:25" ht="16">
      <c r="A266" s="149" t="s">
        <v>12</v>
      </c>
      <c r="B266" s="150" t="s">
        <v>2313</v>
      </c>
      <c r="C266" s="149" t="s">
        <v>1744</v>
      </c>
      <c r="D266" s="149" t="str">
        <f t="shared" si="17"/>
        <v>Stant</v>
      </c>
      <c r="E266" s="149" t="s">
        <v>2480</v>
      </c>
      <c r="F266" s="149">
        <v>-28.512</v>
      </c>
      <c r="G266" s="149">
        <v>151.88</v>
      </c>
      <c r="H266" s="149">
        <v>0</v>
      </c>
      <c r="I266" s="151">
        <v>43004</v>
      </c>
      <c r="J266" s="149" t="s">
        <v>2558</v>
      </c>
      <c r="K266" s="149" t="s">
        <v>177</v>
      </c>
      <c r="L266" s="149" t="s">
        <v>1687</v>
      </c>
      <c r="M266" s="149" t="s">
        <v>2563</v>
      </c>
      <c r="N266" s="149" t="s">
        <v>2710</v>
      </c>
      <c r="O266" s="149" t="s">
        <v>2403</v>
      </c>
      <c r="P266" s="149" t="s">
        <v>2403</v>
      </c>
      <c r="Q266" s="149" t="s">
        <v>2404</v>
      </c>
      <c r="R266" s="149" t="s">
        <v>2713</v>
      </c>
      <c r="S266" s="149">
        <v>6.3E-2</v>
      </c>
      <c r="T266" s="149">
        <v>3.8671999999999984E-2</v>
      </c>
      <c r="U266" s="70">
        <f t="shared" si="15"/>
        <v>2.4328000000000016E-2</v>
      </c>
      <c r="V266" s="149">
        <v>4.8369999999999997</v>
      </c>
      <c r="W266" s="70">
        <f>9.209+7.755</f>
        <v>16.963999999999999</v>
      </c>
      <c r="X266" s="149">
        <f t="shared" si="16"/>
        <v>82.054867999999985</v>
      </c>
      <c r="Y266" s="149">
        <v>3</v>
      </c>
    </row>
    <row r="267" spans="1:25" ht="16">
      <c r="A267" s="149" t="s">
        <v>12</v>
      </c>
      <c r="B267" s="150" t="s">
        <v>2314</v>
      </c>
      <c r="C267" s="149" t="s">
        <v>1744</v>
      </c>
      <c r="D267" s="149" t="str">
        <f t="shared" si="17"/>
        <v>Stant</v>
      </c>
      <c r="E267" s="149" t="s">
        <v>2481</v>
      </c>
      <c r="F267" s="149">
        <v>-28.536000000000001</v>
      </c>
      <c r="G267" s="149">
        <v>151.95500000000001</v>
      </c>
      <c r="H267" s="149">
        <v>0</v>
      </c>
      <c r="I267" s="151">
        <v>43018</v>
      </c>
      <c r="J267" s="149" t="s">
        <v>2558</v>
      </c>
      <c r="K267" s="149" t="s">
        <v>177</v>
      </c>
      <c r="L267" s="149" t="s">
        <v>1687</v>
      </c>
      <c r="M267" s="149" t="s">
        <v>2564</v>
      </c>
      <c r="N267" s="149" t="s">
        <v>2577</v>
      </c>
      <c r="O267" s="149" t="s">
        <v>2742</v>
      </c>
      <c r="P267" s="149" t="s">
        <v>2740</v>
      </c>
      <c r="Q267" s="149" t="s">
        <v>2389</v>
      </c>
      <c r="R267" s="149" t="s">
        <v>2713</v>
      </c>
      <c r="S267" s="149">
        <v>0.1857</v>
      </c>
      <c r="T267" s="149">
        <v>6.7166000000000003E-2</v>
      </c>
      <c r="U267" s="70">
        <f t="shared" si="15"/>
        <v>0.118534</v>
      </c>
      <c r="V267" s="149">
        <v>7.8380000000000001</v>
      </c>
      <c r="W267" s="70">
        <f>12.523+13.307</f>
        <v>25.83</v>
      </c>
      <c r="X267" s="149">
        <f t="shared" si="16"/>
        <v>202.45553999999998</v>
      </c>
      <c r="Y267" s="149">
        <v>2</v>
      </c>
    </row>
    <row r="268" spans="1:25" ht="16">
      <c r="A268" s="149" t="s">
        <v>12</v>
      </c>
      <c r="B268" s="150" t="s">
        <v>2315</v>
      </c>
      <c r="C268" s="149" t="s">
        <v>1744</v>
      </c>
      <c r="D268" s="149" t="str">
        <f t="shared" si="17"/>
        <v>Stant</v>
      </c>
      <c r="E268" s="149" t="s">
        <v>2482</v>
      </c>
      <c r="F268" s="149">
        <v>-28.512</v>
      </c>
      <c r="G268" s="149">
        <v>151.88</v>
      </c>
      <c r="H268" s="149">
        <v>0</v>
      </c>
      <c r="I268" s="151">
        <v>43004</v>
      </c>
      <c r="J268" s="149" t="s">
        <v>2558</v>
      </c>
      <c r="K268" s="149" t="s">
        <v>177</v>
      </c>
      <c r="L268" s="149" t="s">
        <v>2569</v>
      </c>
      <c r="M268" s="149" t="s">
        <v>2570</v>
      </c>
      <c r="N268" s="149" t="s">
        <v>2571</v>
      </c>
      <c r="O268" s="149" t="s">
        <v>2369</v>
      </c>
      <c r="P268" s="149" t="s">
        <v>3556</v>
      </c>
      <c r="Q268" s="149" t="s">
        <v>2701</v>
      </c>
      <c r="R268" s="149" t="s">
        <v>2713</v>
      </c>
      <c r="S268" s="149">
        <v>6.2700000000000006E-2</v>
      </c>
      <c r="T268" s="149">
        <v>3.8671999999999984E-2</v>
      </c>
      <c r="U268" s="70">
        <f t="shared" si="15"/>
        <v>2.4028000000000022E-2</v>
      </c>
      <c r="V268" s="149">
        <v>4.319</v>
      </c>
      <c r="W268" s="70">
        <f>7.307+8.713</f>
        <v>16.02</v>
      </c>
      <c r="X268" s="149">
        <f t="shared" si="16"/>
        <v>69.19037999999999</v>
      </c>
      <c r="Y268" s="149">
        <v>3</v>
      </c>
    </row>
    <row r="269" spans="1:25" ht="16">
      <c r="A269" s="149" t="s">
        <v>12</v>
      </c>
      <c r="B269" s="150" t="s">
        <v>2316</v>
      </c>
      <c r="C269" s="149" t="s">
        <v>1744</v>
      </c>
      <c r="D269" s="149" t="str">
        <f t="shared" si="17"/>
        <v>Maree</v>
      </c>
      <c r="E269" s="149" t="s">
        <v>2645</v>
      </c>
      <c r="F269" s="149">
        <v>-16.9011</v>
      </c>
      <c r="G269" s="149">
        <v>145.43090000000001</v>
      </c>
      <c r="H269" s="149">
        <v>0</v>
      </c>
      <c r="I269" s="151">
        <v>42957</v>
      </c>
      <c r="J269" s="149" t="s">
        <v>2556</v>
      </c>
      <c r="K269" s="149" t="s">
        <v>177</v>
      </c>
      <c r="L269" s="149" t="s">
        <v>1687</v>
      </c>
      <c r="M269" s="149" t="s">
        <v>2563</v>
      </c>
      <c r="N269" s="149" t="s">
        <v>2710</v>
      </c>
      <c r="O269" s="149" t="s">
        <v>2403</v>
      </c>
      <c r="P269" s="149" t="s">
        <v>2403</v>
      </c>
      <c r="Q269" s="149" t="s">
        <v>2404</v>
      </c>
      <c r="R269" s="149" t="s">
        <v>2713</v>
      </c>
      <c r="S269" s="149">
        <v>5.6500000000000002E-2</v>
      </c>
      <c r="T269" s="149">
        <v>3.8671999999999984E-2</v>
      </c>
      <c r="U269" s="70">
        <f t="shared" si="15"/>
        <v>1.7828000000000017E-2</v>
      </c>
      <c r="V269" s="149">
        <v>4.2880000000000003</v>
      </c>
      <c r="W269" s="70">
        <f>6.5+8.406</f>
        <v>14.906000000000001</v>
      </c>
      <c r="X269" s="149">
        <f t="shared" si="16"/>
        <v>63.916928000000006</v>
      </c>
      <c r="Y269" s="149">
        <v>3</v>
      </c>
    </row>
    <row r="270" spans="1:25" ht="16">
      <c r="A270" s="149" t="s">
        <v>12</v>
      </c>
      <c r="B270" s="150" t="s">
        <v>2317</v>
      </c>
      <c r="C270" s="149" t="s">
        <v>1744</v>
      </c>
      <c r="D270" s="149" t="str">
        <f t="shared" si="17"/>
        <v>Maree</v>
      </c>
      <c r="E270" s="149" t="s">
        <v>2645</v>
      </c>
      <c r="F270" s="149">
        <v>-16.9011</v>
      </c>
      <c r="G270" s="149">
        <v>145.43090000000001</v>
      </c>
      <c r="H270" s="149">
        <v>0</v>
      </c>
      <c r="I270" s="151">
        <v>42957</v>
      </c>
      <c r="J270" s="149" t="s">
        <v>2556</v>
      </c>
      <c r="K270" s="149" t="s">
        <v>177</v>
      </c>
      <c r="L270" s="149" t="s">
        <v>1687</v>
      </c>
      <c r="M270" s="149" t="s">
        <v>2563</v>
      </c>
      <c r="N270" s="149" t="s">
        <v>2710</v>
      </c>
      <c r="O270" s="149" t="s">
        <v>2403</v>
      </c>
      <c r="P270" s="149" t="s">
        <v>2403</v>
      </c>
      <c r="Q270" s="149" t="s">
        <v>2406</v>
      </c>
      <c r="R270" s="149" t="s">
        <v>2713</v>
      </c>
      <c r="S270" s="149">
        <v>5.04E-2</v>
      </c>
      <c r="T270" s="149">
        <v>3.8671999999999984E-2</v>
      </c>
      <c r="U270" s="70">
        <f t="shared" si="15"/>
        <v>1.1728000000000016E-2</v>
      </c>
      <c r="V270" s="149">
        <v>3.6760000000000002</v>
      </c>
      <c r="W270" s="70">
        <f>7.517+6.737</f>
        <v>14.254000000000001</v>
      </c>
      <c r="X270" s="149">
        <f t="shared" si="16"/>
        <v>52.397704000000004</v>
      </c>
      <c r="Y270" s="149">
        <v>3</v>
      </c>
    </row>
    <row r="271" spans="1:25" ht="16">
      <c r="A271" s="149" t="s">
        <v>12</v>
      </c>
      <c r="B271" s="150" t="s">
        <v>2318</v>
      </c>
      <c r="C271" s="149" t="s">
        <v>1744</v>
      </c>
      <c r="D271" s="149" t="str">
        <f t="shared" si="17"/>
        <v>Maree</v>
      </c>
      <c r="E271" s="149" t="s">
        <v>2645</v>
      </c>
      <c r="F271" s="149">
        <v>-16.9011</v>
      </c>
      <c r="G271" s="149">
        <v>145.43090000000001</v>
      </c>
      <c r="H271" s="149">
        <v>0</v>
      </c>
      <c r="I271" s="151">
        <v>42957</v>
      </c>
      <c r="J271" s="149" t="s">
        <v>2556</v>
      </c>
      <c r="K271" s="149" t="s">
        <v>177</v>
      </c>
      <c r="L271" s="149" t="s">
        <v>1687</v>
      </c>
      <c r="M271" s="149" t="s">
        <v>2563</v>
      </c>
      <c r="N271" s="149" t="s">
        <v>2710</v>
      </c>
      <c r="O271" s="149" t="s">
        <v>2403</v>
      </c>
      <c r="P271" s="149" t="s">
        <v>2403</v>
      </c>
      <c r="Q271" s="149" t="s">
        <v>2406</v>
      </c>
      <c r="R271" s="149" t="s">
        <v>2713</v>
      </c>
      <c r="S271" s="149">
        <v>4.9500000000000002E-2</v>
      </c>
      <c r="T271" s="149">
        <v>3.8671999999999984E-2</v>
      </c>
      <c r="U271" s="70">
        <f t="shared" si="15"/>
        <v>1.0828000000000018E-2</v>
      </c>
      <c r="V271" s="149">
        <v>3.5529999999999999</v>
      </c>
      <c r="W271" s="70">
        <f>6.521+7.279</f>
        <v>13.8</v>
      </c>
      <c r="X271" s="149">
        <f t="shared" si="16"/>
        <v>49.031400000000005</v>
      </c>
      <c r="Y271" s="149">
        <v>3</v>
      </c>
    </row>
    <row r="272" spans="1:25" ht="16">
      <c r="A272" s="149" t="s">
        <v>12</v>
      </c>
      <c r="B272" s="150" t="s">
        <v>2319</v>
      </c>
      <c r="C272" s="149" t="s">
        <v>1744</v>
      </c>
      <c r="D272" s="149" t="str">
        <f t="shared" si="17"/>
        <v>Maree</v>
      </c>
      <c r="E272" s="149" t="s">
        <v>2645</v>
      </c>
      <c r="F272" s="149">
        <v>-16.9011</v>
      </c>
      <c r="G272" s="149">
        <v>145.43090000000001</v>
      </c>
      <c r="H272" s="149">
        <v>0</v>
      </c>
      <c r="I272" s="151">
        <v>42957</v>
      </c>
      <c r="J272" s="149" t="s">
        <v>2556</v>
      </c>
      <c r="K272" s="149" t="s">
        <v>177</v>
      </c>
      <c r="L272" s="149" t="s">
        <v>1687</v>
      </c>
      <c r="M272" s="149" t="s">
        <v>2563</v>
      </c>
      <c r="N272" s="149" t="s">
        <v>2710</v>
      </c>
      <c r="O272" s="149" t="s">
        <v>2403</v>
      </c>
      <c r="P272" s="149" t="s">
        <v>2403</v>
      </c>
      <c r="Q272" s="149" t="s">
        <v>2406</v>
      </c>
      <c r="R272" s="149" t="s">
        <v>2713</v>
      </c>
      <c r="S272" s="149">
        <v>8.0799999999999997E-2</v>
      </c>
      <c r="T272" s="149">
        <v>6.7166000000000003E-2</v>
      </c>
      <c r="U272" s="70">
        <f t="shared" si="15"/>
        <v>1.3633999999999993E-2</v>
      </c>
      <c r="V272" s="149">
        <v>3.4729999999999999</v>
      </c>
      <c r="W272" s="70">
        <f>6.737+7.567</f>
        <v>14.304</v>
      </c>
      <c r="X272" s="149">
        <f t="shared" si="16"/>
        <v>49.677791999999997</v>
      </c>
      <c r="Y272" s="149">
        <v>2</v>
      </c>
    </row>
    <row r="273" spans="1:25" ht="16">
      <c r="A273" s="149" t="s">
        <v>12</v>
      </c>
      <c r="B273" s="150" t="s">
        <v>2320</v>
      </c>
      <c r="C273" s="149" t="s">
        <v>1744</v>
      </c>
      <c r="D273" s="149" t="str">
        <f t="shared" si="17"/>
        <v>Maree</v>
      </c>
      <c r="E273" s="149" t="s">
        <v>2645</v>
      </c>
      <c r="F273" s="149">
        <v>-16.9011</v>
      </c>
      <c r="G273" s="149">
        <v>145.43090000000001</v>
      </c>
      <c r="H273" s="149">
        <v>0</v>
      </c>
      <c r="I273" s="151">
        <v>42954</v>
      </c>
      <c r="J273" s="149" t="s">
        <v>2556</v>
      </c>
      <c r="K273" s="149" t="s">
        <v>177</v>
      </c>
      <c r="L273" s="149" t="s">
        <v>1687</v>
      </c>
      <c r="M273" s="149" t="s">
        <v>2563</v>
      </c>
      <c r="N273" s="149" t="s">
        <v>2710</v>
      </c>
      <c r="O273" s="149" t="s">
        <v>2403</v>
      </c>
      <c r="P273" s="149" t="s">
        <v>2403</v>
      </c>
      <c r="Q273" s="149" t="s">
        <v>2406</v>
      </c>
      <c r="R273" s="149" t="s">
        <v>2713</v>
      </c>
      <c r="S273" s="149">
        <v>4.9299999999999997E-2</v>
      </c>
      <c r="T273" s="149">
        <v>3.8671999999999984E-2</v>
      </c>
      <c r="U273" s="70">
        <f t="shared" si="15"/>
        <v>1.0628000000000012E-2</v>
      </c>
      <c r="V273" s="149">
        <v>3.6949999999999998</v>
      </c>
      <c r="W273" s="70">
        <f>6.521+7.118</f>
        <v>13.638999999999999</v>
      </c>
      <c r="X273" s="149">
        <f t="shared" si="16"/>
        <v>50.396104999999999</v>
      </c>
      <c r="Y273" s="149">
        <v>3</v>
      </c>
    </row>
    <row r="274" spans="1:25" ht="16">
      <c r="A274" s="149" t="s">
        <v>12</v>
      </c>
      <c r="B274" s="150" t="s">
        <v>2321</v>
      </c>
      <c r="C274" s="149" t="s">
        <v>1744</v>
      </c>
      <c r="D274" s="149" t="str">
        <f t="shared" si="17"/>
        <v>Maree</v>
      </c>
      <c r="E274" s="149" t="s">
        <v>2645</v>
      </c>
      <c r="F274" s="149">
        <v>-16.9011</v>
      </c>
      <c r="G274" s="149">
        <v>145.43090000000001</v>
      </c>
      <c r="H274" s="149">
        <v>0</v>
      </c>
      <c r="I274" s="151">
        <v>42957</v>
      </c>
      <c r="J274" s="149" t="s">
        <v>2556</v>
      </c>
      <c r="K274" s="149" t="s">
        <v>177</v>
      </c>
      <c r="L274" s="149" t="s">
        <v>1687</v>
      </c>
      <c r="M274" s="149" t="s">
        <v>2563</v>
      </c>
      <c r="N274" s="149" t="s">
        <v>2710</v>
      </c>
      <c r="O274" s="149" t="s">
        <v>2403</v>
      </c>
      <c r="P274" s="149" t="s">
        <v>2403</v>
      </c>
      <c r="Q274" s="149" t="s">
        <v>2406</v>
      </c>
      <c r="R274" s="149" t="s">
        <v>2713</v>
      </c>
      <c r="S274" s="149">
        <v>4.9799999999999997E-2</v>
      </c>
      <c r="T274" s="149">
        <v>3.8671999999999984E-2</v>
      </c>
      <c r="U274" s="70">
        <f t="shared" si="15"/>
        <v>1.1128000000000013E-2</v>
      </c>
      <c r="V274" s="149">
        <v>3.5270000000000001</v>
      </c>
      <c r="W274" s="70">
        <f>6.66+6.923</f>
        <v>13.583</v>
      </c>
      <c r="X274" s="149">
        <f t="shared" si="16"/>
        <v>47.907240999999999</v>
      </c>
      <c r="Y274" s="149">
        <v>3</v>
      </c>
    </row>
    <row r="275" spans="1:25" ht="16">
      <c r="A275" s="149" t="s">
        <v>12</v>
      </c>
      <c r="B275" s="150" t="s">
        <v>2322</v>
      </c>
      <c r="C275" s="149" t="s">
        <v>1744</v>
      </c>
      <c r="D275" s="149" t="str">
        <f t="shared" si="17"/>
        <v>Maree</v>
      </c>
      <c r="E275" s="149" t="s">
        <v>2645</v>
      </c>
      <c r="F275" s="149">
        <v>-16.9011</v>
      </c>
      <c r="G275" s="149">
        <v>145.43090000000001</v>
      </c>
      <c r="H275" s="149">
        <v>0</v>
      </c>
      <c r="I275" s="151">
        <v>42957</v>
      </c>
      <c r="J275" s="149" t="s">
        <v>2556</v>
      </c>
      <c r="K275" s="149" t="s">
        <v>177</v>
      </c>
      <c r="L275" s="149" t="s">
        <v>1687</v>
      </c>
      <c r="M275" s="149" t="s">
        <v>2563</v>
      </c>
      <c r="N275" s="149" t="s">
        <v>2710</v>
      </c>
      <c r="O275" s="149" t="s">
        <v>2403</v>
      </c>
      <c r="P275" s="149" t="s">
        <v>2403</v>
      </c>
      <c r="Q275" s="149" t="s">
        <v>2406</v>
      </c>
      <c r="R275" s="149" t="s">
        <v>2713</v>
      </c>
      <c r="S275" s="149">
        <v>4.87E-2</v>
      </c>
      <c r="T275" s="149">
        <v>3.8671999999999984E-2</v>
      </c>
      <c r="U275" s="70">
        <f t="shared" si="15"/>
        <v>1.0028000000000016E-2</v>
      </c>
      <c r="V275" s="149">
        <v>3.577</v>
      </c>
      <c r="W275" s="70">
        <f>6.774+6.781</f>
        <v>13.555</v>
      </c>
      <c r="X275" s="149">
        <f t="shared" si="16"/>
        <v>48.486235000000001</v>
      </c>
      <c r="Y275" s="149">
        <v>3</v>
      </c>
    </row>
    <row r="276" spans="1:25" ht="16">
      <c r="A276" s="149" t="s">
        <v>12</v>
      </c>
      <c r="B276" s="150" t="s">
        <v>2323</v>
      </c>
      <c r="C276" s="149" t="s">
        <v>1744</v>
      </c>
      <c r="D276" s="149" t="str">
        <f t="shared" si="17"/>
        <v>Kathe</v>
      </c>
      <c r="E276" s="149" t="s">
        <v>2483</v>
      </c>
      <c r="F276" s="149">
        <v>-14.555999999999999</v>
      </c>
      <c r="G276" s="149">
        <v>132.47499999999999</v>
      </c>
      <c r="H276" s="149">
        <v>0</v>
      </c>
      <c r="I276" s="151">
        <v>42947</v>
      </c>
      <c r="J276" s="149" t="s">
        <v>2557</v>
      </c>
      <c r="K276" s="149" t="s">
        <v>177</v>
      </c>
      <c r="L276" s="149" t="s">
        <v>1687</v>
      </c>
      <c r="M276" s="149" t="s">
        <v>2563</v>
      </c>
      <c r="N276" s="149" t="s">
        <v>2562</v>
      </c>
      <c r="O276" s="149" t="s">
        <v>2103</v>
      </c>
      <c r="P276" s="149" t="s">
        <v>2103</v>
      </c>
      <c r="Q276" s="149" t="s">
        <v>2405</v>
      </c>
      <c r="R276" s="149" t="s">
        <v>2713</v>
      </c>
      <c r="S276" s="149">
        <v>4.1399999999999999E-2</v>
      </c>
      <c r="T276" s="149">
        <v>3.8671999999999984E-2</v>
      </c>
      <c r="U276" s="70">
        <f t="shared" si="15"/>
        <v>2.7280000000000151E-3</v>
      </c>
      <c r="V276" s="149">
        <v>1.7929999999999999</v>
      </c>
      <c r="W276" s="70">
        <f>3.429+2.45</f>
        <v>5.8789999999999996</v>
      </c>
      <c r="X276" s="149">
        <f t="shared" si="16"/>
        <v>10.541046999999999</v>
      </c>
      <c r="Y276" s="149">
        <v>3</v>
      </c>
    </row>
    <row r="277" spans="1:25" ht="16">
      <c r="A277" s="149" t="s">
        <v>12</v>
      </c>
      <c r="B277" s="150" t="s">
        <v>2324</v>
      </c>
      <c r="C277" s="149" t="s">
        <v>1744</v>
      </c>
      <c r="D277" s="149" t="str">
        <f t="shared" si="17"/>
        <v>Kathe</v>
      </c>
      <c r="E277" s="149" t="s">
        <v>2484</v>
      </c>
      <c r="F277" s="149">
        <v>-14.555999999999999</v>
      </c>
      <c r="G277" s="149">
        <v>132.47499999999999</v>
      </c>
      <c r="H277" s="149">
        <v>0</v>
      </c>
      <c r="I277" s="151">
        <v>42947</v>
      </c>
      <c r="J277" s="149" t="s">
        <v>2557</v>
      </c>
      <c r="K277" s="149" t="s">
        <v>177</v>
      </c>
      <c r="L277" s="149" t="s">
        <v>1687</v>
      </c>
      <c r="M277" s="149" t="s">
        <v>2563</v>
      </c>
      <c r="N277" s="149" t="s">
        <v>2562</v>
      </c>
      <c r="O277" s="149" t="s">
        <v>2103</v>
      </c>
      <c r="P277" s="149" t="s">
        <v>2103</v>
      </c>
      <c r="Q277" s="149" t="s">
        <v>2405</v>
      </c>
      <c r="R277" s="149" t="s">
        <v>2713</v>
      </c>
      <c r="S277" s="149">
        <v>4.1500000000000002E-2</v>
      </c>
      <c r="T277" s="149">
        <v>3.8671999999999984E-2</v>
      </c>
      <c r="U277" s="70">
        <f t="shared" si="15"/>
        <v>2.828000000000018E-3</v>
      </c>
      <c r="V277" s="149">
        <v>1.8540000000000001</v>
      </c>
      <c r="W277" s="70">
        <v>6.4550000000000001</v>
      </c>
      <c r="X277" s="149">
        <f t="shared" si="16"/>
        <v>11.96757</v>
      </c>
      <c r="Y277" s="149">
        <v>3</v>
      </c>
    </row>
    <row r="278" spans="1:25" ht="16">
      <c r="A278" s="149" t="s">
        <v>12</v>
      </c>
      <c r="B278" s="150" t="s">
        <v>2325</v>
      </c>
      <c r="C278" s="149" t="s">
        <v>1744</v>
      </c>
      <c r="D278" s="149" t="str">
        <f t="shared" si="17"/>
        <v>Kathe</v>
      </c>
      <c r="E278" s="149" t="s">
        <v>2485</v>
      </c>
      <c r="F278" s="149">
        <v>-14.555999999999999</v>
      </c>
      <c r="G278" s="149">
        <v>132.47499999999999</v>
      </c>
      <c r="H278" s="149">
        <v>0</v>
      </c>
      <c r="I278" s="151">
        <v>42947</v>
      </c>
      <c r="J278" s="149" t="s">
        <v>2557</v>
      </c>
      <c r="K278" s="149" t="s">
        <v>177</v>
      </c>
      <c r="L278" s="149" t="s">
        <v>1687</v>
      </c>
      <c r="M278" s="149" t="s">
        <v>2563</v>
      </c>
      <c r="N278" s="149" t="s">
        <v>2562</v>
      </c>
      <c r="O278" s="149" t="s">
        <v>2103</v>
      </c>
      <c r="P278" s="149" t="s">
        <v>2103</v>
      </c>
      <c r="Q278" s="149" t="s">
        <v>2405</v>
      </c>
      <c r="R278" s="149" t="s">
        <v>2713</v>
      </c>
      <c r="S278" s="149">
        <v>4.1200000000000001E-2</v>
      </c>
      <c r="T278" s="149">
        <v>3.8671999999999984E-2</v>
      </c>
      <c r="U278" s="70">
        <f t="shared" si="15"/>
        <v>2.5280000000000163E-3</v>
      </c>
      <c r="V278" s="149">
        <v>1.7829999999999999</v>
      </c>
      <c r="W278" s="70">
        <f>2.671+3.848</f>
        <v>6.5190000000000001</v>
      </c>
      <c r="X278" s="149">
        <f t="shared" si="16"/>
        <v>11.623377</v>
      </c>
      <c r="Y278" s="149">
        <v>3</v>
      </c>
    </row>
    <row r="279" spans="1:25" ht="16">
      <c r="A279" s="149" t="s">
        <v>12</v>
      </c>
      <c r="B279" s="150" t="s">
        <v>2342</v>
      </c>
      <c r="C279" s="149" t="s">
        <v>1744</v>
      </c>
      <c r="D279" s="149" t="str">
        <f t="shared" si="17"/>
        <v>Kathe</v>
      </c>
      <c r="E279" s="149" t="s">
        <v>2501</v>
      </c>
      <c r="F279" s="149">
        <v>-14.555999999999999</v>
      </c>
      <c r="G279" s="149">
        <v>132.47499999999999</v>
      </c>
      <c r="H279" s="149">
        <v>0</v>
      </c>
      <c r="I279" s="151">
        <v>42947</v>
      </c>
      <c r="J279" s="149" t="s">
        <v>2557</v>
      </c>
      <c r="K279" s="149" t="s">
        <v>177</v>
      </c>
      <c r="L279" s="149" t="s">
        <v>1687</v>
      </c>
      <c r="M279" s="149" t="s">
        <v>2563</v>
      </c>
      <c r="N279" s="149" t="s">
        <v>2562</v>
      </c>
      <c r="O279" s="149" t="s">
        <v>2103</v>
      </c>
      <c r="P279" s="149" t="s">
        <v>2103</v>
      </c>
      <c r="Q279" s="149" t="s">
        <v>2405</v>
      </c>
      <c r="R279" s="149" t="s">
        <v>2713</v>
      </c>
      <c r="S279" s="149">
        <v>3.9600000000000003E-2</v>
      </c>
      <c r="T279" s="149">
        <v>3.8671999999999984E-2</v>
      </c>
      <c r="U279" s="70">
        <f t="shared" si="15"/>
        <v>9.2800000000001909E-4</v>
      </c>
      <c r="V279" s="149">
        <v>1.873</v>
      </c>
      <c r="W279" s="70">
        <f>3.389+2.323</f>
        <v>5.7119999999999997</v>
      </c>
      <c r="X279" s="149">
        <f t="shared" si="16"/>
        <v>10.698575999999999</v>
      </c>
      <c r="Y279" s="149">
        <v>3</v>
      </c>
    </row>
    <row r="280" spans="1:25" ht="16">
      <c r="A280" s="149" t="s">
        <v>12</v>
      </c>
      <c r="B280" s="150" t="s">
        <v>2343</v>
      </c>
      <c r="C280" s="149" t="s">
        <v>1744</v>
      </c>
      <c r="D280" s="149" t="str">
        <f t="shared" si="17"/>
        <v>Kathe</v>
      </c>
      <c r="E280" s="149" t="s">
        <v>2502</v>
      </c>
      <c r="F280" s="149">
        <v>-14.555999999999999</v>
      </c>
      <c r="G280" s="149">
        <v>132.47499999999999</v>
      </c>
      <c r="H280" s="149">
        <v>0</v>
      </c>
      <c r="I280" s="151">
        <v>42947</v>
      </c>
      <c r="J280" s="149" t="s">
        <v>2557</v>
      </c>
      <c r="K280" s="149" t="s">
        <v>177</v>
      </c>
      <c r="L280" s="149" t="s">
        <v>1687</v>
      </c>
      <c r="M280" s="149" t="s">
        <v>2563</v>
      </c>
      <c r="N280" s="149" t="s">
        <v>2562</v>
      </c>
      <c r="O280" s="149" t="s">
        <v>2103</v>
      </c>
      <c r="P280" s="149" t="s">
        <v>2103</v>
      </c>
      <c r="Q280" s="149" t="s">
        <v>2405</v>
      </c>
      <c r="R280" s="149" t="s">
        <v>2713</v>
      </c>
      <c r="S280" s="149">
        <v>3.9800000000000002E-2</v>
      </c>
      <c r="T280" s="149">
        <v>3.8671999999999984E-2</v>
      </c>
      <c r="U280" s="70">
        <f t="shared" si="15"/>
        <v>1.1280000000000179E-3</v>
      </c>
      <c r="V280" s="149">
        <v>1.7929999999999999</v>
      </c>
      <c r="W280" s="70">
        <f>3.588+2.557</f>
        <v>6.1449999999999996</v>
      </c>
      <c r="X280" s="149">
        <f t="shared" si="16"/>
        <v>11.017984999999999</v>
      </c>
      <c r="Y280" s="149">
        <v>3</v>
      </c>
    </row>
    <row r="281" spans="1:25" ht="16">
      <c r="A281" s="149" t="s">
        <v>12</v>
      </c>
      <c r="B281" s="150" t="s">
        <v>2351</v>
      </c>
      <c r="C281" s="149" t="s">
        <v>1744</v>
      </c>
      <c r="D281" s="149" t="str">
        <f t="shared" si="17"/>
        <v>Kathe</v>
      </c>
      <c r="E281" s="149" t="s">
        <v>2505</v>
      </c>
      <c r="F281" s="149">
        <v>-14.555999999999999</v>
      </c>
      <c r="G281" s="149">
        <v>132.47499999999999</v>
      </c>
      <c r="H281" s="149">
        <v>0</v>
      </c>
      <c r="I281" s="151">
        <v>42950</v>
      </c>
      <c r="J281" s="149" t="s">
        <v>2557</v>
      </c>
      <c r="K281" s="149" t="s">
        <v>177</v>
      </c>
      <c r="L281" s="149" t="s">
        <v>2572</v>
      </c>
      <c r="M281" s="149" t="s">
        <v>2407</v>
      </c>
      <c r="N281" s="149" t="s">
        <v>36</v>
      </c>
      <c r="O281" s="149" t="s">
        <v>36</v>
      </c>
      <c r="P281" s="149" t="s">
        <v>36</v>
      </c>
      <c r="Q281" s="149" t="s">
        <v>2688</v>
      </c>
      <c r="R281" s="149" t="s">
        <v>2712</v>
      </c>
      <c r="S281" s="149">
        <v>3.0000000000000001E-3</v>
      </c>
      <c r="T281" s="149">
        <v>2.6680000000000011E-3</v>
      </c>
      <c r="U281" s="70">
        <f t="shared" si="15"/>
        <v>3.3199999999999896E-4</v>
      </c>
      <c r="V281" s="149">
        <v>1.083</v>
      </c>
      <c r="W281" s="70">
        <f>3.103+2.775</f>
        <v>5.8780000000000001</v>
      </c>
      <c r="X281" s="149">
        <f t="shared" si="16"/>
        <v>6.3658739999999998</v>
      </c>
      <c r="Y281" s="149">
        <v>4</v>
      </c>
    </row>
    <row r="282" spans="1:25" ht="16">
      <c r="A282" s="149" t="s">
        <v>12</v>
      </c>
      <c r="B282" s="150" t="s">
        <v>2352</v>
      </c>
      <c r="C282" s="149" t="s">
        <v>1744</v>
      </c>
      <c r="D282" s="149" t="str">
        <f t="shared" si="17"/>
        <v>Kathe</v>
      </c>
      <c r="E282" s="149" t="s">
        <v>2506</v>
      </c>
      <c r="F282" s="149">
        <v>-14.54</v>
      </c>
      <c r="G282" s="149">
        <v>132.131</v>
      </c>
      <c r="H282" s="149">
        <v>0</v>
      </c>
      <c r="I282" s="151">
        <v>42948</v>
      </c>
      <c r="J282" s="149" t="s">
        <v>2557</v>
      </c>
      <c r="K282" s="149" t="s">
        <v>177</v>
      </c>
      <c r="L282" s="149" t="s">
        <v>2566</v>
      </c>
      <c r="M282" s="149" t="s">
        <v>2567</v>
      </c>
      <c r="N282" s="149" t="s">
        <v>2668</v>
      </c>
      <c r="O282" s="149" t="s">
        <v>2105</v>
      </c>
      <c r="P282" s="149" t="s">
        <v>2105</v>
      </c>
      <c r="Q282" s="149" t="s">
        <v>2387</v>
      </c>
      <c r="R282" s="149" t="s">
        <v>2713</v>
      </c>
      <c r="S282" s="149">
        <v>3.5999999999999999E-3</v>
      </c>
      <c r="T282" s="149">
        <v>2.6680000000000011E-3</v>
      </c>
      <c r="U282" s="70">
        <f t="shared" si="15"/>
        <v>9.319999999999988E-4</v>
      </c>
      <c r="V282" s="149">
        <v>1.583</v>
      </c>
      <c r="W282" s="70">
        <f>3.312+0.876+3.091</f>
        <v>7.2789999999999999</v>
      </c>
      <c r="X282" s="149">
        <f t="shared" si="16"/>
        <v>11.522656999999999</v>
      </c>
      <c r="Y282" s="149">
        <v>4</v>
      </c>
    </row>
    <row r="283" spans="1:25" ht="16">
      <c r="A283" s="149" t="s">
        <v>12</v>
      </c>
      <c r="B283" s="150" t="s">
        <v>2353</v>
      </c>
      <c r="C283" s="149" t="s">
        <v>1744</v>
      </c>
      <c r="D283" s="149" t="str">
        <f t="shared" si="17"/>
        <v>Kathe</v>
      </c>
      <c r="E283" s="149" t="s">
        <v>2507</v>
      </c>
      <c r="F283" s="149">
        <v>-14.555999999999999</v>
      </c>
      <c r="G283" s="149">
        <v>132.47499999999999</v>
      </c>
      <c r="H283" s="149">
        <v>0</v>
      </c>
      <c r="I283" s="151">
        <v>42950</v>
      </c>
      <c r="J283" s="149" t="s">
        <v>2557</v>
      </c>
      <c r="K283" s="149" t="s">
        <v>177</v>
      </c>
      <c r="L283" s="149" t="s">
        <v>2566</v>
      </c>
      <c r="M283" s="149" t="s">
        <v>2567</v>
      </c>
      <c r="N283" s="149" t="s">
        <v>2668</v>
      </c>
      <c r="O283" s="149" t="s">
        <v>2105</v>
      </c>
      <c r="P283" s="149" t="s">
        <v>2105</v>
      </c>
      <c r="Q283" s="149" t="s">
        <v>2387</v>
      </c>
      <c r="R283" s="149" t="s">
        <v>2713</v>
      </c>
      <c r="S283" s="149">
        <v>3.5000000000000001E-3</v>
      </c>
      <c r="T283" s="149">
        <v>2.6680000000000011E-3</v>
      </c>
      <c r="U283" s="70">
        <f t="shared" si="15"/>
        <v>8.3199999999999897E-4</v>
      </c>
      <c r="V283" s="149">
        <v>1.4350000000000001</v>
      </c>
      <c r="W283" s="70">
        <f>2.23+3.988</f>
        <v>6.218</v>
      </c>
      <c r="X283" s="149">
        <f t="shared" si="16"/>
        <v>8.9228300000000011</v>
      </c>
      <c r="Y283" s="149">
        <v>4</v>
      </c>
    </row>
    <row r="284" spans="1:25" ht="16">
      <c r="A284" s="149" t="s">
        <v>12</v>
      </c>
      <c r="B284" s="150" t="s">
        <v>2354</v>
      </c>
      <c r="C284" s="149" t="s">
        <v>1744</v>
      </c>
      <c r="D284" s="149" t="str">
        <f t="shared" si="17"/>
        <v>Kathe</v>
      </c>
      <c r="E284" s="149" t="s">
        <v>2508</v>
      </c>
      <c r="F284" s="149">
        <v>-14.525</v>
      </c>
      <c r="G284" s="149">
        <v>132.45500000000001</v>
      </c>
      <c r="H284" s="149">
        <v>0</v>
      </c>
      <c r="I284" s="151">
        <v>42944</v>
      </c>
      <c r="J284" s="149" t="s">
        <v>2557</v>
      </c>
      <c r="K284" s="149" t="s">
        <v>177</v>
      </c>
      <c r="L284" s="149" t="s">
        <v>2566</v>
      </c>
      <c r="M284" s="149" t="s">
        <v>2567</v>
      </c>
      <c r="N284" s="149" t="s">
        <v>2668</v>
      </c>
      <c r="O284" s="149" t="s">
        <v>2105</v>
      </c>
      <c r="P284" s="149" t="s">
        <v>2105</v>
      </c>
      <c r="Q284" s="149" t="s">
        <v>2387</v>
      </c>
      <c r="R284" s="149" t="s">
        <v>2712</v>
      </c>
      <c r="S284" s="149">
        <v>3.2000000000000002E-3</v>
      </c>
      <c r="T284" s="149">
        <v>2.6680000000000011E-3</v>
      </c>
      <c r="U284" s="70">
        <f t="shared" si="15"/>
        <v>5.3199999999999905E-4</v>
      </c>
      <c r="V284" s="149">
        <v>1.252</v>
      </c>
      <c r="W284" s="70">
        <f>2.983+0.702+2.11</f>
        <v>5.7949999999999999</v>
      </c>
      <c r="X284" s="149">
        <f t="shared" si="16"/>
        <v>7.2553400000000003</v>
      </c>
      <c r="Y284" s="149">
        <v>4</v>
      </c>
    </row>
    <row r="285" spans="1:25" ht="16">
      <c r="A285" s="149" t="s">
        <v>12</v>
      </c>
      <c r="B285" s="150" t="s">
        <v>2355</v>
      </c>
      <c r="C285" s="149" t="s">
        <v>1744</v>
      </c>
      <c r="D285" s="149" t="str">
        <f t="shared" si="17"/>
        <v>Kathe</v>
      </c>
      <c r="E285" s="149" t="s">
        <v>2509</v>
      </c>
      <c r="F285" s="149">
        <v>-14.54</v>
      </c>
      <c r="G285" s="149">
        <v>132.131</v>
      </c>
      <c r="H285" s="149">
        <v>0</v>
      </c>
      <c r="I285" s="151">
        <v>42945</v>
      </c>
      <c r="J285" s="149" t="s">
        <v>2557</v>
      </c>
      <c r="K285" s="149" t="s">
        <v>177</v>
      </c>
      <c r="L285" s="149" t="s">
        <v>2566</v>
      </c>
      <c r="M285" s="149" t="s">
        <v>2567</v>
      </c>
      <c r="N285" s="149" t="s">
        <v>2668</v>
      </c>
      <c r="O285" s="149" t="s">
        <v>2105</v>
      </c>
      <c r="P285" s="149" t="s">
        <v>2105</v>
      </c>
      <c r="Q285" s="149" t="s">
        <v>2387</v>
      </c>
      <c r="R285" s="149" t="s">
        <v>2712</v>
      </c>
      <c r="S285" s="149">
        <v>3.0999999999999999E-3</v>
      </c>
      <c r="T285" s="149">
        <v>2.6680000000000011E-3</v>
      </c>
      <c r="U285" s="70">
        <f t="shared" si="15"/>
        <v>4.3199999999999879E-4</v>
      </c>
      <c r="V285" s="149">
        <v>1.2949999999999999</v>
      </c>
      <c r="W285" s="70">
        <f>2.711+0.659+1.974</f>
        <v>5.3440000000000003</v>
      </c>
      <c r="X285" s="149">
        <f t="shared" si="16"/>
        <v>6.9204800000000004</v>
      </c>
      <c r="Y285" s="149">
        <v>4</v>
      </c>
    </row>
    <row r="286" spans="1:25" ht="16">
      <c r="A286" s="149" t="s">
        <v>12</v>
      </c>
      <c r="B286" s="150" t="s">
        <v>2356</v>
      </c>
      <c r="C286" s="149" t="s">
        <v>1744</v>
      </c>
      <c r="D286" s="149" t="str">
        <f t="shared" si="17"/>
        <v>Kathe</v>
      </c>
      <c r="E286" s="149" t="s">
        <v>2510</v>
      </c>
      <c r="F286" s="149">
        <v>-14.54</v>
      </c>
      <c r="G286" s="149">
        <v>132.131</v>
      </c>
      <c r="H286" s="149">
        <v>0</v>
      </c>
      <c r="I286" s="151">
        <v>42948</v>
      </c>
      <c r="J286" s="149" t="s">
        <v>2557</v>
      </c>
      <c r="K286" s="149" t="s">
        <v>177</v>
      </c>
      <c r="L286" s="149" t="s">
        <v>1687</v>
      </c>
      <c r="M286" s="149" t="s">
        <v>2564</v>
      </c>
      <c r="N286" s="149" t="s">
        <v>2565</v>
      </c>
      <c r="O286" s="149" t="s">
        <v>2095</v>
      </c>
      <c r="P286" s="149" t="s">
        <v>2095</v>
      </c>
      <c r="Q286" s="149" t="s">
        <v>2685</v>
      </c>
      <c r="R286" s="149" t="s">
        <v>2713</v>
      </c>
      <c r="S286" s="149">
        <v>4.1000000000000002E-2</v>
      </c>
      <c r="T286" s="149">
        <v>3.8671999999999984E-2</v>
      </c>
      <c r="U286" s="70">
        <f t="shared" si="15"/>
        <v>2.3280000000000176E-3</v>
      </c>
      <c r="V286" s="149">
        <v>1.823</v>
      </c>
      <c r="W286" s="70">
        <v>7.3929999999999998</v>
      </c>
      <c r="X286" s="149">
        <f t="shared" si="16"/>
        <v>13.477438999999999</v>
      </c>
      <c r="Y286" s="149">
        <v>3</v>
      </c>
    </row>
    <row r="287" spans="1:25" ht="16">
      <c r="A287" s="149" t="s">
        <v>12</v>
      </c>
      <c r="B287" s="150" t="s">
        <v>2357</v>
      </c>
      <c r="C287" s="149" t="s">
        <v>1744</v>
      </c>
      <c r="D287" s="149" t="str">
        <f t="shared" si="17"/>
        <v>Kathe</v>
      </c>
      <c r="E287" s="149" t="s">
        <v>2511</v>
      </c>
      <c r="F287" s="149">
        <v>-14.54</v>
      </c>
      <c r="G287" s="149">
        <v>132.131</v>
      </c>
      <c r="H287" s="149">
        <v>0</v>
      </c>
      <c r="I287" s="151">
        <v>42948</v>
      </c>
      <c r="J287" s="149" t="s">
        <v>2557</v>
      </c>
      <c r="K287" s="149" t="s">
        <v>177</v>
      </c>
      <c r="L287" s="149" t="s">
        <v>1687</v>
      </c>
      <c r="M287" s="149" t="s">
        <v>2564</v>
      </c>
      <c r="N287" s="149" t="s">
        <v>2565</v>
      </c>
      <c r="O287" s="149" t="s">
        <v>2095</v>
      </c>
      <c r="P287" s="149" t="s">
        <v>2095</v>
      </c>
      <c r="Q287" s="149" t="s">
        <v>2685</v>
      </c>
      <c r="R287" s="149" t="s">
        <v>2713</v>
      </c>
      <c r="S287" s="149">
        <v>4.1599999999999998E-2</v>
      </c>
      <c r="T287" s="149">
        <v>3.8671999999999984E-2</v>
      </c>
      <c r="U287" s="70">
        <f t="shared" si="15"/>
        <v>2.9280000000000139E-3</v>
      </c>
      <c r="V287" s="149">
        <v>2.0049999999999999</v>
      </c>
      <c r="W287" s="70">
        <v>8.1430000000000007</v>
      </c>
      <c r="X287" s="149">
        <f t="shared" si="16"/>
        <v>16.326715</v>
      </c>
      <c r="Y287" s="149">
        <v>3</v>
      </c>
    </row>
    <row r="288" spans="1:25" ht="16">
      <c r="A288" s="149" t="s">
        <v>12</v>
      </c>
      <c r="B288" s="150" t="s">
        <v>2358</v>
      </c>
      <c r="C288" s="149" t="s">
        <v>1744</v>
      </c>
      <c r="D288" s="149" t="str">
        <f t="shared" si="17"/>
        <v>Kathe</v>
      </c>
      <c r="E288" s="149" t="s">
        <v>2512</v>
      </c>
      <c r="F288" s="149">
        <v>-14.54</v>
      </c>
      <c r="G288" s="149">
        <v>132.131</v>
      </c>
      <c r="H288" s="149">
        <v>0</v>
      </c>
      <c r="I288" s="151">
        <v>42948</v>
      </c>
      <c r="J288" s="149" t="s">
        <v>2557</v>
      </c>
      <c r="K288" s="149" t="s">
        <v>177</v>
      </c>
      <c r="L288" s="149" t="s">
        <v>1687</v>
      </c>
      <c r="M288" s="149" t="s">
        <v>2564</v>
      </c>
      <c r="N288" s="149" t="s">
        <v>2565</v>
      </c>
      <c r="O288" s="149" t="s">
        <v>2095</v>
      </c>
      <c r="P288" s="149" t="s">
        <v>2095</v>
      </c>
      <c r="Q288" s="149" t="s">
        <v>2685</v>
      </c>
      <c r="R288" s="149" t="s">
        <v>2713</v>
      </c>
      <c r="S288" s="149">
        <v>4.1300000000000003E-2</v>
      </c>
      <c r="T288" s="149">
        <v>3.8671999999999984E-2</v>
      </c>
      <c r="U288" s="70">
        <f t="shared" si="15"/>
        <v>2.6280000000000192E-3</v>
      </c>
      <c r="V288" s="149">
        <v>1.899</v>
      </c>
      <c r="W288" s="70">
        <f>4.172+3.773</f>
        <v>7.9450000000000003</v>
      </c>
      <c r="X288" s="149">
        <f t="shared" si="16"/>
        <v>15.087555</v>
      </c>
      <c r="Y288" s="149">
        <v>3</v>
      </c>
    </row>
    <row r="289" spans="1:25" ht="16">
      <c r="A289" s="149" t="s">
        <v>12</v>
      </c>
      <c r="B289" s="150" t="s">
        <v>2359</v>
      </c>
      <c r="C289" s="149" t="s">
        <v>1744</v>
      </c>
      <c r="D289" s="149" t="str">
        <f t="shared" si="17"/>
        <v>Kathe</v>
      </c>
      <c r="E289" s="149" t="s">
        <v>2513</v>
      </c>
      <c r="F289" s="149">
        <v>-14.54</v>
      </c>
      <c r="G289" s="149">
        <v>132.131</v>
      </c>
      <c r="H289" s="149">
        <v>0</v>
      </c>
      <c r="I289" s="151">
        <v>42948</v>
      </c>
      <c r="J289" s="149" t="s">
        <v>2557</v>
      </c>
      <c r="K289" s="149" t="s">
        <v>177</v>
      </c>
      <c r="L289" s="149" t="s">
        <v>1687</v>
      </c>
      <c r="M289" s="149" t="s">
        <v>2563</v>
      </c>
      <c r="N289" s="149" t="s">
        <v>2562</v>
      </c>
      <c r="O289" s="149" t="s">
        <v>2103</v>
      </c>
      <c r="P289" s="149" t="s">
        <v>2103</v>
      </c>
      <c r="Q289" s="149" t="s">
        <v>2405</v>
      </c>
      <c r="R289" s="149" t="s">
        <v>2713</v>
      </c>
      <c r="S289" s="149">
        <v>4.1000000000000003E-3</v>
      </c>
      <c r="T289" s="149">
        <v>2.6680000000000011E-3</v>
      </c>
      <c r="U289" s="70">
        <f t="shared" si="15"/>
        <v>1.4319999999999992E-3</v>
      </c>
      <c r="V289" s="149">
        <v>1.8260000000000001</v>
      </c>
      <c r="W289" s="70">
        <f>3.242+2.869</f>
        <v>6.1110000000000007</v>
      </c>
      <c r="X289" s="149">
        <f t="shared" si="16"/>
        <v>11.158686000000001</v>
      </c>
      <c r="Y289" s="149">
        <v>4</v>
      </c>
    </row>
    <row r="290" spans="1:25" ht="16">
      <c r="A290" s="149" t="s">
        <v>12</v>
      </c>
      <c r="B290" s="150" t="s">
        <v>2360</v>
      </c>
      <c r="C290" s="149" t="s">
        <v>1744</v>
      </c>
      <c r="D290" s="149" t="str">
        <f t="shared" si="17"/>
        <v>Kathe</v>
      </c>
      <c r="E290" s="149" t="s">
        <v>2514</v>
      </c>
      <c r="F290" s="149">
        <v>-14.555999999999999</v>
      </c>
      <c r="G290" s="149">
        <v>132.47499999999999</v>
      </c>
      <c r="H290" s="149">
        <v>0</v>
      </c>
      <c r="I290" s="151">
        <v>42947</v>
      </c>
      <c r="J290" s="149" t="s">
        <v>2557</v>
      </c>
      <c r="K290" s="149" t="s">
        <v>177</v>
      </c>
      <c r="L290" s="149" t="s">
        <v>1687</v>
      </c>
      <c r="M290" s="149" t="s">
        <v>2563</v>
      </c>
      <c r="N290" s="149" t="s">
        <v>2562</v>
      </c>
      <c r="O290" s="149" t="s">
        <v>2103</v>
      </c>
      <c r="P290" s="149" t="s">
        <v>2103</v>
      </c>
      <c r="Q290" s="149" t="s">
        <v>2405</v>
      </c>
      <c r="R290" s="149" t="s">
        <v>2713</v>
      </c>
      <c r="S290" s="149">
        <v>4.4000000000000003E-3</v>
      </c>
      <c r="T290" s="149">
        <v>2.6680000000000011E-3</v>
      </c>
      <c r="U290" s="70">
        <f t="shared" si="15"/>
        <v>1.7319999999999992E-3</v>
      </c>
      <c r="V290" s="149">
        <v>1.8169999999999999</v>
      </c>
      <c r="W290" s="70">
        <f>3.356+2.635</f>
        <v>5.9909999999999997</v>
      </c>
      <c r="X290" s="149">
        <f t="shared" si="16"/>
        <v>10.885646999999999</v>
      </c>
      <c r="Y290" s="149">
        <v>4</v>
      </c>
    </row>
    <row r="291" spans="1:25" ht="16">
      <c r="A291" s="149" t="s">
        <v>12</v>
      </c>
      <c r="B291" s="150" t="s">
        <v>2361</v>
      </c>
      <c r="C291" s="149" t="s">
        <v>1744</v>
      </c>
      <c r="D291" s="149" t="str">
        <f t="shared" si="17"/>
        <v>Kathe</v>
      </c>
      <c r="E291" s="149" t="s">
        <v>2515</v>
      </c>
      <c r="F291" s="149">
        <v>-14.555999999999999</v>
      </c>
      <c r="G291" s="149">
        <v>132.47499999999999</v>
      </c>
      <c r="H291" s="149">
        <v>0</v>
      </c>
      <c r="I291" s="151">
        <v>42947</v>
      </c>
      <c r="J291" s="149" t="s">
        <v>2557</v>
      </c>
      <c r="K291" s="149" t="s">
        <v>177</v>
      </c>
      <c r="L291" s="149" t="s">
        <v>1687</v>
      </c>
      <c r="M291" s="149" t="s">
        <v>2563</v>
      </c>
      <c r="N291" s="149" t="s">
        <v>2562</v>
      </c>
      <c r="O291" s="149" t="s">
        <v>2103</v>
      </c>
      <c r="P291" s="149" t="s">
        <v>2103</v>
      </c>
      <c r="Q291" s="149" t="s">
        <v>2405</v>
      </c>
      <c r="R291" s="149" t="s">
        <v>2713</v>
      </c>
      <c r="S291" s="149">
        <v>4.1000000000000002E-2</v>
      </c>
      <c r="T291" s="149">
        <v>3.8671999999999984E-2</v>
      </c>
      <c r="U291" s="70">
        <f t="shared" si="15"/>
        <v>2.3280000000000176E-3</v>
      </c>
      <c r="V291" s="149">
        <v>1.7569999999999999</v>
      </c>
      <c r="W291" s="70">
        <v>6.5209999999999999</v>
      </c>
      <c r="X291" s="149">
        <f t="shared" si="16"/>
        <v>11.457396999999998</v>
      </c>
      <c r="Y291" s="149">
        <v>3</v>
      </c>
    </row>
    <row r="292" spans="1:25" ht="16">
      <c r="A292" s="149" t="s">
        <v>12</v>
      </c>
      <c r="B292" s="150" t="s">
        <v>2362</v>
      </c>
      <c r="C292" s="149" t="s">
        <v>1744</v>
      </c>
      <c r="D292" s="149" t="str">
        <f t="shared" si="17"/>
        <v>Kathe</v>
      </c>
      <c r="E292" s="149" t="s">
        <v>2516</v>
      </c>
      <c r="F292" s="149">
        <v>-14.555999999999999</v>
      </c>
      <c r="G292" s="149">
        <v>132.47499999999999</v>
      </c>
      <c r="H292" s="149">
        <v>0</v>
      </c>
      <c r="I292" s="151">
        <v>42950</v>
      </c>
      <c r="J292" s="149" t="s">
        <v>2557</v>
      </c>
      <c r="K292" s="149" t="s">
        <v>177</v>
      </c>
      <c r="L292" s="149" t="s">
        <v>1687</v>
      </c>
      <c r="M292" s="149" t="s">
        <v>2563</v>
      </c>
      <c r="N292" s="149" t="s">
        <v>2562</v>
      </c>
      <c r="O292" s="149" t="s">
        <v>2103</v>
      </c>
      <c r="P292" s="149" t="s">
        <v>2103</v>
      </c>
      <c r="Q292" s="149" t="s">
        <v>2405</v>
      </c>
      <c r="R292" s="149" t="s">
        <v>2713</v>
      </c>
      <c r="S292" s="149">
        <v>4.1200000000000001E-2</v>
      </c>
      <c r="T292" s="149">
        <v>3.8671999999999984E-2</v>
      </c>
      <c r="U292" s="70">
        <f t="shared" si="15"/>
        <v>2.5280000000000163E-3</v>
      </c>
      <c r="V292" s="149">
        <v>1.786</v>
      </c>
      <c r="W292" s="70">
        <f>3.468+2.791</f>
        <v>6.2590000000000003</v>
      </c>
      <c r="X292" s="149">
        <f t="shared" si="16"/>
        <v>11.178574000000001</v>
      </c>
      <c r="Y292" s="149">
        <v>3</v>
      </c>
    </row>
    <row r="293" spans="1:25" ht="16">
      <c r="A293" s="149" t="s">
        <v>12</v>
      </c>
      <c r="B293" s="150" t="s">
        <v>2363</v>
      </c>
      <c r="C293" s="149" t="s">
        <v>1744</v>
      </c>
      <c r="D293" s="149" t="str">
        <f t="shared" si="17"/>
        <v>Kathe</v>
      </c>
      <c r="E293" s="149" t="s">
        <v>2517</v>
      </c>
      <c r="F293" s="149">
        <v>-14.555999999999999</v>
      </c>
      <c r="G293" s="149">
        <v>132.47499999999999</v>
      </c>
      <c r="H293" s="149">
        <v>0</v>
      </c>
      <c r="I293" s="151">
        <v>42947</v>
      </c>
      <c r="J293" s="149" t="s">
        <v>2557</v>
      </c>
      <c r="K293" s="149" t="s">
        <v>177</v>
      </c>
      <c r="L293" s="149" t="s">
        <v>1687</v>
      </c>
      <c r="M293" s="149" t="s">
        <v>2563</v>
      </c>
      <c r="N293" s="149" t="s">
        <v>2562</v>
      </c>
      <c r="O293" s="149" t="s">
        <v>2103</v>
      </c>
      <c r="P293" s="149" t="s">
        <v>2103</v>
      </c>
      <c r="Q293" s="149" t="s">
        <v>2405</v>
      </c>
      <c r="R293" s="149" t="s">
        <v>2713</v>
      </c>
      <c r="S293" s="149">
        <v>4.3E-3</v>
      </c>
      <c r="T293" s="149">
        <v>2.6680000000000011E-3</v>
      </c>
      <c r="U293" s="70">
        <f t="shared" si="15"/>
        <v>1.6319999999999989E-3</v>
      </c>
      <c r="V293" s="149">
        <v>1.706</v>
      </c>
      <c r="W293" s="70">
        <f>3.188+2.609</f>
        <v>5.7970000000000006</v>
      </c>
      <c r="X293" s="149">
        <f t="shared" si="16"/>
        <v>9.8896820000000005</v>
      </c>
      <c r="Y293" s="149">
        <v>4</v>
      </c>
    </row>
    <row r="294" spans="1:25" ht="16">
      <c r="A294" s="149" t="s">
        <v>12</v>
      </c>
      <c r="B294" s="150" t="s">
        <v>2364</v>
      </c>
      <c r="C294" s="149" t="s">
        <v>1744</v>
      </c>
      <c r="D294" s="149" t="str">
        <f t="shared" si="17"/>
        <v>Kathe</v>
      </c>
      <c r="E294" s="149" t="s">
        <v>2518</v>
      </c>
      <c r="F294" s="149">
        <v>-14.555999999999999</v>
      </c>
      <c r="G294" s="149">
        <v>132.47499999999999</v>
      </c>
      <c r="H294" s="149">
        <v>0</v>
      </c>
      <c r="I294" s="151">
        <v>42947</v>
      </c>
      <c r="J294" s="149" t="s">
        <v>2557</v>
      </c>
      <c r="K294" s="149" t="s">
        <v>177</v>
      </c>
      <c r="L294" s="149" t="s">
        <v>1687</v>
      </c>
      <c r="M294" s="149" t="s">
        <v>2563</v>
      </c>
      <c r="N294" s="149" t="s">
        <v>2562</v>
      </c>
      <c r="O294" s="149" t="s">
        <v>2103</v>
      </c>
      <c r="P294" s="149" t="s">
        <v>2103</v>
      </c>
      <c r="Q294" s="149" t="s">
        <v>2405</v>
      </c>
      <c r="R294" s="149" t="s">
        <v>2713</v>
      </c>
      <c r="S294" s="149">
        <v>4.1500000000000002E-2</v>
      </c>
      <c r="T294" s="149">
        <v>3.8671999999999984E-2</v>
      </c>
      <c r="U294" s="70">
        <f t="shared" si="15"/>
        <v>2.828000000000018E-3</v>
      </c>
      <c r="V294" s="149">
        <v>1.8149999999999999</v>
      </c>
      <c r="W294" s="70">
        <f>2.829+3.718</f>
        <v>6.5470000000000006</v>
      </c>
      <c r="X294" s="149">
        <f t="shared" si="16"/>
        <v>11.882805000000001</v>
      </c>
      <c r="Y294" s="149">
        <v>3</v>
      </c>
    </row>
    <row r="295" spans="1:25" ht="16">
      <c r="A295" s="149" t="s">
        <v>12</v>
      </c>
      <c r="B295" s="150" t="s">
        <v>2365</v>
      </c>
      <c r="C295" s="149" t="s">
        <v>1744</v>
      </c>
      <c r="D295" s="149" t="str">
        <f t="shared" si="17"/>
        <v>Kathe</v>
      </c>
      <c r="E295" s="149" t="s">
        <v>2519</v>
      </c>
      <c r="F295" s="149">
        <v>-14.54</v>
      </c>
      <c r="G295" s="149">
        <v>132.131</v>
      </c>
      <c r="H295" s="149">
        <v>0</v>
      </c>
      <c r="I295" s="151">
        <v>42948</v>
      </c>
      <c r="J295" s="149" t="s">
        <v>2557</v>
      </c>
      <c r="K295" s="149" t="s">
        <v>177</v>
      </c>
      <c r="L295" s="149" t="s">
        <v>1687</v>
      </c>
      <c r="M295" s="149" t="s">
        <v>2563</v>
      </c>
      <c r="N295" s="149" t="s">
        <v>2562</v>
      </c>
      <c r="O295" s="149" t="s">
        <v>2103</v>
      </c>
      <c r="P295" s="149" t="s">
        <v>2103</v>
      </c>
      <c r="Q295" s="149" t="s">
        <v>2405</v>
      </c>
      <c r="R295" s="149" t="s">
        <v>2713</v>
      </c>
      <c r="S295" s="149">
        <v>4.2000000000000003E-2</v>
      </c>
      <c r="T295" s="149">
        <v>3.8671999999999984E-2</v>
      </c>
      <c r="U295" s="70">
        <f t="shared" si="15"/>
        <v>3.3280000000000184E-3</v>
      </c>
      <c r="V295" s="149">
        <v>1.8169999999999999</v>
      </c>
      <c r="W295" s="70">
        <f>2.339+3.406</f>
        <v>5.7450000000000001</v>
      </c>
      <c r="X295" s="149">
        <f t="shared" si="16"/>
        <v>10.438665</v>
      </c>
      <c r="Y295" s="149">
        <v>3</v>
      </c>
    </row>
    <row r="296" spans="1:25" ht="18" customHeight="1">
      <c r="A296" s="149" t="s">
        <v>12</v>
      </c>
      <c r="B296" s="150" t="s">
        <v>415</v>
      </c>
      <c r="C296" s="149" t="s">
        <v>1744</v>
      </c>
      <c r="D296" s="149" t="s">
        <v>3555</v>
      </c>
      <c r="E296" s="149" t="s">
        <v>418</v>
      </c>
      <c r="F296" s="149">
        <v>-26.284722200000001</v>
      </c>
      <c r="G296" s="149">
        <v>136.09805556000001</v>
      </c>
      <c r="H296" s="149">
        <v>201</v>
      </c>
      <c r="I296" s="151">
        <v>42816</v>
      </c>
      <c r="J296" s="149" t="s">
        <v>36</v>
      </c>
      <c r="K296" s="149" t="s">
        <v>419</v>
      </c>
      <c r="L296" s="140" t="s">
        <v>2566</v>
      </c>
      <c r="M296" s="140" t="s">
        <v>2574</v>
      </c>
      <c r="N296" s="140" t="s">
        <v>3191</v>
      </c>
      <c r="O296" s="149" t="s">
        <v>2111</v>
      </c>
      <c r="P296" s="149" t="s">
        <v>2739</v>
      </c>
      <c r="Q296" s="140" t="s">
        <v>2692</v>
      </c>
      <c r="R296" s="140" t="s">
        <v>2713</v>
      </c>
      <c r="S296" s="149">
        <f t="shared" ref="S296:S359" si="18">T296+U296</f>
        <v>3.7000000000000002E-3</v>
      </c>
      <c r="T296" s="149">
        <v>0</v>
      </c>
      <c r="U296" s="157">
        <v>3.7000000000000002E-3</v>
      </c>
      <c r="V296" s="157">
        <v>2.5830000000000002</v>
      </c>
      <c r="W296" s="157">
        <v>10.208</v>
      </c>
      <c r="X296" s="149">
        <f t="shared" si="16"/>
        <v>26.367264000000002</v>
      </c>
      <c r="Y296" s="149"/>
    </row>
    <row r="297" spans="1:25" ht="18" customHeight="1">
      <c r="A297" s="149" t="s">
        <v>12</v>
      </c>
      <c r="B297" s="150" t="s">
        <v>531</v>
      </c>
      <c r="C297" s="149" t="s">
        <v>1744</v>
      </c>
      <c r="D297" s="149" t="s">
        <v>3555</v>
      </c>
      <c r="E297" s="149" t="s">
        <v>466</v>
      </c>
      <c r="F297" s="149">
        <v>-26.423333299999999</v>
      </c>
      <c r="G297" s="149">
        <v>135.51333299999999</v>
      </c>
      <c r="H297" s="149">
        <v>201</v>
      </c>
      <c r="I297" s="151">
        <v>42816</v>
      </c>
      <c r="J297" s="149" t="s">
        <v>36</v>
      </c>
      <c r="K297" s="149" t="s">
        <v>419</v>
      </c>
      <c r="L297" s="155" t="s">
        <v>2566</v>
      </c>
      <c r="M297" s="155" t="s">
        <v>2567</v>
      </c>
      <c r="N297" s="155" t="s">
        <v>2668</v>
      </c>
      <c r="O297" s="158" t="s">
        <v>2105</v>
      </c>
      <c r="P297" s="140" t="s">
        <v>2105</v>
      </c>
      <c r="Q297" s="140" t="s">
        <v>2387</v>
      </c>
      <c r="R297" s="158" t="s">
        <v>2713</v>
      </c>
      <c r="S297" s="149">
        <f t="shared" si="18"/>
        <v>1E-3</v>
      </c>
      <c r="T297" s="149">
        <v>0</v>
      </c>
      <c r="U297" s="157">
        <v>1E-3</v>
      </c>
      <c r="V297" s="157">
        <v>1.631</v>
      </c>
      <c r="W297" s="157">
        <v>7.008</v>
      </c>
      <c r="X297" s="149">
        <f t="shared" si="16"/>
        <v>11.430047999999999</v>
      </c>
      <c r="Y297" s="149"/>
    </row>
    <row r="298" spans="1:25" ht="18" customHeight="1">
      <c r="A298" s="149" t="s">
        <v>12</v>
      </c>
      <c r="B298" s="150" t="s">
        <v>532</v>
      </c>
      <c r="C298" s="149" t="s">
        <v>1744</v>
      </c>
      <c r="D298" s="149" t="s">
        <v>3555</v>
      </c>
      <c r="E298" s="149" t="s">
        <v>466</v>
      </c>
      <c r="F298" s="149">
        <v>-26.423333299999999</v>
      </c>
      <c r="G298" s="149">
        <v>135.51333299999999</v>
      </c>
      <c r="H298" s="149">
        <v>201</v>
      </c>
      <c r="I298" s="151">
        <v>42816</v>
      </c>
      <c r="J298" s="149" t="s">
        <v>36</v>
      </c>
      <c r="K298" s="149" t="s">
        <v>419</v>
      </c>
      <c r="L298" s="140" t="s">
        <v>2566</v>
      </c>
      <c r="M298" s="140" t="s">
        <v>2567</v>
      </c>
      <c r="N298" s="140" t="s">
        <v>2668</v>
      </c>
      <c r="O298" s="140" t="s">
        <v>2600</v>
      </c>
      <c r="P298" s="149" t="s">
        <v>2735</v>
      </c>
      <c r="Q298" s="140" t="s">
        <v>2709</v>
      </c>
      <c r="R298" s="140" t="s">
        <v>2713</v>
      </c>
      <c r="S298" s="149">
        <f t="shared" si="18"/>
        <v>1.1000000000000001E-3</v>
      </c>
      <c r="T298" s="140">
        <v>0</v>
      </c>
      <c r="U298" s="157">
        <v>1.1000000000000001E-3</v>
      </c>
      <c r="V298" s="157">
        <v>1.595</v>
      </c>
      <c r="W298" s="157">
        <v>7.1849999999999996</v>
      </c>
      <c r="X298" s="149">
        <f t="shared" si="16"/>
        <v>11.460075</v>
      </c>
      <c r="Y298" s="149"/>
    </row>
    <row r="299" spans="1:25" ht="18" customHeight="1">
      <c r="A299" s="149" t="s">
        <v>12</v>
      </c>
      <c r="B299" s="150" t="s">
        <v>533</v>
      </c>
      <c r="C299" s="149" t="s">
        <v>1744</v>
      </c>
      <c r="D299" s="149" t="s">
        <v>3555</v>
      </c>
      <c r="E299" s="149" t="s">
        <v>466</v>
      </c>
      <c r="F299" s="149">
        <v>-26.423333299999999</v>
      </c>
      <c r="G299" s="149">
        <v>135.51333299999999</v>
      </c>
      <c r="H299" s="149">
        <v>201</v>
      </c>
      <c r="I299" s="151">
        <v>42816</v>
      </c>
      <c r="J299" s="149" t="s">
        <v>36</v>
      </c>
      <c r="K299" s="149" t="s">
        <v>419</v>
      </c>
      <c r="L299" s="155" t="s">
        <v>2566</v>
      </c>
      <c r="M299" s="155" t="s">
        <v>2567</v>
      </c>
      <c r="N299" s="155" t="s">
        <v>2668</v>
      </c>
      <c r="O299" s="140" t="s">
        <v>2600</v>
      </c>
      <c r="P299" s="149" t="s">
        <v>2735</v>
      </c>
      <c r="Q299" s="140" t="s">
        <v>2709</v>
      </c>
      <c r="R299" s="158" t="s">
        <v>2713</v>
      </c>
      <c r="S299" s="149">
        <f t="shared" si="18"/>
        <v>1.1000000000000001E-3</v>
      </c>
      <c r="T299" s="140">
        <v>0</v>
      </c>
      <c r="U299" s="157">
        <v>1.1000000000000001E-3</v>
      </c>
      <c r="V299" s="157">
        <v>1.6160000000000001</v>
      </c>
      <c r="W299" s="157">
        <v>7.1130000000000004</v>
      </c>
      <c r="X299" s="149">
        <f t="shared" si="16"/>
        <v>11.494608000000001</v>
      </c>
      <c r="Y299" s="149"/>
    </row>
    <row r="300" spans="1:25" ht="18" customHeight="1">
      <c r="A300" s="149" t="s">
        <v>12</v>
      </c>
      <c r="B300" s="150" t="s">
        <v>534</v>
      </c>
      <c r="C300" s="149" t="s">
        <v>1744</v>
      </c>
      <c r="D300" s="149" t="s">
        <v>3555</v>
      </c>
      <c r="E300" s="149" t="s">
        <v>466</v>
      </c>
      <c r="F300" s="149">
        <v>-26.423333299999999</v>
      </c>
      <c r="G300" s="149">
        <v>135.51333299999999</v>
      </c>
      <c r="H300" s="149">
        <v>201</v>
      </c>
      <c r="I300" s="151">
        <v>42816</v>
      </c>
      <c r="J300" s="149" t="s">
        <v>36</v>
      </c>
      <c r="K300" s="149" t="s">
        <v>419</v>
      </c>
      <c r="L300" s="140" t="s">
        <v>2566</v>
      </c>
      <c r="M300" s="140" t="s">
        <v>2567</v>
      </c>
      <c r="N300" s="140" t="s">
        <v>2668</v>
      </c>
      <c r="O300" s="140" t="s">
        <v>2105</v>
      </c>
      <c r="P300" s="140" t="s">
        <v>2105</v>
      </c>
      <c r="Q300" s="140" t="s">
        <v>2387</v>
      </c>
      <c r="R300" s="140" t="s">
        <v>2713</v>
      </c>
      <c r="S300" s="149">
        <f t="shared" si="18"/>
        <v>1E-3</v>
      </c>
      <c r="T300" s="140">
        <v>0</v>
      </c>
      <c r="U300" s="157">
        <v>1E-3</v>
      </c>
      <c r="V300" s="157">
        <v>1.4670000000000001</v>
      </c>
      <c r="W300" s="157">
        <v>7.3</v>
      </c>
      <c r="X300" s="149">
        <f t="shared" si="16"/>
        <v>10.709100000000001</v>
      </c>
      <c r="Y300" s="149"/>
    </row>
    <row r="301" spans="1:25" ht="18" customHeight="1">
      <c r="A301" s="149" t="s">
        <v>12</v>
      </c>
      <c r="B301" s="150" t="s">
        <v>535</v>
      </c>
      <c r="C301" s="149" t="s">
        <v>1744</v>
      </c>
      <c r="D301" s="149" t="s">
        <v>3555</v>
      </c>
      <c r="E301" s="149" t="s">
        <v>466</v>
      </c>
      <c r="F301" s="149">
        <v>-26.423333299999999</v>
      </c>
      <c r="G301" s="149">
        <v>135.51333299999999</v>
      </c>
      <c r="H301" s="149">
        <v>201</v>
      </c>
      <c r="I301" s="151">
        <v>42816</v>
      </c>
      <c r="J301" s="149" t="s">
        <v>36</v>
      </c>
      <c r="K301" s="149" t="s">
        <v>419</v>
      </c>
      <c r="L301" s="140" t="s">
        <v>2566</v>
      </c>
      <c r="M301" s="140" t="s">
        <v>2567</v>
      </c>
      <c r="N301" s="140" t="s">
        <v>2668</v>
      </c>
      <c r="O301" s="140" t="s">
        <v>2105</v>
      </c>
      <c r="P301" s="140" t="s">
        <v>2105</v>
      </c>
      <c r="Q301" s="140" t="s">
        <v>2387</v>
      </c>
      <c r="R301" s="140" t="s">
        <v>2712</v>
      </c>
      <c r="S301" s="149">
        <f t="shared" si="18"/>
        <v>5.9999999999999995E-4</v>
      </c>
      <c r="T301" s="140">
        <v>0</v>
      </c>
      <c r="U301" s="157">
        <v>5.9999999999999995E-4</v>
      </c>
      <c r="V301" s="157">
        <v>1.19</v>
      </c>
      <c r="W301" s="157">
        <v>5.2539999999999996</v>
      </c>
      <c r="X301" s="149">
        <f t="shared" si="16"/>
        <v>6.2522599999999988</v>
      </c>
      <c r="Y301" s="149"/>
    </row>
    <row r="302" spans="1:25" ht="18" customHeight="1">
      <c r="A302" s="149" t="s">
        <v>12</v>
      </c>
      <c r="B302" s="150" t="s">
        <v>537</v>
      </c>
      <c r="C302" s="149" t="s">
        <v>1744</v>
      </c>
      <c r="D302" s="149" t="s">
        <v>3555</v>
      </c>
      <c r="E302" s="149" t="s">
        <v>466</v>
      </c>
      <c r="F302" s="149">
        <v>-26.423333299999999</v>
      </c>
      <c r="G302" s="149">
        <v>135.51333299999999</v>
      </c>
      <c r="H302" s="149">
        <v>201</v>
      </c>
      <c r="I302" s="151">
        <v>42816</v>
      </c>
      <c r="J302" s="149" t="s">
        <v>36</v>
      </c>
      <c r="K302" s="149" t="s">
        <v>419</v>
      </c>
      <c r="L302" s="140" t="s">
        <v>2566</v>
      </c>
      <c r="M302" s="140" t="s">
        <v>2567</v>
      </c>
      <c r="N302" s="140" t="s">
        <v>2668</v>
      </c>
      <c r="O302" s="140" t="s">
        <v>2105</v>
      </c>
      <c r="P302" s="140" t="s">
        <v>2105</v>
      </c>
      <c r="Q302" s="140" t="s">
        <v>2387</v>
      </c>
      <c r="R302" s="140" t="s">
        <v>2712</v>
      </c>
      <c r="S302" s="149">
        <f t="shared" si="18"/>
        <v>5.9999999999999995E-4</v>
      </c>
      <c r="T302" s="140">
        <v>0</v>
      </c>
      <c r="U302" s="157">
        <v>5.9999999999999995E-4</v>
      </c>
      <c r="V302" s="157">
        <v>1.1659999999999999</v>
      </c>
      <c r="W302" s="157">
        <v>4.8319999999999999</v>
      </c>
      <c r="X302" s="149">
        <f t="shared" si="16"/>
        <v>5.6341119999999991</v>
      </c>
      <c r="Y302" s="149"/>
    </row>
    <row r="303" spans="1:25" ht="18" customHeight="1">
      <c r="A303" s="149" t="s">
        <v>12</v>
      </c>
      <c r="B303" s="150" t="s">
        <v>538</v>
      </c>
      <c r="C303" s="149" t="s">
        <v>1744</v>
      </c>
      <c r="D303" s="149" t="s">
        <v>3555</v>
      </c>
      <c r="E303" s="149" t="s">
        <v>466</v>
      </c>
      <c r="F303" s="149">
        <v>-26.423333299999999</v>
      </c>
      <c r="G303" s="149">
        <v>135.51333299999999</v>
      </c>
      <c r="H303" s="149">
        <v>201</v>
      </c>
      <c r="I303" s="151">
        <v>42816</v>
      </c>
      <c r="J303" s="149" t="s">
        <v>36</v>
      </c>
      <c r="K303" s="149" t="s">
        <v>419</v>
      </c>
      <c r="L303" s="140" t="s">
        <v>2566</v>
      </c>
      <c r="M303" s="140" t="s">
        <v>2567</v>
      </c>
      <c r="N303" s="140" t="s">
        <v>2668</v>
      </c>
      <c r="O303" s="140" t="s">
        <v>2105</v>
      </c>
      <c r="P303" s="140" t="s">
        <v>2105</v>
      </c>
      <c r="Q303" s="140" t="s">
        <v>2387</v>
      </c>
      <c r="R303" s="140" t="s">
        <v>2713</v>
      </c>
      <c r="S303" s="149">
        <f t="shared" si="18"/>
        <v>2.2000000000000001E-3</v>
      </c>
      <c r="T303" s="140">
        <v>0</v>
      </c>
      <c r="U303" s="157">
        <v>2.2000000000000001E-3</v>
      </c>
      <c r="V303" s="157">
        <v>1.5669999999999999</v>
      </c>
      <c r="W303" s="157">
        <v>6.2889999999999997</v>
      </c>
      <c r="X303" s="149">
        <f t="shared" si="16"/>
        <v>9.8548629999999999</v>
      </c>
      <c r="Y303" s="149"/>
    </row>
    <row r="304" spans="1:25" ht="18" customHeight="1">
      <c r="A304" s="149" t="s">
        <v>12</v>
      </c>
      <c r="B304" s="150" t="s">
        <v>539</v>
      </c>
      <c r="C304" s="149" t="s">
        <v>1744</v>
      </c>
      <c r="D304" s="149" t="s">
        <v>3555</v>
      </c>
      <c r="E304" s="149" t="s">
        <v>466</v>
      </c>
      <c r="F304" s="149">
        <v>-26.423333299999999</v>
      </c>
      <c r="G304" s="149">
        <v>135.51333299999999</v>
      </c>
      <c r="H304" s="149">
        <v>201</v>
      </c>
      <c r="I304" s="151">
        <v>42816</v>
      </c>
      <c r="J304" s="149" t="s">
        <v>36</v>
      </c>
      <c r="K304" s="149" t="s">
        <v>419</v>
      </c>
      <c r="L304" s="140" t="s">
        <v>2566</v>
      </c>
      <c r="M304" s="140" t="s">
        <v>2567</v>
      </c>
      <c r="N304" s="140" t="s">
        <v>2668</v>
      </c>
      <c r="O304" s="140" t="s">
        <v>2105</v>
      </c>
      <c r="P304" s="140" t="s">
        <v>2105</v>
      </c>
      <c r="Q304" s="140" t="s">
        <v>2387</v>
      </c>
      <c r="R304" s="140" t="s">
        <v>2713</v>
      </c>
      <c r="S304" s="149">
        <f t="shared" si="18"/>
        <v>1.2999999999999999E-3</v>
      </c>
      <c r="T304" s="140">
        <v>0</v>
      </c>
      <c r="U304" s="157">
        <v>1.2999999999999999E-3</v>
      </c>
      <c r="V304" s="157">
        <v>1.677</v>
      </c>
      <c r="W304" s="157">
        <v>7.5810000000000004</v>
      </c>
      <c r="X304" s="149">
        <f t="shared" si="16"/>
        <v>12.713337000000001</v>
      </c>
      <c r="Y304" s="149"/>
    </row>
    <row r="305" spans="1:25" ht="18" customHeight="1">
      <c r="A305" s="149" t="s">
        <v>12</v>
      </c>
      <c r="B305" s="150" t="s">
        <v>540</v>
      </c>
      <c r="C305" s="149" t="s">
        <v>1744</v>
      </c>
      <c r="D305" s="149" t="s">
        <v>3555</v>
      </c>
      <c r="E305" s="149" t="s">
        <v>466</v>
      </c>
      <c r="F305" s="149">
        <v>-26.423333299999999</v>
      </c>
      <c r="G305" s="149">
        <v>135.51333299999999</v>
      </c>
      <c r="H305" s="149">
        <v>201</v>
      </c>
      <c r="I305" s="151">
        <v>42816</v>
      </c>
      <c r="J305" s="149" t="s">
        <v>36</v>
      </c>
      <c r="K305" s="149" t="s">
        <v>419</v>
      </c>
      <c r="L305" s="140" t="s">
        <v>2566</v>
      </c>
      <c r="M305" s="140" t="s">
        <v>2567</v>
      </c>
      <c r="N305" s="140" t="s">
        <v>2668</v>
      </c>
      <c r="O305" s="140" t="s">
        <v>2105</v>
      </c>
      <c r="P305" s="140" t="s">
        <v>2105</v>
      </c>
      <c r="Q305" s="140" t="s">
        <v>2387</v>
      </c>
      <c r="R305" s="140" t="s">
        <v>2713</v>
      </c>
      <c r="S305" s="149">
        <f t="shared" si="18"/>
        <v>1E-3</v>
      </c>
      <c r="T305" s="140">
        <v>0</v>
      </c>
      <c r="U305" s="157">
        <v>1E-3</v>
      </c>
      <c r="V305" s="157">
        <v>1.4430000000000001</v>
      </c>
      <c r="W305" s="157">
        <v>6.7050000000000001</v>
      </c>
      <c r="X305" s="149">
        <f t="shared" si="16"/>
        <v>9.6753150000000012</v>
      </c>
      <c r="Y305" s="149"/>
    </row>
    <row r="306" spans="1:25" ht="18" customHeight="1">
      <c r="A306" s="149" t="s">
        <v>12</v>
      </c>
      <c r="B306" s="150" t="s">
        <v>541</v>
      </c>
      <c r="C306" s="149" t="s">
        <v>1744</v>
      </c>
      <c r="D306" s="149" t="s">
        <v>3555</v>
      </c>
      <c r="E306" s="149" t="s">
        <v>466</v>
      </c>
      <c r="F306" s="149">
        <v>-26.423333299999999</v>
      </c>
      <c r="G306" s="149">
        <v>135.51333299999999</v>
      </c>
      <c r="H306" s="149">
        <v>201</v>
      </c>
      <c r="I306" s="151">
        <v>42816</v>
      </c>
      <c r="J306" s="149" t="s">
        <v>36</v>
      </c>
      <c r="K306" s="149" t="s">
        <v>419</v>
      </c>
      <c r="L306" s="155" t="s">
        <v>2566</v>
      </c>
      <c r="M306" s="155" t="s">
        <v>2567</v>
      </c>
      <c r="N306" s="155" t="s">
        <v>2668</v>
      </c>
      <c r="O306" s="140" t="s">
        <v>2600</v>
      </c>
      <c r="P306" s="149" t="s">
        <v>2735</v>
      </c>
      <c r="Q306" s="140" t="s">
        <v>2709</v>
      </c>
      <c r="R306" s="158" t="s">
        <v>2713</v>
      </c>
      <c r="S306" s="149">
        <f t="shared" si="18"/>
        <v>6.9999999999999999E-4</v>
      </c>
      <c r="T306" s="140">
        <v>0</v>
      </c>
      <c r="U306" s="157">
        <v>6.9999999999999999E-4</v>
      </c>
      <c r="V306" s="157">
        <v>1.371</v>
      </c>
      <c r="W306" s="157">
        <v>6.4720000000000004</v>
      </c>
      <c r="X306" s="149">
        <f t="shared" si="16"/>
        <v>8.8731120000000008</v>
      </c>
      <c r="Y306" s="149"/>
    </row>
    <row r="307" spans="1:25" ht="18" customHeight="1">
      <c r="A307" s="149" t="s">
        <v>12</v>
      </c>
      <c r="B307" s="150" t="s">
        <v>542</v>
      </c>
      <c r="C307" s="149" t="s">
        <v>1744</v>
      </c>
      <c r="D307" s="149" t="s">
        <v>3555</v>
      </c>
      <c r="E307" s="149" t="s">
        <v>466</v>
      </c>
      <c r="F307" s="149">
        <v>-26.423333299999999</v>
      </c>
      <c r="G307" s="149">
        <v>135.51333299999999</v>
      </c>
      <c r="H307" s="149">
        <v>201</v>
      </c>
      <c r="I307" s="151">
        <v>42816</v>
      </c>
      <c r="J307" s="149" t="s">
        <v>36</v>
      </c>
      <c r="K307" s="149" t="s">
        <v>419</v>
      </c>
      <c r="L307" s="140" t="s">
        <v>2566</v>
      </c>
      <c r="M307" s="140" t="s">
        <v>2567</v>
      </c>
      <c r="N307" s="140" t="s">
        <v>2668</v>
      </c>
      <c r="O307" s="140" t="s">
        <v>2105</v>
      </c>
      <c r="P307" s="140" t="s">
        <v>2105</v>
      </c>
      <c r="Q307" s="140" t="s">
        <v>2387</v>
      </c>
      <c r="R307" s="140" t="s">
        <v>2713</v>
      </c>
      <c r="S307" s="149">
        <f t="shared" si="18"/>
        <v>1E-3</v>
      </c>
      <c r="T307" s="140">
        <v>0</v>
      </c>
      <c r="U307" s="157">
        <v>1E-3</v>
      </c>
      <c r="V307" s="157">
        <v>1.4790000000000001</v>
      </c>
      <c r="W307" s="157">
        <v>6.5039999999999996</v>
      </c>
      <c r="X307" s="149">
        <f t="shared" si="16"/>
        <v>9.6194159999999993</v>
      </c>
      <c r="Y307" s="149"/>
    </row>
    <row r="308" spans="1:25" ht="18" customHeight="1">
      <c r="A308" s="149" t="s">
        <v>12</v>
      </c>
      <c r="B308" s="150" t="s">
        <v>543</v>
      </c>
      <c r="C308" s="149" t="s">
        <v>1744</v>
      </c>
      <c r="D308" s="149" t="s">
        <v>3555</v>
      </c>
      <c r="E308" s="149" t="s">
        <v>466</v>
      </c>
      <c r="F308" s="149">
        <v>-26.423333299999999</v>
      </c>
      <c r="G308" s="149">
        <v>135.51333299999999</v>
      </c>
      <c r="H308" s="149">
        <v>201</v>
      </c>
      <c r="I308" s="151">
        <v>42816</v>
      </c>
      <c r="J308" s="149" t="s">
        <v>36</v>
      </c>
      <c r="K308" s="149" t="s">
        <v>419</v>
      </c>
      <c r="L308" s="140" t="s">
        <v>2566</v>
      </c>
      <c r="M308" s="140" t="s">
        <v>2567</v>
      </c>
      <c r="N308" s="140" t="s">
        <v>2668</v>
      </c>
      <c r="O308" s="140" t="s">
        <v>2600</v>
      </c>
      <c r="P308" s="149" t="s">
        <v>2735</v>
      </c>
      <c r="Q308" s="140" t="s">
        <v>2709</v>
      </c>
      <c r="R308" s="140" t="s">
        <v>2713</v>
      </c>
      <c r="S308" s="149">
        <f t="shared" si="18"/>
        <v>5.9999999999999995E-4</v>
      </c>
      <c r="T308" s="140">
        <v>0</v>
      </c>
      <c r="U308" s="157">
        <v>5.9999999999999995E-4</v>
      </c>
      <c r="V308" s="157">
        <v>1.375</v>
      </c>
      <c r="W308" s="157">
        <v>6.4850000000000003</v>
      </c>
      <c r="X308" s="149">
        <f t="shared" si="16"/>
        <v>8.916875000000001</v>
      </c>
      <c r="Y308" s="149"/>
    </row>
    <row r="309" spans="1:25" ht="18" customHeight="1">
      <c r="A309" s="149" t="s">
        <v>12</v>
      </c>
      <c r="B309" s="150" t="s">
        <v>544</v>
      </c>
      <c r="C309" s="149" t="s">
        <v>1744</v>
      </c>
      <c r="D309" s="149" t="s">
        <v>3555</v>
      </c>
      <c r="E309" s="149" t="s">
        <v>466</v>
      </c>
      <c r="F309" s="149">
        <v>-26.423333299999999</v>
      </c>
      <c r="G309" s="149">
        <v>135.51333299999999</v>
      </c>
      <c r="H309" s="149">
        <v>201</v>
      </c>
      <c r="I309" s="151">
        <v>42816</v>
      </c>
      <c r="J309" s="149" t="s">
        <v>36</v>
      </c>
      <c r="K309" s="149" t="s">
        <v>419</v>
      </c>
      <c r="L309" s="155" t="s">
        <v>2566</v>
      </c>
      <c r="M309" s="155" t="s">
        <v>2567</v>
      </c>
      <c r="N309" s="155" t="s">
        <v>2668</v>
      </c>
      <c r="O309" s="155" t="s">
        <v>2105</v>
      </c>
      <c r="P309" s="140" t="s">
        <v>2105</v>
      </c>
      <c r="Q309" s="140" t="s">
        <v>2387</v>
      </c>
      <c r="R309" s="155" t="s">
        <v>2712</v>
      </c>
      <c r="S309" s="149">
        <f t="shared" si="18"/>
        <v>2.0000000000000001E-4</v>
      </c>
      <c r="T309" s="149">
        <v>0</v>
      </c>
      <c r="U309" s="157">
        <v>2.0000000000000001E-4</v>
      </c>
      <c r="V309" s="157">
        <v>0.80400000000000005</v>
      </c>
      <c r="W309" s="157">
        <v>4.6970000000000001</v>
      </c>
      <c r="X309" s="149">
        <f t="shared" si="16"/>
        <v>3.7763880000000003</v>
      </c>
      <c r="Y309" s="149"/>
    </row>
    <row r="310" spans="1:25" ht="18" customHeight="1">
      <c r="A310" s="149" t="s">
        <v>12</v>
      </c>
      <c r="B310" s="150" t="s">
        <v>546</v>
      </c>
      <c r="C310" s="149" t="s">
        <v>1744</v>
      </c>
      <c r="D310" s="149" t="s">
        <v>3555</v>
      </c>
      <c r="E310" s="149" t="s">
        <v>466</v>
      </c>
      <c r="F310" s="149">
        <v>-26.423333299999999</v>
      </c>
      <c r="G310" s="149">
        <v>135.51333299999999</v>
      </c>
      <c r="H310" s="149">
        <v>201</v>
      </c>
      <c r="I310" s="151">
        <v>42816</v>
      </c>
      <c r="J310" s="149" t="s">
        <v>36</v>
      </c>
      <c r="K310" s="149" t="s">
        <v>419</v>
      </c>
      <c r="L310" s="155" t="s">
        <v>2566</v>
      </c>
      <c r="M310" s="155" t="s">
        <v>2567</v>
      </c>
      <c r="N310" s="155" t="s">
        <v>2668</v>
      </c>
      <c r="O310" s="140" t="s">
        <v>2600</v>
      </c>
      <c r="P310" s="149" t="s">
        <v>2735</v>
      </c>
      <c r="Q310" s="140" t="s">
        <v>2709</v>
      </c>
      <c r="R310" s="158" t="s">
        <v>2713</v>
      </c>
      <c r="S310" s="149">
        <f t="shared" si="18"/>
        <v>8.0000000000000004E-4</v>
      </c>
      <c r="T310" s="149">
        <v>0</v>
      </c>
      <c r="U310" s="157">
        <v>8.0000000000000004E-4</v>
      </c>
      <c r="V310" s="157">
        <v>1.474</v>
      </c>
      <c r="W310" s="157">
        <v>4.4640000000000004</v>
      </c>
      <c r="X310" s="149">
        <f t="shared" si="16"/>
        <v>6.5799360000000009</v>
      </c>
      <c r="Y310" s="149"/>
    </row>
    <row r="311" spans="1:25" ht="18" customHeight="1">
      <c r="A311" s="149" t="s">
        <v>12</v>
      </c>
      <c r="B311" s="150" t="s">
        <v>547</v>
      </c>
      <c r="C311" s="149" t="s">
        <v>1744</v>
      </c>
      <c r="D311" s="149" t="s">
        <v>3555</v>
      </c>
      <c r="E311" s="149" t="s">
        <v>463</v>
      </c>
      <c r="F311" s="149">
        <v>-25.754722220000001</v>
      </c>
      <c r="G311" s="149">
        <v>135.26305556</v>
      </c>
      <c r="H311" s="149">
        <v>202</v>
      </c>
      <c r="I311" s="151">
        <v>42815</v>
      </c>
      <c r="J311" s="149" t="s">
        <v>36</v>
      </c>
      <c r="K311" s="149" t="s">
        <v>419</v>
      </c>
      <c r="L311" s="149" t="s">
        <v>1687</v>
      </c>
      <c r="M311" s="149" t="s">
        <v>2563</v>
      </c>
      <c r="N311" s="149" t="s">
        <v>2568</v>
      </c>
      <c r="O311" s="149" t="s">
        <v>2734</v>
      </c>
      <c r="P311" s="149" t="s">
        <v>2782</v>
      </c>
      <c r="Q311" s="149" t="s">
        <v>2392</v>
      </c>
      <c r="R311" s="149" t="s">
        <v>2712</v>
      </c>
      <c r="S311" s="149">
        <f t="shared" si="18"/>
        <v>5.8999999999999997E-2</v>
      </c>
      <c r="T311" s="140">
        <v>3.8671999999999998E-2</v>
      </c>
      <c r="U311" s="157">
        <v>2.0327999999999999E-2</v>
      </c>
      <c r="V311" s="157">
        <v>4.532</v>
      </c>
      <c r="W311" s="157">
        <v>16.423999999999999</v>
      </c>
      <c r="X311" s="149">
        <f t="shared" si="16"/>
        <v>74.433567999999994</v>
      </c>
      <c r="Y311" s="149"/>
    </row>
    <row r="312" spans="1:25" ht="18" customHeight="1">
      <c r="A312" s="149" t="s">
        <v>12</v>
      </c>
      <c r="B312" s="150" t="s">
        <v>548</v>
      </c>
      <c r="C312" s="149" t="s">
        <v>1744</v>
      </c>
      <c r="D312" s="149" t="s">
        <v>3555</v>
      </c>
      <c r="E312" s="149" t="s">
        <v>463</v>
      </c>
      <c r="F312" s="149">
        <v>-25.754722220000001</v>
      </c>
      <c r="G312" s="149">
        <v>135.26305556</v>
      </c>
      <c r="H312" s="149">
        <v>202</v>
      </c>
      <c r="I312" s="151">
        <v>42815</v>
      </c>
      <c r="J312" s="149" t="s">
        <v>36</v>
      </c>
      <c r="K312" s="149" t="s">
        <v>419</v>
      </c>
      <c r="L312" s="149" t="s">
        <v>2569</v>
      </c>
      <c r="M312" s="149" t="s">
        <v>2570</v>
      </c>
      <c r="N312" s="149" t="s">
        <v>2571</v>
      </c>
      <c r="O312" s="140" t="s">
        <v>2369</v>
      </c>
      <c r="P312" s="140" t="s">
        <v>2737</v>
      </c>
      <c r="Q312" s="140" t="s">
        <v>2396</v>
      </c>
      <c r="R312" s="140" t="s">
        <v>2713</v>
      </c>
      <c r="S312" s="149">
        <f t="shared" si="18"/>
        <v>5.7200000000000001E-2</v>
      </c>
      <c r="T312" s="140">
        <v>3.8671999999999998E-2</v>
      </c>
      <c r="U312" s="157">
        <v>1.8528000000000003E-2</v>
      </c>
      <c r="V312" s="157">
        <v>3.968</v>
      </c>
      <c r="W312" s="157">
        <v>16.533999999999999</v>
      </c>
      <c r="X312" s="149">
        <f t="shared" si="16"/>
        <v>65.606911999999994</v>
      </c>
      <c r="Y312" s="149"/>
    </row>
    <row r="313" spans="1:25" ht="18" customHeight="1">
      <c r="A313" s="149" t="s">
        <v>12</v>
      </c>
      <c r="B313" s="150" t="s">
        <v>549</v>
      </c>
      <c r="C313" s="149" t="s">
        <v>1744</v>
      </c>
      <c r="D313" s="149" t="s">
        <v>3555</v>
      </c>
      <c r="E313" s="149" t="s">
        <v>463</v>
      </c>
      <c r="F313" s="149">
        <v>-25.754722220000001</v>
      </c>
      <c r="G313" s="149">
        <v>135.26305556</v>
      </c>
      <c r="H313" s="149">
        <v>202</v>
      </c>
      <c r="I313" s="151">
        <v>42815</v>
      </c>
      <c r="J313" s="149" t="s">
        <v>36</v>
      </c>
      <c r="K313" s="149" t="s">
        <v>419</v>
      </c>
      <c r="L313" s="140" t="s">
        <v>2566</v>
      </c>
      <c r="M313" s="140" t="s">
        <v>2574</v>
      </c>
      <c r="N313" s="140" t="s">
        <v>3191</v>
      </c>
      <c r="O313" s="149" t="s">
        <v>2111</v>
      </c>
      <c r="P313" s="149" t="s">
        <v>2739</v>
      </c>
      <c r="Q313" s="140" t="s">
        <v>2693</v>
      </c>
      <c r="R313" s="140" t="s">
        <v>2712</v>
      </c>
      <c r="S313" s="149">
        <f t="shared" si="18"/>
        <v>5.16E-2</v>
      </c>
      <c r="T313" s="140">
        <v>3.8671999999999998E-2</v>
      </c>
      <c r="U313" s="157">
        <v>1.2928000000000002E-2</v>
      </c>
      <c r="V313" s="157">
        <v>3.4630000000000001</v>
      </c>
      <c r="W313" s="157">
        <v>14.169</v>
      </c>
      <c r="X313" s="149">
        <f t="shared" si="16"/>
        <v>49.067247000000002</v>
      </c>
      <c r="Y313" s="149"/>
    </row>
    <row r="314" spans="1:25" ht="18" customHeight="1">
      <c r="A314" s="149" t="s">
        <v>12</v>
      </c>
      <c r="B314" s="150" t="s">
        <v>550</v>
      </c>
      <c r="C314" s="149" t="s">
        <v>1744</v>
      </c>
      <c r="D314" s="149" t="s">
        <v>3555</v>
      </c>
      <c r="E314" s="149" t="s">
        <v>463</v>
      </c>
      <c r="F314" s="149">
        <v>-25.754722220000001</v>
      </c>
      <c r="G314" s="149">
        <v>135.26305556</v>
      </c>
      <c r="H314" s="149">
        <v>202</v>
      </c>
      <c r="I314" s="151">
        <v>42815</v>
      </c>
      <c r="J314" s="149" t="s">
        <v>36</v>
      </c>
      <c r="K314" s="149" t="s">
        <v>419</v>
      </c>
      <c r="L314" s="140" t="s">
        <v>2572</v>
      </c>
      <c r="M314" s="140" t="s">
        <v>2407</v>
      </c>
      <c r="N314" s="140" t="s">
        <v>36</v>
      </c>
      <c r="O314" s="140" t="s">
        <v>2215</v>
      </c>
      <c r="P314" s="140" t="s">
        <v>2215</v>
      </c>
      <c r="Q314" s="140" t="s">
        <v>2702</v>
      </c>
      <c r="R314" s="140" t="s">
        <v>2713</v>
      </c>
      <c r="S314" s="149">
        <f t="shared" si="18"/>
        <v>8.9999999999999998E-4</v>
      </c>
      <c r="T314" s="149">
        <v>0</v>
      </c>
      <c r="U314" s="157">
        <v>8.9999999999999998E-4</v>
      </c>
      <c r="V314" s="157">
        <v>1.3919999999999999</v>
      </c>
      <c r="W314" s="157">
        <v>8.0289999999999999</v>
      </c>
      <c r="X314" s="149">
        <f t="shared" si="16"/>
        <v>11.176367999999998</v>
      </c>
      <c r="Y314" s="149"/>
    </row>
    <row r="315" spans="1:25" ht="18" customHeight="1">
      <c r="A315" s="149" t="s">
        <v>12</v>
      </c>
      <c r="B315" s="150" t="s">
        <v>435</v>
      </c>
      <c r="C315" s="149" t="s">
        <v>1744</v>
      </c>
      <c r="D315" s="149" t="s">
        <v>3555</v>
      </c>
      <c r="E315" s="149" t="s">
        <v>426</v>
      </c>
      <c r="F315" s="149">
        <v>-26.458888890000001</v>
      </c>
      <c r="G315" s="149">
        <v>135.41277778</v>
      </c>
      <c r="H315" s="149">
        <v>202</v>
      </c>
      <c r="I315" s="151">
        <v>42815</v>
      </c>
      <c r="J315" s="149" t="s">
        <v>36</v>
      </c>
      <c r="K315" s="149" t="s">
        <v>419</v>
      </c>
      <c r="L315" s="149" t="s">
        <v>1687</v>
      </c>
      <c r="M315" s="149" t="s">
        <v>2563</v>
      </c>
      <c r="N315" s="149" t="s">
        <v>2568</v>
      </c>
      <c r="O315" s="149" t="s">
        <v>2734</v>
      </c>
      <c r="P315" s="149" t="s">
        <v>2782</v>
      </c>
      <c r="Q315" s="149" t="s">
        <v>2392</v>
      </c>
      <c r="R315" s="149" t="s">
        <v>2712</v>
      </c>
      <c r="S315" s="149">
        <f t="shared" si="18"/>
        <v>5.8400000000000001E-2</v>
      </c>
      <c r="T315" s="140">
        <v>3.8671999999999998E-2</v>
      </c>
      <c r="U315" s="157">
        <v>1.9728000000000002E-2</v>
      </c>
      <c r="V315" s="157">
        <v>4.399</v>
      </c>
      <c r="W315" s="157">
        <v>16.988</v>
      </c>
      <c r="X315" s="149">
        <f t="shared" si="16"/>
        <v>74.730211999999995</v>
      </c>
      <c r="Y315" s="149"/>
    </row>
    <row r="316" spans="1:25" ht="18" customHeight="1">
      <c r="A316" s="149" t="s">
        <v>12</v>
      </c>
      <c r="B316" s="150" t="s">
        <v>551</v>
      </c>
      <c r="C316" s="149" t="s">
        <v>1744</v>
      </c>
      <c r="D316" s="149" t="s">
        <v>3555</v>
      </c>
      <c r="E316" s="149" t="s">
        <v>463</v>
      </c>
      <c r="F316" s="149">
        <v>-25.754722220000001</v>
      </c>
      <c r="G316" s="149">
        <v>135.26305556</v>
      </c>
      <c r="H316" s="149">
        <v>202</v>
      </c>
      <c r="I316" s="151">
        <v>42815</v>
      </c>
      <c r="J316" s="149" t="s">
        <v>36</v>
      </c>
      <c r="K316" s="149" t="s">
        <v>419</v>
      </c>
      <c r="L316" s="149" t="s">
        <v>1687</v>
      </c>
      <c r="M316" s="149" t="s">
        <v>2563</v>
      </c>
      <c r="N316" s="149" t="s">
        <v>2568</v>
      </c>
      <c r="O316" s="149" t="s">
        <v>2734</v>
      </c>
      <c r="P316" s="149" t="s">
        <v>2782</v>
      </c>
      <c r="Q316" s="149" t="s">
        <v>2392</v>
      </c>
      <c r="R316" s="149" t="s">
        <v>2712</v>
      </c>
      <c r="S316" s="149">
        <f t="shared" si="18"/>
        <v>5.4699999999999999E-2</v>
      </c>
      <c r="T316" s="140">
        <v>3.8671999999999998E-2</v>
      </c>
      <c r="U316" s="157">
        <v>1.6028000000000001E-2</v>
      </c>
      <c r="V316" s="157">
        <v>3.76</v>
      </c>
      <c r="W316" s="157">
        <v>17.416</v>
      </c>
      <c r="X316" s="149">
        <f t="shared" si="16"/>
        <v>65.484160000000003</v>
      </c>
      <c r="Y316" s="149"/>
    </row>
    <row r="317" spans="1:25" ht="18" customHeight="1">
      <c r="A317" s="149" t="s">
        <v>12</v>
      </c>
      <c r="B317" s="150" t="s">
        <v>552</v>
      </c>
      <c r="C317" s="149" t="s">
        <v>1744</v>
      </c>
      <c r="D317" s="149" t="s">
        <v>3555</v>
      </c>
      <c r="E317" s="149" t="s">
        <v>463</v>
      </c>
      <c r="F317" s="149">
        <v>-25.754722220000001</v>
      </c>
      <c r="G317" s="149">
        <v>135.26305556</v>
      </c>
      <c r="H317" s="149">
        <v>202</v>
      </c>
      <c r="I317" s="151">
        <v>42815</v>
      </c>
      <c r="J317" s="149" t="s">
        <v>36</v>
      </c>
      <c r="K317" s="149" t="s">
        <v>419</v>
      </c>
      <c r="L317" s="149" t="s">
        <v>1687</v>
      </c>
      <c r="M317" s="149" t="s">
        <v>2563</v>
      </c>
      <c r="N317" s="149" t="s">
        <v>2568</v>
      </c>
      <c r="O317" s="149" t="s">
        <v>2734</v>
      </c>
      <c r="P317" s="149" t="s">
        <v>2782</v>
      </c>
      <c r="Q317" s="149" t="s">
        <v>2392</v>
      </c>
      <c r="R317" s="149" t="s">
        <v>2712</v>
      </c>
      <c r="S317" s="149">
        <f t="shared" si="18"/>
        <v>6.13E-2</v>
      </c>
      <c r="T317" s="140">
        <v>3.8671999999999998E-2</v>
      </c>
      <c r="U317" s="157">
        <v>2.2628000000000002E-2</v>
      </c>
      <c r="V317" s="157">
        <v>4.8330000000000002</v>
      </c>
      <c r="W317" s="157">
        <v>19.248999999999999</v>
      </c>
      <c r="X317" s="149">
        <f t="shared" si="16"/>
        <v>93.030417</v>
      </c>
      <c r="Y317" s="149"/>
    </row>
    <row r="318" spans="1:25" ht="18" customHeight="1">
      <c r="A318" s="149" t="s">
        <v>12</v>
      </c>
      <c r="B318" s="150" t="s">
        <v>553</v>
      </c>
      <c r="C318" s="149" t="s">
        <v>1744</v>
      </c>
      <c r="D318" s="149" t="s">
        <v>3555</v>
      </c>
      <c r="E318" s="149" t="s">
        <v>463</v>
      </c>
      <c r="F318" s="149">
        <v>-25.754722220000001</v>
      </c>
      <c r="G318" s="149">
        <v>135.26305556</v>
      </c>
      <c r="H318" s="149">
        <v>202</v>
      </c>
      <c r="I318" s="151">
        <v>42815</v>
      </c>
      <c r="J318" s="149" t="s">
        <v>36</v>
      </c>
      <c r="K318" s="149" t="s">
        <v>419</v>
      </c>
      <c r="L318" s="140" t="s">
        <v>2569</v>
      </c>
      <c r="M318" s="140" t="s">
        <v>2570</v>
      </c>
      <c r="N318" s="140" t="s">
        <v>2571</v>
      </c>
      <c r="O318" s="140" t="s">
        <v>2369</v>
      </c>
      <c r="P318" s="140" t="s">
        <v>3556</v>
      </c>
      <c r="Q318" s="140" t="s">
        <v>2676</v>
      </c>
      <c r="R318" s="140" t="s">
        <v>2713</v>
      </c>
      <c r="S318" s="149">
        <f t="shared" si="18"/>
        <v>4.1000000000000003E-3</v>
      </c>
      <c r="T318" s="149">
        <v>0</v>
      </c>
      <c r="U318" s="157">
        <v>4.1000000000000003E-3</v>
      </c>
      <c r="V318" s="157">
        <v>2.294</v>
      </c>
      <c r="W318" s="157">
        <v>10.66</v>
      </c>
      <c r="X318" s="149">
        <f t="shared" si="16"/>
        <v>24.454039999999999</v>
      </c>
      <c r="Y318" s="149"/>
    </row>
    <row r="319" spans="1:25" ht="18" customHeight="1">
      <c r="A319" s="149" t="s">
        <v>12</v>
      </c>
      <c r="B319" s="150" t="s">
        <v>554</v>
      </c>
      <c r="C319" s="149" t="s">
        <v>1744</v>
      </c>
      <c r="D319" s="149" t="s">
        <v>3555</v>
      </c>
      <c r="E319" s="149" t="s">
        <v>463</v>
      </c>
      <c r="F319" s="149">
        <v>-25.754722220000001</v>
      </c>
      <c r="G319" s="149">
        <v>135.26305556</v>
      </c>
      <c r="H319" s="149">
        <v>202</v>
      </c>
      <c r="I319" s="151">
        <v>42815</v>
      </c>
      <c r="J319" s="149" t="s">
        <v>36</v>
      </c>
      <c r="K319" s="149" t="s">
        <v>419</v>
      </c>
      <c r="L319" s="140" t="s">
        <v>2569</v>
      </c>
      <c r="M319" s="140" t="s">
        <v>2570</v>
      </c>
      <c r="N319" s="140" t="s">
        <v>2571</v>
      </c>
      <c r="O319" s="140" t="s">
        <v>2369</v>
      </c>
      <c r="P319" s="140" t="s">
        <v>3556</v>
      </c>
      <c r="Q319" s="140" t="s">
        <v>2669</v>
      </c>
      <c r="R319" s="140" t="s">
        <v>2713</v>
      </c>
      <c r="S319" s="149">
        <f t="shared" si="18"/>
        <v>5.1999999999999998E-3</v>
      </c>
      <c r="T319" s="149">
        <v>0</v>
      </c>
      <c r="U319" s="157">
        <v>5.1999999999999998E-3</v>
      </c>
      <c r="V319" s="157">
        <v>2.548</v>
      </c>
      <c r="W319" s="157">
        <v>10.676</v>
      </c>
      <c r="X319" s="149">
        <f t="shared" si="16"/>
        <v>27.202448</v>
      </c>
      <c r="Y319" s="149"/>
    </row>
    <row r="320" spans="1:25" ht="18" customHeight="1">
      <c r="A320" s="149" t="s">
        <v>12</v>
      </c>
      <c r="B320" s="150" t="s">
        <v>555</v>
      </c>
      <c r="C320" s="149" t="s">
        <v>1744</v>
      </c>
      <c r="D320" s="149" t="s">
        <v>3555</v>
      </c>
      <c r="E320" s="149" t="s">
        <v>463</v>
      </c>
      <c r="F320" s="149">
        <v>-25.754722220000001</v>
      </c>
      <c r="G320" s="149">
        <v>135.26305556</v>
      </c>
      <c r="H320" s="149">
        <v>202</v>
      </c>
      <c r="I320" s="151">
        <v>42815</v>
      </c>
      <c r="J320" s="149" t="s">
        <v>36</v>
      </c>
      <c r="K320" s="149" t="s">
        <v>419</v>
      </c>
      <c r="L320" s="140" t="s">
        <v>2566</v>
      </c>
      <c r="M320" s="140" t="s">
        <v>2574</v>
      </c>
      <c r="N320" s="140" t="s">
        <v>3191</v>
      </c>
      <c r="O320" s="149" t="s">
        <v>2111</v>
      </c>
      <c r="P320" s="149" t="s">
        <v>2739</v>
      </c>
      <c r="Q320" s="140" t="s">
        <v>2692</v>
      </c>
      <c r="R320" s="140" t="s">
        <v>2712</v>
      </c>
      <c r="S320" s="149">
        <f t="shared" si="18"/>
        <v>4.7999999999999996E-3</v>
      </c>
      <c r="T320" s="149">
        <v>0</v>
      </c>
      <c r="U320" s="157">
        <v>4.7999999999999996E-3</v>
      </c>
      <c r="V320" s="157">
        <v>2.8820000000000001</v>
      </c>
      <c r="W320" s="157">
        <v>11.388999999999999</v>
      </c>
      <c r="X320" s="149">
        <f t="shared" ref="X320:X383" si="19">V320*W320</f>
        <v>32.823098000000002</v>
      </c>
      <c r="Y320" s="149"/>
    </row>
    <row r="321" spans="1:25" ht="18" customHeight="1">
      <c r="A321" s="149" t="s">
        <v>12</v>
      </c>
      <c r="B321" s="150" t="s">
        <v>556</v>
      </c>
      <c r="C321" s="149" t="s">
        <v>1744</v>
      </c>
      <c r="D321" s="149" t="s">
        <v>3555</v>
      </c>
      <c r="E321" s="149" t="s">
        <v>463</v>
      </c>
      <c r="F321" s="149">
        <v>-25.754722220000001</v>
      </c>
      <c r="G321" s="149">
        <v>135.26305556</v>
      </c>
      <c r="H321" s="149">
        <v>202</v>
      </c>
      <c r="I321" s="151">
        <v>42815</v>
      </c>
      <c r="J321" s="149" t="s">
        <v>36</v>
      </c>
      <c r="K321" s="149" t="s">
        <v>419</v>
      </c>
      <c r="L321" s="140" t="s">
        <v>1687</v>
      </c>
      <c r="M321" s="140" t="s">
        <v>2563</v>
      </c>
      <c r="N321" s="140" t="s">
        <v>2575</v>
      </c>
      <c r="O321" s="140" t="s">
        <v>2664</v>
      </c>
      <c r="P321" s="140" t="s">
        <v>2379</v>
      </c>
      <c r="Q321" s="140" t="s">
        <v>2665</v>
      </c>
      <c r="R321" s="140" t="s">
        <v>2712</v>
      </c>
      <c r="S321" s="149">
        <f t="shared" si="18"/>
        <v>6.1100000000000002E-2</v>
      </c>
      <c r="T321" s="140">
        <v>3.8671999999999998E-2</v>
      </c>
      <c r="U321" s="157">
        <v>2.2428000000000003E-2</v>
      </c>
      <c r="V321" s="157">
        <v>4.657</v>
      </c>
      <c r="W321" s="157">
        <v>17.029</v>
      </c>
      <c r="X321" s="149">
        <f t="shared" si="19"/>
        <v>79.304052999999996</v>
      </c>
      <c r="Y321" s="149"/>
    </row>
    <row r="322" spans="1:25" ht="18" customHeight="1">
      <c r="A322" s="149" t="s">
        <v>12</v>
      </c>
      <c r="B322" s="150" t="s">
        <v>557</v>
      </c>
      <c r="C322" s="149" t="s">
        <v>1744</v>
      </c>
      <c r="D322" s="149" t="s">
        <v>3555</v>
      </c>
      <c r="E322" s="149" t="s">
        <v>463</v>
      </c>
      <c r="F322" s="149">
        <v>-25.754722220000001</v>
      </c>
      <c r="G322" s="149">
        <v>135.26305556</v>
      </c>
      <c r="H322" s="149">
        <v>202</v>
      </c>
      <c r="I322" s="151">
        <v>42815</v>
      </c>
      <c r="J322" s="149" t="s">
        <v>36</v>
      </c>
      <c r="K322" s="149" t="s">
        <v>419</v>
      </c>
      <c r="L322" s="149" t="s">
        <v>1687</v>
      </c>
      <c r="M322" s="149" t="s">
        <v>2563</v>
      </c>
      <c r="N322" s="149" t="s">
        <v>2568</v>
      </c>
      <c r="O322" s="149" t="s">
        <v>2734</v>
      </c>
      <c r="P322" s="149" t="s">
        <v>2782</v>
      </c>
      <c r="Q322" s="149" t="s">
        <v>2392</v>
      </c>
      <c r="R322" s="149" t="s">
        <v>2713</v>
      </c>
      <c r="S322" s="149">
        <f t="shared" si="18"/>
        <v>7.5399999999999995E-2</v>
      </c>
      <c r="T322" s="140">
        <v>3.8671999999999998E-2</v>
      </c>
      <c r="U322" s="157">
        <v>3.6727999999999997E-2</v>
      </c>
      <c r="V322" s="157">
        <v>5.5</v>
      </c>
      <c r="W322" s="157">
        <v>20.170999999999999</v>
      </c>
      <c r="X322" s="149">
        <f t="shared" si="19"/>
        <v>110.9405</v>
      </c>
      <c r="Y322" s="149"/>
    </row>
    <row r="323" spans="1:25" ht="18" customHeight="1">
      <c r="A323" s="149" t="s">
        <v>12</v>
      </c>
      <c r="B323" s="150" t="s">
        <v>558</v>
      </c>
      <c r="C323" s="149" t="s">
        <v>1744</v>
      </c>
      <c r="D323" s="149" t="s">
        <v>3555</v>
      </c>
      <c r="E323" s="149" t="s">
        <v>463</v>
      </c>
      <c r="F323" s="149">
        <v>-25.754722220000001</v>
      </c>
      <c r="G323" s="149">
        <v>135.26305556</v>
      </c>
      <c r="H323" s="149">
        <v>202</v>
      </c>
      <c r="I323" s="151">
        <v>42815</v>
      </c>
      <c r="J323" s="149" t="s">
        <v>36</v>
      </c>
      <c r="K323" s="149" t="s">
        <v>419</v>
      </c>
      <c r="L323" s="140" t="s">
        <v>2572</v>
      </c>
      <c r="M323" s="140" t="s">
        <v>2407</v>
      </c>
      <c r="N323" s="140" t="s">
        <v>36</v>
      </c>
      <c r="O323" s="140" t="s">
        <v>2215</v>
      </c>
      <c r="P323" s="140" t="s">
        <v>2215</v>
      </c>
      <c r="Q323" s="140" t="s">
        <v>2702</v>
      </c>
      <c r="R323" s="140" t="s">
        <v>2713</v>
      </c>
      <c r="S323" s="149">
        <f t="shared" si="18"/>
        <v>1.1000000000000001E-3</v>
      </c>
      <c r="T323" s="149">
        <v>0</v>
      </c>
      <c r="U323" s="157">
        <v>1.1000000000000001E-3</v>
      </c>
      <c r="V323" s="157">
        <v>1.599</v>
      </c>
      <c r="W323" s="157">
        <v>8.1449999999999996</v>
      </c>
      <c r="X323" s="149">
        <f t="shared" si="19"/>
        <v>13.023854999999999</v>
      </c>
      <c r="Y323" s="149"/>
    </row>
    <row r="324" spans="1:25" ht="18" customHeight="1">
      <c r="A324" s="149" t="s">
        <v>12</v>
      </c>
      <c r="B324" s="150" t="s">
        <v>559</v>
      </c>
      <c r="C324" s="149" t="s">
        <v>1744</v>
      </c>
      <c r="D324" s="149" t="s">
        <v>3555</v>
      </c>
      <c r="E324" s="149" t="s">
        <v>463</v>
      </c>
      <c r="F324" s="149">
        <v>-25.754722220000001</v>
      </c>
      <c r="G324" s="149">
        <v>135.26305556</v>
      </c>
      <c r="H324" s="149">
        <v>202</v>
      </c>
      <c r="I324" s="151">
        <v>42815</v>
      </c>
      <c r="J324" s="149" t="s">
        <v>36</v>
      </c>
      <c r="K324" s="149" t="s">
        <v>419</v>
      </c>
      <c r="L324" s="140" t="s">
        <v>2572</v>
      </c>
      <c r="M324" s="140" t="s">
        <v>2407</v>
      </c>
      <c r="N324" s="140" t="s">
        <v>36</v>
      </c>
      <c r="O324" s="140" t="s">
        <v>2215</v>
      </c>
      <c r="P324" s="140" t="s">
        <v>2215</v>
      </c>
      <c r="Q324" s="140" t="s">
        <v>2702</v>
      </c>
      <c r="R324" s="140" t="s">
        <v>2713</v>
      </c>
      <c r="S324" s="149">
        <f t="shared" si="18"/>
        <v>8.0000000000000004E-4</v>
      </c>
      <c r="T324" s="149">
        <v>0</v>
      </c>
      <c r="U324" s="157">
        <v>8.0000000000000004E-4</v>
      </c>
      <c r="V324" s="157">
        <v>1.3540000000000001</v>
      </c>
      <c r="W324" s="157">
        <v>7.5650000000000004</v>
      </c>
      <c r="X324" s="149">
        <f t="shared" si="19"/>
        <v>10.243010000000002</v>
      </c>
      <c r="Y324" s="149"/>
    </row>
    <row r="325" spans="1:25" ht="18" customHeight="1">
      <c r="A325" s="149" t="s">
        <v>12</v>
      </c>
      <c r="B325" s="150" t="s">
        <v>562</v>
      </c>
      <c r="C325" s="149" t="s">
        <v>1744</v>
      </c>
      <c r="D325" s="149" t="s">
        <v>3555</v>
      </c>
      <c r="E325" s="149" t="s">
        <v>564</v>
      </c>
      <c r="F325" s="149">
        <v>-25.999166670000001</v>
      </c>
      <c r="G325" s="149">
        <v>135.33250000000001</v>
      </c>
      <c r="H325" s="149">
        <v>206</v>
      </c>
      <c r="I325" s="151">
        <v>42811</v>
      </c>
      <c r="J325" s="149" t="s">
        <v>36</v>
      </c>
      <c r="K325" s="149" t="s">
        <v>419</v>
      </c>
      <c r="L325" s="140" t="s">
        <v>2566</v>
      </c>
      <c r="M325" s="140" t="s">
        <v>2574</v>
      </c>
      <c r="N325" s="140" t="s">
        <v>3191</v>
      </c>
      <c r="O325" s="149" t="s">
        <v>2111</v>
      </c>
      <c r="P325" s="149" t="s">
        <v>2739</v>
      </c>
      <c r="Q325" s="140" t="s">
        <v>2692</v>
      </c>
      <c r="R325" s="140" t="s">
        <v>2713</v>
      </c>
      <c r="S325" s="149">
        <f t="shared" si="18"/>
        <v>5.0000000000000001E-3</v>
      </c>
      <c r="T325" s="149">
        <v>0</v>
      </c>
      <c r="U325" s="157">
        <v>5.0000000000000001E-3</v>
      </c>
      <c r="V325" s="157">
        <v>2.492</v>
      </c>
      <c r="W325" s="157">
        <v>13.173</v>
      </c>
      <c r="X325" s="149">
        <f t="shared" si="19"/>
        <v>32.827115999999997</v>
      </c>
      <c r="Y325" s="149"/>
    </row>
    <row r="326" spans="1:25" ht="18" customHeight="1">
      <c r="A326" s="149" t="s">
        <v>12</v>
      </c>
      <c r="B326" s="150" t="s">
        <v>565</v>
      </c>
      <c r="C326" s="149" t="s">
        <v>1744</v>
      </c>
      <c r="D326" s="149" t="s">
        <v>3555</v>
      </c>
      <c r="E326" s="149" t="s">
        <v>567</v>
      </c>
      <c r="F326" s="149">
        <v>-26.42166667</v>
      </c>
      <c r="G326" s="149">
        <v>135.50166666999999</v>
      </c>
      <c r="H326" s="149">
        <v>201</v>
      </c>
      <c r="I326" s="151">
        <v>42816</v>
      </c>
      <c r="J326" s="149" t="s">
        <v>36</v>
      </c>
      <c r="K326" s="149" t="s">
        <v>419</v>
      </c>
      <c r="L326" s="155" t="s">
        <v>2566</v>
      </c>
      <c r="M326" s="155" t="s">
        <v>2567</v>
      </c>
      <c r="N326" s="155" t="s">
        <v>2668</v>
      </c>
      <c r="O326" s="155" t="s">
        <v>2105</v>
      </c>
      <c r="P326" s="140" t="s">
        <v>2105</v>
      </c>
      <c r="Q326" s="140" t="s">
        <v>2387</v>
      </c>
      <c r="R326" s="158" t="s">
        <v>2713</v>
      </c>
      <c r="S326" s="149">
        <f t="shared" si="18"/>
        <v>5.9999999999999995E-4</v>
      </c>
      <c r="T326" s="149">
        <v>0</v>
      </c>
      <c r="U326" s="157">
        <v>5.9999999999999995E-4</v>
      </c>
      <c r="V326" s="157">
        <v>1.4970000000000001</v>
      </c>
      <c r="W326" s="157">
        <v>6.0529999999999999</v>
      </c>
      <c r="X326" s="149">
        <f t="shared" si="19"/>
        <v>9.0613410000000005</v>
      </c>
      <c r="Y326" s="149"/>
    </row>
    <row r="327" spans="1:25" ht="18" customHeight="1">
      <c r="A327" s="149" t="s">
        <v>12</v>
      </c>
      <c r="B327" s="150" t="s">
        <v>568</v>
      </c>
      <c r="C327" s="149" t="s">
        <v>1744</v>
      </c>
      <c r="D327" s="149" t="s">
        <v>3555</v>
      </c>
      <c r="E327" s="149" t="s">
        <v>564</v>
      </c>
      <c r="F327" s="149">
        <v>-25.999166670000001</v>
      </c>
      <c r="G327" s="149">
        <v>135.33250000000001</v>
      </c>
      <c r="H327" s="149">
        <v>206</v>
      </c>
      <c r="I327" s="151">
        <v>42811</v>
      </c>
      <c r="J327" s="149" t="s">
        <v>36</v>
      </c>
      <c r="K327" s="149" t="s">
        <v>419</v>
      </c>
      <c r="L327" s="155" t="s">
        <v>2566</v>
      </c>
      <c r="M327" s="155" t="s">
        <v>2567</v>
      </c>
      <c r="N327" s="155" t="s">
        <v>2668</v>
      </c>
      <c r="O327" s="155" t="s">
        <v>2105</v>
      </c>
      <c r="P327" s="140" t="s">
        <v>2105</v>
      </c>
      <c r="Q327" s="140" t="s">
        <v>2387</v>
      </c>
      <c r="R327" s="155" t="s">
        <v>2713</v>
      </c>
      <c r="S327" s="149">
        <f t="shared" si="18"/>
        <v>1E-3</v>
      </c>
      <c r="T327" s="149">
        <v>0</v>
      </c>
      <c r="U327" s="157">
        <v>1E-3</v>
      </c>
      <c r="V327" s="157">
        <v>1.754</v>
      </c>
      <c r="W327" s="157">
        <v>7.6639999999999997</v>
      </c>
      <c r="X327" s="149">
        <f t="shared" si="19"/>
        <v>13.442655999999999</v>
      </c>
      <c r="Y327" s="149"/>
    </row>
    <row r="328" spans="1:25" ht="18" customHeight="1">
      <c r="A328" s="149" t="s">
        <v>12</v>
      </c>
      <c r="B328" s="150" t="s">
        <v>570</v>
      </c>
      <c r="C328" s="149" t="s">
        <v>1744</v>
      </c>
      <c r="D328" s="149" t="s">
        <v>3555</v>
      </c>
      <c r="E328" s="149" t="s">
        <v>564</v>
      </c>
      <c r="F328" s="149">
        <v>-25.999166670000001</v>
      </c>
      <c r="G328" s="149">
        <v>135.33250000000001</v>
      </c>
      <c r="H328" s="149">
        <v>206</v>
      </c>
      <c r="I328" s="151">
        <v>42811</v>
      </c>
      <c r="J328" s="149" t="s">
        <v>36</v>
      </c>
      <c r="K328" s="149" t="s">
        <v>419</v>
      </c>
      <c r="L328" s="155" t="s">
        <v>2566</v>
      </c>
      <c r="M328" s="155" t="s">
        <v>2567</v>
      </c>
      <c r="N328" s="155" t="s">
        <v>2668</v>
      </c>
      <c r="O328" s="155" t="s">
        <v>2105</v>
      </c>
      <c r="P328" s="140" t="s">
        <v>2105</v>
      </c>
      <c r="Q328" s="140" t="s">
        <v>2387</v>
      </c>
      <c r="R328" s="155" t="s">
        <v>2713</v>
      </c>
      <c r="S328" s="149">
        <f t="shared" si="18"/>
        <v>1E-3</v>
      </c>
      <c r="T328" s="140">
        <v>0</v>
      </c>
      <c r="U328" s="157">
        <v>1E-3</v>
      </c>
      <c r="V328" s="157">
        <v>1.6539999999999999</v>
      </c>
      <c r="W328" s="157">
        <v>8.7810000000000006</v>
      </c>
      <c r="X328" s="149">
        <f t="shared" si="19"/>
        <v>14.523774</v>
      </c>
      <c r="Y328" s="149"/>
    </row>
    <row r="329" spans="1:25" ht="18" customHeight="1">
      <c r="A329" s="149" t="s">
        <v>12</v>
      </c>
      <c r="B329" s="150" t="s">
        <v>572</v>
      </c>
      <c r="C329" s="149" t="s">
        <v>1744</v>
      </c>
      <c r="D329" s="149" t="s">
        <v>3555</v>
      </c>
      <c r="E329" s="149" t="s">
        <v>567</v>
      </c>
      <c r="F329" s="149">
        <v>-26.42166667</v>
      </c>
      <c r="G329" s="149">
        <v>135.50166666999999</v>
      </c>
      <c r="H329" s="149">
        <v>201</v>
      </c>
      <c r="I329" s="151">
        <v>42816</v>
      </c>
      <c r="J329" s="149" t="s">
        <v>36</v>
      </c>
      <c r="K329" s="149" t="s">
        <v>419</v>
      </c>
      <c r="L329" s="140" t="s">
        <v>2566</v>
      </c>
      <c r="M329" s="140" t="s">
        <v>2574</v>
      </c>
      <c r="N329" s="140" t="s">
        <v>3191</v>
      </c>
      <c r="O329" s="149" t="s">
        <v>2111</v>
      </c>
      <c r="P329" s="149" t="s">
        <v>2739</v>
      </c>
      <c r="Q329" s="140" t="s">
        <v>2692</v>
      </c>
      <c r="R329" s="140" t="s">
        <v>2713</v>
      </c>
      <c r="S329" s="149">
        <f t="shared" si="18"/>
        <v>3.3999999999999998E-3</v>
      </c>
      <c r="T329" s="140">
        <v>0</v>
      </c>
      <c r="U329" s="157">
        <v>3.3999999999999998E-3</v>
      </c>
      <c r="V329" s="157">
        <v>2.4369999999999998</v>
      </c>
      <c r="W329" s="157">
        <v>11.183999999999999</v>
      </c>
      <c r="X329" s="149">
        <f t="shared" si="19"/>
        <v>27.255407999999996</v>
      </c>
      <c r="Y329" s="149"/>
    </row>
    <row r="330" spans="1:25" ht="18" customHeight="1">
      <c r="A330" s="149" t="s">
        <v>12</v>
      </c>
      <c r="B330" s="150" t="s">
        <v>574</v>
      </c>
      <c r="C330" s="149" t="s">
        <v>1744</v>
      </c>
      <c r="D330" s="149" t="s">
        <v>3555</v>
      </c>
      <c r="E330" s="149" t="s">
        <v>567</v>
      </c>
      <c r="F330" s="149">
        <v>-26.42166667</v>
      </c>
      <c r="G330" s="149">
        <v>135.50166666999999</v>
      </c>
      <c r="H330" s="149">
        <v>201</v>
      </c>
      <c r="I330" s="151">
        <v>42816</v>
      </c>
      <c r="J330" s="149" t="s">
        <v>36</v>
      </c>
      <c r="K330" s="149" t="s">
        <v>419</v>
      </c>
      <c r="L330" s="140" t="s">
        <v>2566</v>
      </c>
      <c r="M330" s="140" t="s">
        <v>2574</v>
      </c>
      <c r="N330" s="140" t="s">
        <v>3191</v>
      </c>
      <c r="O330" s="149" t="s">
        <v>2111</v>
      </c>
      <c r="P330" s="149" t="s">
        <v>2739</v>
      </c>
      <c r="Q330" s="140" t="s">
        <v>2692</v>
      </c>
      <c r="R330" s="140" t="s">
        <v>2713</v>
      </c>
      <c r="S330" s="149">
        <f t="shared" si="18"/>
        <v>2.0999999999999999E-3</v>
      </c>
      <c r="T330" s="140">
        <v>0</v>
      </c>
      <c r="U330" s="157">
        <v>2.0999999999999999E-3</v>
      </c>
      <c r="V330" s="157">
        <v>1.7589999999999999</v>
      </c>
      <c r="W330" s="157">
        <v>11.103999999999999</v>
      </c>
      <c r="X330" s="149">
        <f t="shared" si="19"/>
        <v>19.531935999999998</v>
      </c>
      <c r="Y330" s="149"/>
    </row>
    <row r="331" spans="1:25" ht="18" customHeight="1">
      <c r="A331" s="149" t="s">
        <v>12</v>
      </c>
      <c r="B331" s="150" t="s">
        <v>575</v>
      </c>
      <c r="C331" s="149" t="s">
        <v>1744</v>
      </c>
      <c r="D331" s="149" t="s">
        <v>3555</v>
      </c>
      <c r="E331" s="149" t="s">
        <v>567</v>
      </c>
      <c r="F331" s="149">
        <v>-26.42166667</v>
      </c>
      <c r="G331" s="149">
        <v>135.50166666999999</v>
      </c>
      <c r="H331" s="149">
        <v>201</v>
      </c>
      <c r="I331" s="151">
        <v>42816</v>
      </c>
      <c r="J331" s="149" t="s">
        <v>36</v>
      </c>
      <c r="K331" s="149" t="s">
        <v>419</v>
      </c>
      <c r="L331" s="155" t="s">
        <v>2566</v>
      </c>
      <c r="M331" s="155" t="s">
        <v>2567</v>
      </c>
      <c r="N331" s="155" t="s">
        <v>2668</v>
      </c>
      <c r="O331" s="140" t="s">
        <v>2600</v>
      </c>
      <c r="P331" s="149" t="s">
        <v>2735</v>
      </c>
      <c r="Q331" s="140" t="s">
        <v>2709</v>
      </c>
      <c r="R331" s="158" t="s">
        <v>2713</v>
      </c>
      <c r="S331" s="149">
        <f t="shared" si="18"/>
        <v>1.1999999999999999E-3</v>
      </c>
      <c r="T331" s="149">
        <v>0</v>
      </c>
      <c r="U331" s="157">
        <v>1.1999999999999999E-3</v>
      </c>
      <c r="V331" s="157">
        <v>1.504</v>
      </c>
      <c r="W331" s="157">
        <v>7.6929999999999996</v>
      </c>
      <c r="X331" s="149">
        <f t="shared" si="19"/>
        <v>11.570271999999999</v>
      </c>
      <c r="Y331" s="149"/>
    </row>
    <row r="332" spans="1:25" ht="18" customHeight="1">
      <c r="A332" s="149" t="s">
        <v>12</v>
      </c>
      <c r="B332" s="150" t="s">
        <v>576</v>
      </c>
      <c r="C332" s="149" t="s">
        <v>1744</v>
      </c>
      <c r="D332" s="149" t="s">
        <v>3555</v>
      </c>
      <c r="E332" s="149" t="s">
        <v>567</v>
      </c>
      <c r="F332" s="149">
        <v>-26.42166667</v>
      </c>
      <c r="G332" s="149">
        <v>135.50166666999999</v>
      </c>
      <c r="H332" s="149">
        <v>201</v>
      </c>
      <c r="I332" s="151">
        <v>42816</v>
      </c>
      <c r="J332" s="149" t="s">
        <v>36</v>
      </c>
      <c r="K332" s="149" t="s">
        <v>419</v>
      </c>
      <c r="L332" s="155" t="s">
        <v>2566</v>
      </c>
      <c r="M332" s="155" t="s">
        <v>2567</v>
      </c>
      <c r="N332" s="155" t="s">
        <v>2668</v>
      </c>
      <c r="O332" s="140" t="s">
        <v>2600</v>
      </c>
      <c r="P332" s="149" t="s">
        <v>2735</v>
      </c>
      <c r="Q332" s="140" t="s">
        <v>2709</v>
      </c>
      <c r="R332" s="155" t="s">
        <v>2713</v>
      </c>
      <c r="S332" s="149">
        <f t="shared" si="18"/>
        <v>3.3E-3</v>
      </c>
      <c r="T332" s="149">
        <v>0</v>
      </c>
      <c r="U332" s="157">
        <v>3.3E-3</v>
      </c>
      <c r="V332" s="157">
        <v>1.6879999999999999</v>
      </c>
      <c r="W332" s="157">
        <v>7.9260000000000002</v>
      </c>
      <c r="X332" s="149">
        <f t="shared" si="19"/>
        <v>13.379087999999999</v>
      </c>
      <c r="Y332" s="149"/>
    </row>
    <row r="333" spans="1:25" ht="18" customHeight="1">
      <c r="A333" s="149" t="s">
        <v>12</v>
      </c>
      <c r="B333" s="150" t="s">
        <v>437</v>
      </c>
      <c r="C333" s="149" t="s">
        <v>1744</v>
      </c>
      <c r="D333" s="149" t="s">
        <v>3555</v>
      </c>
      <c r="E333" s="149" t="s">
        <v>418</v>
      </c>
      <c r="F333" s="149">
        <v>-26.284722200000001</v>
      </c>
      <c r="G333" s="149">
        <v>136.09805556000001</v>
      </c>
      <c r="H333" s="149">
        <v>201</v>
      </c>
      <c r="I333" s="151">
        <v>42816</v>
      </c>
      <c r="J333" s="149" t="s">
        <v>36</v>
      </c>
      <c r="K333" s="149" t="s">
        <v>419</v>
      </c>
      <c r="L333" s="140" t="s">
        <v>1687</v>
      </c>
      <c r="M333" s="140" t="s">
        <v>2563</v>
      </c>
      <c r="N333" s="140" t="s">
        <v>2575</v>
      </c>
      <c r="O333" s="140" t="s">
        <v>2664</v>
      </c>
      <c r="P333" s="140" t="s">
        <v>2379</v>
      </c>
      <c r="Q333" s="140" t="s">
        <v>2665</v>
      </c>
      <c r="R333" s="140" t="s">
        <v>2713</v>
      </c>
      <c r="S333" s="149">
        <f t="shared" si="18"/>
        <v>6.0499999999999998E-2</v>
      </c>
      <c r="T333" s="140">
        <v>3.8671999999999998E-2</v>
      </c>
      <c r="U333" s="157">
        <v>2.1828E-2</v>
      </c>
      <c r="V333" s="157">
        <v>3.919</v>
      </c>
      <c r="W333" s="157">
        <v>19.812999999999999</v>
      </c>
      <c r="X333" s="149">
        <f t="shared" si="19"/>
        <v>77.64714699999999</v>
      </c>
      <c r="Y333" s="149"/>
    </row>
    <row r="334" spans="1:25" ht="18" customHeight="1">
      <c r="A334" s="149" t="s">
        <v>12</v>
      </c>
      <c r="B334" s="150" t="s">
        <v>577</v>
      </c>
      <c r="C334" s="149" t="s">
        <v>1744</v>
      </c>
      <c r="D334" s="149" t="s">
        <v>3555</v>
      </c>
      <c r="E334" s="149" t="s">
        <v>567</v>
      </c>
      <c r="F334" s="149">
        <v>-26.42166667</v>
      </c>
      <c r="G334" s="149">
        <v>135.50166666999999</v>
      </c>
      <c r="H334" s="149">
        <v>201</v>
      </c>
      <c r="I334" s="151">
        <v>42816</v>
      </c>
      <c r="J334" s="149" t="s">
        <v>36</v>
      </c>
      <c r="K334" s="149" t="s">
        <v>419</v>
      </c>
      <c r="L334" s="155" t="s">
        <v>2566</v>
      </c>
      <c r="M334" s="155" t="s">
        <v>2567</v>
      </c>
      <c r="N334" s="155" t="s">
        <v>2668</v>
      </c>
      <c r="O334" s="140" t="s">
        <v>2600</v>
      </c>
      <c r="P334" s="149" t="s">
        <v>2735</v>
      </c>
      <c r="Q334" s="140" t="s">
        <v>2709</v>
      </c>
      <c r="R334" s="155" t="s">
        <v>2713</v>
      </c>
      <c r="S334" s="149">
        <f t="shared" si="18"/>
        <v>1E-3</v>
      </c>
      <c r="T334" s="140">
        <v>0</v>
      </c>
      <c r="U334" s="157">
        <v>1E-3</v>
      </c>
      <c r="V334" s="157">
        <v>1.5669999999999999</v>
      </c>
      <c r="W334" s="157">
        <v>7.2039999999999997</v>
      </c>
      <c r="X334" s="149">
        <f t="shared" si="19"/>
        <v>11.288667999999999</v>
      </c>
      <c r="Y334" s="149"/>
    </row>
    <row r="335" spans="1:25" ht="18" customHeight="1">
      <c r="A335" s="149" t="s">
        <v>12</v>
      </c>
      <c r="B335" s="150" t="s">
        <v>578</v>
      </c>
      <c r="C335" s="149" t="s">
        <v>1744</v>
      </c>
      <c r="D335" s="149" t="s">
        <v>3555</v>
      </c>
      <c r="E335" s="149" t="s">
        <v>567</v>
      </c>
      <c r="F335" s="149">
        <v>-26.42166667</v>
      </c>
      <c r="G335" s="149">
        <v>135.50166666999999</v>
      </c>
      <c r="H335" s="149">
        <v>201</v>
      </c>
      <c r="I335" s="151">
        <v>42816</v>
      </c>
      <c r="J335" s="149" t="s">
        <v>36</v>
      </c>
      <c r="K335" s="149" t="s">
        <v>419</v>
      </c>
      <c r="L335" s="155" t="s">
        <v>2566</v>
      </c>
      <c r="M335" s="155" t="s">
        <v>2567</v>
      </c>
      <c r="N335" s="155" t="s">
        <v>2668</v>
      </c>
      <c r="O335" s="140" t="s">
        <v>2600</v>
      </c>
      <c r="P335" s="149" t="s">
        <v>2735</v>
      </c>
      <c r="Q335" s="140" t="s">
        <v>2709</v>
      </c>
      <c r="R335" s="158" t="s">
        <v>2713</v>
      </c>
      <c r="S335" s="149">
        <f t="shared" si="18"/>
        <v>1.1000000000000001E-3</v>
      </c>
      <c r="T335" s="140">
        <v>0</v>
      </c>
      <c r="U335" s="157">
        <v>1.1000000000000001E-3</v>
      </c>
      <c r="V335" s="157">
        <v>1.571</v>
      </c>
      <c r="W335" s="157">
        <v>7.6719999999999997</v>
      </c>
      <c r="X335" s="149">
        <f t="shared" si="19"/>
        <v>12.052712</v>
      </c>
      <c r="Y335" s="149"/>
    </row>
    <row r="336" spans="1:25" ht="18" customHeight="1">
      <c r="A336" s="149" t="s">
        <v>12</v>
      </c>
      <c r="B336" s="150" t="s">
        <v>579</v>
      </c>
      <c r="C336" s="149" t="s">
        <v>1744</v>
      </c>
      <c r="D336" s="149" t="s">
        <v>3555</v>
      </c>
      <c r="E336" s="149" t="s">
        <v>567</v>
      </c>
      <c r="F336" s="149">
        <v>-26.42166667</v>
      </c>
      <c r="G336" s="149">
        <v>135.50166666999999</v>
      </c>
      <c r="H336" s="149">
        <v>201</v>
      </c>
      <c r="I336" s="151">
        <v>42816</v>
      </c>
      <c r="J336" s="149" t="s">
        <v>36</v>
      </c>
      <c r="K336" s="149" t="s">
        <v>419</v>
      </c>
      <c r="L336" s="140" t="s">
        <v>2566</v>
      </c>
      <c r="M336" s="140" t="s">
        <v>2567</v>
      </c>
      <c r="N336" s="140" t="s">
        <v>2668</v>
      </c>
      <c r="O336" s="140" t="s">
        <v>2600</v>
      </c>
      <c r="P336" s="149" t="s">
        <v>2735</v>
      </c>
      <c r="Q336" s="140" t="s">
        <v>2709</v>
      </c>
      <c r="R336" s="140" t="s">
        <v>2713</v>
      </c>
      <c r="S336" s="149">
        <f t="shared" si="18"/>
        <v>8.0000000000000004E-4</v>
      </c>
      <c r="T336" s="149">
        <v>0</v>
      </c>
      <c r="U336" s="157">
        <v>8.0000000000000004E-4</v>
      </c>
      <c r="V336" s="157">
        <v>1.631</v>
      </c>
      <c r="W336" s="157">
        <v>7.7149999999999999</v>
      </c>
      <c r="X336" s="149">
        <f t="shared" si="19"/>
        <v>12.583164999999999</v>
      </c>
      <c r="Y336" s="149"/>
    </row>
    <row r="337" spans="1:25" ht="18" customHeight="1">
      <c r="A337" s="149" t="s">
        <v>12</v>
      </c>
      <c r="B337" s="150" t="s">
        <v>581</v>
      </c>
      <c r="C337" s="149" t="s">
        <v>1744</v>
      </c>
      <c r="D337" s="149" t="s">
        <v>3555</v>
      </c>
      <c r="E337" s="149" t="s">
        <v>567</v>
      </c>
      <c r="F337" s="149">
        <v>-26.42166667</v>
      </c>
      <c r="G337" s="149">
        <v>135.50166666999999</v>
      </c>
      <c r="H337" s="149">
        <v>201</v>
      </c>
      <c r="I337" s="151">
        <v>42816</v>
      </c>
      <c r="J337" s="149" t="s">
        <v>36</v>
      </c>
      <c r="K337" s="149" t="s">
        <v>419</v>
      </c>
      <c r="L337" s="155" t="s">
        <v>2566</v>
      </c>
      <c r="M337" s="155" t="s">
        <v>2567</v>
      </c>
      <c r="N337" s="155" t="s">
        <v>2668</v>
      </c>
      <c r="O337" s="140" t="s">
        <v>2600</v>
      </c>
      <c r="P337" s="149" t="s">
        <v>2735</v>
      </c>
      <c r="Q337" s="140" t="s">
        <v>2709</v>
      </c>
      <c r="R337" s="155" t="s">
        <v>2713</v>
      </c>
      <c r="S337" s="149">
        <f t="shared" si="18"/>
        <v>1.6999999999999999E-3</v>
      </c>
      <c r="T337" s="149">
        <v>0</v>
      </c>
      <c r="U337" s="157">
        <v>1.6999999999999999E-3</v>
      </c>
      <c r="V337" s="157">
        <v>1.524</v>
      </c>
      <c r="W337" s="157">
        <v>6.7249999999999996</v>
      </c>
      <c r="X337" s="149">
        <f t="shared" si="19"/>
        <v>10.248899999999999</v>
      </c>
      <c r="Y337" s="149"/>
    </row>
    <row r="338" spans="1:25" ht="18" customHeight="1">
      <c r="A338" s="149" t="s">
        <v>12</v>
      </c>
      <c r="B338" s="150" t="s">
        <v>582</v>
      </c>
      <c r="C338" s="149" t="s">
        <v>1744</v>
      </c>
      <c r="D338" s="149" t="s">
        <v>3555</v>
      </c>
      <c r="E338" s="149" t="s">
        <v>567</v>
      </c>
      <c r="F338" s="149">
        <v>-26.42166667</v>
      </c>
      <c r="G338" s="149">
        <v>135.50166666999999</v>
      </c>
      <c r="H338" s="149">
        <v>201</v>
      </c>
      <c r="I338" s="151">
        <v>42816</v>
      </c>
      <c r="J338" s="149" t="s">
        <v>36</v>
      </c>
      <c r="K338" s="149" t="s">
        <v>419</v>
      </c>
      <c r="L338" s="155" t="s">
        <v>2566</v>
      </c>
      <c r="M338" s="155" t="s">
        <v>2567</v>
      </c>
      <c r="N338" s="155" t="s">
        <v>2668</v>
      </c>
      <c r="O338" s="140" t="s">
        <v>2600</v>
      </c>
      <c r="P338" s="149" t="s">
        <v>2735</v>
      </c>
      <c r="Q338" s="140" t="s">
        <v>2709</v>
      </c>
      <c r="R338" s="158" t="s">
        <v>2713</v>
      </c>
      <c r="S338" s="149">
        <f t="shared" si="18"/>
        <v>4.0000000000000002E-4</v>
      </c>
      <c r="T338" s="140">
        <v>0</v>
      </c>
      <c r="U338" s="157">
        <v>4.0000000000000002E-4</v>
      </c>
      <c r="V338" s="157">
        <v>1.546</v>
      </c>
      <c r="W338" s="157">
        <v>7.1</v>
      </c>
      <c r="X338" s="149">
        <f t="shared" si="19"/>
        <v>10.976599999999999</v>
      </c>
      <c r="Y338" s="149"/>
    </row>
    <row r="339" spans="1:25" ht="18" customHeight="1">
      <c r="A339" s="149" t="s">
        <v>12</v>
      </c>
      <c r="B339" s="150" t="s">
        <v>583</v>
      </c>
      <c r="C339" s="149" t="s">
        <v>1744</v>
      </c>
      <c r="D339" s="149" t="s">
        <v>3555</v>
      </c>
      <c r="E339" s="149" t="s">
        <v>567</v>
      </c>
      <c r="F339" s="149">
        <v>-26.42166667</v>
      </c>
      <c r="G339" s="149">
        <v>135.50166666999999</v>
      </c>
      <c r="H339" s="149">
        <v>201</v>
      </c>
      <c r="I339" s="151">
        <v>42816</v>
      </c>
      <c r="J339" s="149" t="s">
        <v>36</v>
      </c>
      <c r="K339" s="149" t="s">
        <v>419</v>
      </c>
      <c r="L339" s="155" t="s">
        <v>2566</v>
      </c>
      <c r="M339" s="155" t="s">
        <v>2567</v>
      </c>
      <c r="N339" s="155" t="s">
        <v>2668</v>
      </c>
      <c r="O339" s="140" t="s">
        <v>2600</v>
      </c>
      <c r="P339" s="149" t="s">
        <v>2735</v>
      </c>
      <c r="Q339" s="140" t="s">
        <v>2709</v>
      </c>
      <c r="R339" s="155" t="s">
        <v>2713</v>
      </c>
      <c r="S339" s="149">
        <f t="shared" si="18"/>
        <v>1E-3</v>
      </c>
      <c r="T339" s="149">
        <v>0</v>
      </c>
      <c r="U339" s="157">
        <v>1E-3</v>
      </c>
      <c r="V339" s="157">
        <v>1.552</v>
      </c>
      <c r="W339" s="157">
        <v>7.4850000000000003</v>
      </c>
      <c r="X339" s="149">
        <f t="shared" si="19"/>
        <v>11.616720000000001</v>
      </c>
      <c r="Y339" s="149"/>
    </row>
    <row r="340" spans="1:25" ht="18" customHeight="1">
      <c r="A340" s="149" t="s">
        <v>12</v>
      </c>
      <c r="B340" s="150" t="s">
        <v>584</v>
      </c>
      <c r="C340" s="149" t="s">
        <v>1744</v>
      </c>
      <c r="D340" s="149" t="s">
        <v>3555</v>
      </c>
      <c r="E340" s="149" t="s">
        <v>567</v>
      </c>
      <c r="F340" s="149">
        <v>-26.42166667</v>
      </c>
      <c r="G340" s="149">
        <v>135.50166666999999</v>
      </c>
      <c r="H340" s="149">
        <v>201</v>
      </c>
      <c r="I340" s="151">
        <v>42816</v>
      </c>
      <c r="J340" s="149" t="s">
        <v>36</v>
      </c>
      <c r="K340" s="149" t="s">
        <v>419</v>
      </c>
      <c r="L340" s="155" t="s">
        <v>2566</v>
      </c>
      <c r="M340" s="155" t="s">
        <v>2567</v>
      </c>
      <c r="N340" s="155" t="s">
        <v>2668</v>
      </c>
      <c r="O340" s="140" t="s">
        <v>2600</v>
      </c>
      <c r="P340" s="149" t="s">
        <v>2735</v>
      </c>
      <c r="Q340" s="140" t="s">
        <v>2709</v>
      </c>
      <c r="R340" s="155" t="s">
        <v>2713</v>
      </c>
      <c r="S340" s="149">
        <f t="shared" si="18"/>
        <v>8.0000000000000004E-4</v>
      </c>
      <c r="T340" s="149">
        <v>0</v>
      </c>
      <c r="U340" s="157">
        <v>8.0000000000000004E-4</v>
      </c>
      <c r="V340" s="157">
        <v>1.6180000000000001</v>
      </c>
      <c r="W340" s="157">
        <v>7.0650000000000004</v>
      </c>
      <c r="X340" s="149">
        <f t="shared" si="19"/>
        <v>11.431170000000002</v>
      </c>
      <c r="Y340" s="149"/>
    </row>
    <row r="341" spans="1:25" ht="18" customHeight="1">
      <c r="A341" s="149" t="s">
        <v>12</v>
      </c>
      <c r="B341" s="150" t="s">
        <v>585</v>
      </c>
      <c r="C341" s="149" t="s">
        <v>1744</v>
      </c>
      <c r="D341" s="149" t="s">
        <v>3555</v>
      </c>
      <c r="E341" s="149" t="s">
        <v>567</v>
      </c>
      <c r="F341" s="149">
        <v>-26.42166667</v>
      </c>
      <c r="G341" s="149">
        <v>135.50166666999999</v>
      </c>
      <c r="H341" s="149">
        <v>201</v>
      </c>
      <c r="I341" s="151">
        <v>42816</v>
      </c>
      <c r="J341" s="149" t="s">
        <v>36</v>
      </c>
      <c r="K341" s="149" t="s">
        <v>419</v>
      </c>
      <c r="L341" s="155" t="s">
        <v>2566</v>
      </c>
      <c r="M341" s="155" t="s">
        <v>2567</v>
      </c>
      <c r="N341" s="155" t="s">
        <v>2668</v>
      </c>
      <c r="O341" s="155" t="s">
        <v>2105</v>
      </c>
      <c r="P341" s="140" t="s">
        <v>2105</v>
      </c>
      <c r="Q341" s="140" t="s">
        <v>2387</v>
      </c>
      <c r="R341" s="155" t="s">
        <v>2713</v>
      </c>
      <c r="S341" s="149">
        <f t="shared" si="18"/>
        <v>2.9999999999999997E-4</v>
      </c>
      <c r="T341" s="149">
        <v>0</v>
      </c>
      <c r="U341" s="157">
        <v>2.9999999999999997E-4</v>
      </c>
      <c r="V341" s="157">
        <v>1.58</v>
      </c>
      <c r="W341" s="157">
        <v>5.7469999999999999</v>
      </c>
      <c r="X341" s="149">
        <f t="shared" si="19"/>
        <v>9.0802600000000009</v>
      </c>
      <c r="Y341" s="149"/>
    </row>
    <row r="342" spans="1:25" ht="18" customHeight="1">
      <c r="A342" s="149" t="s">
        <v>12</v>
      </c>
      <c r="B342" s="150" t="s">
        <v>586</v>
      </c>
      <c r="C342" s="149" t="s">
        <v>1744</v>
      </c>
      <c r="D342" s="149" t="s">
        <v>3555</v>
      </c>
      <c r="E342" s="149" t="s">
        <v>567</v>
      </c>
      <c r="F342" s="149">
        <v>-26.42166667</v>
      </c>
      <c r="G342" s="149">
        <v>135.50166666999999</v>
      </c>
      <c r="H342" s="149">
        <v>201</v>
      </c>
      <c r="I342" s="151">
        <v>42816</v>
      </c>
      <c r="J342" s="149" t="s">
        <v>36</v>
      </c>
      <c r="K342" s="149" t="s">
        <v>419</v>
      </c>
      <c r="L342" s="155" t="s">
        <v>2566</v>
      </c>
      <c r="M342" s="155" t="s">
        <v>2567</v>
      </c>
      <c r="N342" s="155" t="s">
        <v>2668</v>
      </c>
      <c r="O342" s="155" t="s">
        <v>2105</v>
      </c>
      <c r="P342" s="140" t="s">
        <v>2105</v>
      </c>
      <c r="Q342" s="140" t="s">
        <v>2387</v>
      </c>
      <c r="R342" s="155" t="s">
        <v>2713</v>
      </c>
      <c r="S342" s="149">
        <f t="shared" si="18"/>
        <v>5.9999999999999995E-4</v>
      </c>
      <c r="T342" s="149">
        <v>0</v>
      </c>
      <c r="U342" s="157">
        <v>5.9999999999999995E-4</v>
      </c>
      <c r="V342" s="157">
        <v>1.4570000000000001</v>
      </c>
      <c r="W342" s="157">
        <v>7.1829999999999998</v>
      </c>
      <c r="X342" s="149">
        <f t="shared" si="19"/>
        <v>10.465631</v>
      </c>
      <c r="Y342" s="149"/>
    </row>
    <row r="343" spans="1:25" ht="18" customHeight="1">
      <c r="A343" s="149" t="s">
        <v>12</v>
      </c>
      <c r="B343" s="150" t="s">
        <v>438</v>
      </c>
      <c r="C343" s="149" t="s">
        <v>1744</v>
      </c>
      <c r="D343" s="149" t="s">
        <v>3555</v>
      </c>
      <c r="E343" s="149" t="s">
        <v>418</v>
      </c>
      <c r="F343" s="149">
        <v>-26.284722200000001</v>
      </c>
      <c r="G343" s="149">
        <v>136.09805556000001</v>
      </c>
      <c r="H343" s="149">
        <v>201</v>
      </c>
      <c r="I343" s="151">
        <v>42816</v>
      </c>
      <c r="J343" s="149" t="s">
        <v>36</v>
      </c>
      <c r="K343" s="149" t="s">
        <v>419</v>
      </c>
      <c r="L343" s="140" t="s">
        <v>2566</v>
      </c>
      <c r="M343" s="140" t="s">
        <v>2567</v>
      </c>
      <c r="N343" s="140" t="s">
        <v>2668</v>
      </c>
      <c r="O343" s="140" t="s">
        <v>2105</v>
      </c>
      <c r="P343" s="140" t="s">
        <v>2105</v>
      </c>
      <c r="Q343" s="140" t="s">
        <v>2387</v>
      </c>
      <c r="R343" s="140" t="s">
        <v>2713</v>
      </c>
      <c r="S343" s="149">
        <f t="shared" si="18"/>
        <v>1.1000000000000001E-3</v>
      </c>
      <c r="T343" s="149">
        <v>0</v>
      </c>
      <c r="U343" s="157">
        <v>1.1000000000000001E-3</v>
      </c>
      <c r="V343" s="157">
        <v>1.5469999999999999</v>
      </c>
      <c r="W343" s="157">
        <v>6.6760000000000002</v>
      </c>
      <c r="X343" s="149">
        <f t="shared" si="19"/>
        <v>10.327772</v>
      </c>
      <c r="Y343" s="149"/>
    </row>
    <row r="344" spans="1:25" ht="18" customHeight="1">
      <c r="A344" s="149" t="s">
        <v>12</v>
      </c>
      <c r="B344" s="150" t="s">
        <v>587</v>
      </c>
      <c r="C344" s="149" t="s">
        <v>1744</v>
      </c>
      <c r="D344" s="149" t="s">
        <v>3555</v>
      </c>
      <c r="E344" s="149" t="s">
        <v>567</v>
      </c>
      <c r="F344" s="149">
        <v>-26.42166667</v>
      </c>
      <c r="G344" s="149">
        <v>135.50166666999999</v>
      </c>
      <c r="H344" s="149">
        <v>201</v>
      </c>
      <c r="I344" s="151">
        <v>42816</v>
      </c>
      <c r="J344" s="149" t="s">
        <v>36</v>
      </c>
      <c r="K344" s="149" t="s">
        <v>419</v>
      </c>
      <c r="L344" s="155" t="s">
        <v>2566</v>
      </c>
      <c r="M344" s="155" t="s">
        <v>2567</v>
      </c>
      <c r="N344" s="155" t="s">
        <v>2668</v>
      </c>
      <c r="O344" s="140" t="s">
        <v>2600</v>
      </c>
      <c r="P344" s="149" t="s">
        <v>2735</v>
      </c>
      <c r="Q344" s="140" t="s">
        <v>2709</v>
      </c>
      <c r="R344" s="155" t="s">
        <v>2713</v>
      </c>
      <c r="S344" s="149">
        <f t="shared" si="18"/>
        <v>8.9999999999999998E-4</v>
      </c>
      <c r="T344" s="149">
        <v>0</v>
      </c>
      <c r="U344" s="157">
        <v>8.9999999999999998E-4</v>
      </c>
      <c r="V344" s="157">
        <v>1.5109999999999999</v>
      </c>
      <c r="W344" s="157">
        <v>7.0780000000000003</v>
      </c>
      <c r="X344" s="149">
        <f t="shared" si="19"/>
        <v>10.694858</v>
      </c>
      <c r="Y344" s="149"/>
    </row>
    <row r="345" spans="1:25" ht="18" customHeight="1">
      <c r="A345" s="149" t="s">
        <v>12</v>
      </c>
      <c r="B345" s="150" t="s">
        <v>588</v>
      </c>
      <c r="C345" s="149" t="s">
        <v>1744</v>
      </c>
      <c r="D345" s="149" t="s">
        <v>3555</v>
      </c>
      <c r="E345" s="149" t="s">
        <v>567</v>
      </c>
      <c r="F345" s="149">
        <v>-26.42166667</v>
      </c>
      <c r="G345" s="149">
        <v>135.50166666999999</v>
      </c>
      <c r="H345" s="149">
        <v>201</v>
      </c>
      <c r="I345" s="151">
        <v>42816</v>
      </c>
      <c r="J345" s="149" t="s">
        <v>36</v>
      </c>
      <c r="K345" s="149" t="s">
        <v>419</v>
      </c>
      <c r="L345" s="155" t="s">
        <v>2566</v>
      </c>
      <c r="M345" s="155" t="s">
        <v>2567</v>
      </c>
      <c r="N345" s="155" t="s">
        <v>2668</v>
      </c>
      <c r="O345" s="140" t="s">
        <v>2600</v>
      </c>
      <c r="P345" s="149" t="s">
        <v>2735</v>
      </c>
      <c r="Q345" s="140" t="s">
        <v>2709</v>
      </c>
      <c r="R345" s="155" t="s">
        <v>2713</v>
      </c>
      <c r="S345" s="149">
        <f t="shared" si="18"/>
        <v>6.9999999999999999E-4</v>
      </c>
      <c r="T345" s="149">
        <v>0</v>
      </c>
      <c r="U345" s="157">
        <v>6.9999999999999999E-4</v>
      </c>
      <c r="V345" s="157">
        <v>1.5509999999999999</v>
      </c>
      <c r="W345" s="157">
        <v>6.8769999999999998</v>
      </c>
      <c r="X345" s="149">
        <f t="shared" si="19"/>
        <v>10.666226999999999</v>
      </c>
      <c r="Y345" s="149"/>
    </row>
    <row r="346" spans="1:25" ht="18" customHeight="1">
      <c r="A346" s="149" t="s">
        <v>12</v>
      </c>
      <c r="B346" s="150" t="s">
        <v>589</v>
      </c>
      <c r="C346" s="149" t="s">
        <v>1744</v>
      </c>
      <c r="D346" s="149" t="s">
        <v>3555</v>
      </c>
      <c r="E346" s="149" t="s">
        <v>567</v>
      </c>
      <c r="F346" s="149">
        <v>-26.42166667</v>
      </c>
      <c r="G346" s="149">
        <v>135.50166666999999</v>
      </c>
      <c r="H346" s="149">
        <v>201</v>
      </c>
      <c r="I346" s="151">
        <v>42816</v>
      </c>
      <c r="J346" s="149" t="s">
        <v>36</v>
      </c>
      <c r="K346" s="149" t="s">
        <v>419</v>
      </c>
      <c r="L346" s="155" t="s">
        <v>2566</v>
      </c>
      <c r="M346" s="155" t="s">
        <v>2567</v>
      </c>
      <c r="N346" s="155" t="s">
        <v>2668</v>
      </c>
      <c r="O346" s="155" t="s">
        <v>2105</v>
      </c>
      <c r="P346" s="140" t="s">
        <v>2105</v>
      </c>
      <c r="Q346" s="140" t="s">
        <v>2387</v>
      </c>
      <c r="R346" s="155" t="s">
        <v>2713</v>
      </c>
      <c r="S346" s="149">
        <f t="shared" si="18"/>
        <v>2.9999999999999997E-4</v>
      </c>
      <c r="T346" s="149">
        <v>0</v>
      </c>
      <c r="U346" s="157">
        <v>2.9999999999999997E-4</v>
      </c>
      <c r="V346" s="157">
        <v>1.413</v>
      </c>
      <c r="W346" s="157">
        <v>6.4249999999999998</v>
      </c>
      <c r="X346" s="149">
        <f t="shared" si="19"/>
        <v>9.0785250000000008</v>
      </c>
      <c r="Y346" s="149"/>
    </row>
    <row r="347" spans="1:25" ht="18" customHeight="1">
      <c r="A347" s="149" t="s">
        <v>12</v>
      </c>
      <c r="B347" s="150" t="s">
        <v>590</v>
      </c>
      <c r="C347" s="149" t="s">
        <v>1744</v>
      </c>
      <c r="D347" s="149" t="s">
        <v>3555</v>
      </c>
      <c r="E347" s="149" t="s">
        <v>567</v>
      </c>
      <c r="F347" s="149">
        <v>-26.42166667</v>
      </c>
      <c r="G347" s="149">
        <v>135.50166666999999</v>
      </c>
      <c r="H347" s="149">
        <v>201</v>
      </c>
      <c r="I347" s="151">
        <v>42816</v>
      </c>
      <c r="J347" s="149" t="s">
        <v>36</v>
      </c>
      <c r="K347" s="149" t="s">
        <v>419</v>
      </c>
      <c r="L347" s="158" t="s">
        <v>2572</v>
      </c>
      <c r="M347" s="158" t="s">
        <v>2573</v>
      </c>
      <c r="N347" s="140" t="s">
        <v>36</v>
      </c>
      <c r="O347" s="158" t="s">
        <v>2606</v>
      </c>
      <c r="P347" s="158" t="s">
        <v>2784</v>
      </c>
      <c r="Q347" s="158" t="s">
        <v>2672</v>
      </c>
      <c r="R347" s="155" t="s">
        <v>2712</v>
      </c>
      <c r="S347" s="149">
        <f t="shared" si="18"/>
        <v>6.9999999999999999E-4</v>
      </c>
      <c r="T347" s="149">
        <v>0</v>
      </c>
      <c r="U347" s="157">
        <v>6.9999999999999999E-4</v>
      </c>
      <c r="V347" s="157">
        <v>1.2549999999999999</v>
      </c>
      <c r="W347" s="157">
        <v>5.4379999999999997</v>
      </c>
      <c r="X347" s="149">
        <f t="shared" si="19"/>
        <v>6.8246899999999995</v>
      </c>
      <c r="Y347" s="149"/>
    </row>
    <row r="348" spans="1:25" ht="18" customHeight="1">
      <c r="A348" s="149" t="s">
        <v>12</v>
      </c>
      <c r="B348" s="150" t="s">
        <v>591</v>
      </c>
      <c r="C348" s="149" t="s">
        <v>1744</v>
      </c>
      <c r="D348" s="149" t="s">
        <v>3555</v>
      </c>
      <c r="E348" s="149" t="s">
        <v>593</v>
      </c>
      <c r="F348" s="149">
        <v>-26.365555560000001</v>
      </c>
      <c r="G348" s="149">
        <v>135.79</v>
      </c>
      <c r="H348" s="149">
        <v>201</v>
      </c>
      <c r="I348" s="151">
        <v>42816</v>
      </c>
      <c r="J348" s="149" t="s">
        <v>36</v>
      </c>
      <c r="K348" s="149" t="s">
        <v>419</v>
      </c>
      <c r="L348" s="149" t="s">
        <v>1687</v>
      </c>
      <c r="M348" s="149" t="s">
        <v>2563</v>
      </c>
      <c r="N348" s="149" t="s">
        <v>2568</v>
      </c>
      <c r="O348" s="149" t="s">
        <v>2734</v>
      </c>
      <c r="P348" s="149" t="s">
        <v>2782</v>
      </c>
      <c r="Q348" s="149" t="s">
        <v>2392</v>
      </c>
      <c r="R348" s="149" t="s">
        <v>2713</v>
      </c>
      <c r="S348" s="149">
        <f t="shared" si="18"/>
        <v>7.0599999999999996E-2</v>
      </c>
      <c r="T348" s="140">
        <v>3.8671999999999998E-2</v>
      </c>
      <c r="U348" s="157">
        <v>3.1927999999999998E-2</v>
      </c>
      <c r="V348" s="157">
        <v>4.9800000000000004</v>
      </c>
      <c r="W348" s="157">
        <v>19.847999999999999</v>
      </c>
      <c r="X348" s="149">
        <f t="shared" si="19"/>
        <v>98.843040000000002</v>
      </c>
      <c r="Y348" s="149"/>
    </row>
    <row r="349" spans="1:25" ht="18" customHeight="1">
      <c r="A349" s="149" t="s">
        <v>12</v>
      </c>
      <c r="B349" s="150" t="s">
        <v>594</v>
      </c>
      <c r="C349" s="149" t="s">
        <v>1744</v>
      </c>
      <c r="D349" s="149" t="s">
        <v>3555</v>
      </c>
      <c r="E349" s="149" t="s">
        <v>593</v>
      </c>
      <c r="F349" s="149">
        <v>-26.365555560000001</v>
      </c>
      <c r="G349" s="149">
        <v>135.79</v>
      </c>
      <c r="H349" s="149">
        <v>201</v>
      </c>
      <c r="I349" s="151">
        <v>42816</v>
      </c>
      <c r="J349" s="149" t="s">
        <v>36</v>
      </c>
      <c r="K349" s="149" t="s">
        <v>419</v>
      </c>
      <c r="L349" s="149" t="s">
        <v>2569</v>
      </c>
      <c r="M349" s="149" t="s">
        <v>2570</v>
      </c>
      <c r="N349" s="149" t="s">
        <v>2571</v>
      </c>
      <c r="O349" s="140" t="s">
        <v>2369</v>
      </c>
      <c r="P349" s="140" t="s">
        <v>2737</v>
      </c>
      <c r="Q349" s="140" t="s">
        <v>2396</v>
      </c>
      <c r="R349" s="140" t="s">
        <v>2713</v>
      </c>
      <c r="S349" s="149">
        <f t="shared" si="18"/>
        <v>5.5100000000000003E-2</v>
      </c>
      <c r="T349" s="140">
        <v>3.8671999999999998E-2</v>
      </c>
      <c r="U349" s="157">
        <v>1.6428000000000005E-2</v>
      </c>
      <c r="V349" s="157">
        <v>4.2300000000000004</v>
      </c>
      <c r="W349" s="157">
        <v>15.081</v>
      </c>
      <c r="X349" s="149">
        <f t="shared" si="19"/>
        <v>63.792630000000003</v>
      </c>
      <c r="Y349" s="149"/>
    </row>
    <row r="350" spans="1:25" ht="18" customHeight="1">
      <c r="A350" s="149" t="s">
        <v>12</v>
      </c>
      <c r="B350" s="150" t="s">
        <v>595</v>
      </c>
      <c r="C350" s="149" t="s">
        <v>1744</v>
      </c>
      <c r="D350" s="149" t="s">
        <v>3555</v>
      </c>
      <c r="E350" s="149" t="s">
        <v>593</v>
      </c>
      <c r="F350" s="149">
        <v>-26.365555560000001</v>
      </c>
      <c r="G350" s="149">
        <v>135.79</v>
      </c>
      <c r="H350" s="149">
        <v>201</v>
      </c>
      <c r="I350" s="151">
        <v>42816</v>
      </c>
      <c r="J350" s="149" t="s">
        <v>36</v>
      </c>
      <c r="K350" s="149" t="s">
        <v>419</v>
      </c>
      <c r="L350" s="149" t="s">
        <v>2569</v>
      </c>
      <c r="M350" s="149" t="s">
        <v>2570</v>
      </c>
      <c r="N350" s="149" t="s">
        <v>2571</v>
      </c>
      <c r="O350" s="140" t="s">
        <v>2369</v>
      </c>
      <c r="P350" s="140" t="s">
        <v>2737</v>
      </c>
      <c r="Q350" s="140" t="s">
        <v>2671</v>
      </c>
      <c r="R350" s="140" t="s">
        <v>2712</v>
      </c>
      <c r="S350" s="149">
        <f t="shared" si="18"/>
        <v>4.87E-2</v>
      </c>
      <c r="T350" s="140">
        <v>3.8671999999999998E-2</v>
      </c>
      <c r="U350" s="157">
        <v>1.0028000000000002E-2</v>
      </c>
      <c r="V350" s="157">
        <v>3.6190000000000002</v>
      </c>
      <c r="W350" s="157">
        <v>12.577999999999999</v>
      </c>
      <c r="X350" s="149">
        <f t="shared" si="19"/>
        <v>45.519781999999999</v>
      </c>
      <c r="Y350" s="149"/>
    </row>
    <row r="351" spans="1:25" ht="18" customHeight="1">
      <c r="A351" s="149" t="s">
        <v>12</v>
      </c>
      <c r="B351" s="150" t="s">
        <v>596</v>
      </c>
      <c r="C351" s="149" t="s">
        <v>1744</v>
      </c>
      <c r="D351" s="149" t="s">
        <v>3555</v>
      </c>
      <c r="E351" s="149" t="s">
        <v>593</v>
      </c>
      <c r="F351" s="149">
        <v>-26.365555560000001</v>
      </c>
      <c r="G351" s="149">
        <v>135.79</v>
      </c>
      <c r="H351" s="149">
        <v>201</v>
      </c>
      <c r="I351" s="151">
        <v>42816</v>
      </c>
      <c r="J351" s="149" t="s">
        <v>36</v>
      </c>
      <c r="K351" s="149" t="s">
        <v>419</v>
      </c>
      <c r="L351" s="140" t="s">
        <v>2566</v>
      </c>
      <c r="M351" s="140" t="s">
        <v>2574</v>
      </c>
      <c r="N351" s="140" t="s">
        <v>3191</v>
      </c>
      <c r="O351" s="149" t="s">
        <v>2111</v>
      </c>
      <c r="P351" s="149" t="s">
        <v>2739</v>
      </c>
      <c r="Q351" s="140" t="s">
        <v>2666</v>
      </c>
      <c r="R351" s="140" t="s">
        <v>2712</v>
      </c>
      <c r="S351" s="149">
        <f t="shared" si="18"/>
        <v>4.8500000000000001E-2</v>
      </c>
      <c r="T351" s="140">
        <v>3.8671999999999998E-2</v>
      </c>
      <c r="U351" s="157">
        <v>9.8280000000000034E-3</v>
      </c>
      <c r="V351" s="157">
        <v>3.387</v>
      </c>
      <c r="W351" s="157">
        <v>14.403</v>
      </c>
      <c r="X351" s="149">
        <f t="shared" si="19"/>
        <v>48.782961</v>
      </c>
      <c r="Y351" s="149"/>
    </row>
    <row r="352" spans="1:25" ht="18" customHeight="1">
      <c r="A352" s="149" t="s">
        <v>12</v>
      </c>
      <c r="B352" s="150" t="s">
        <v>597</v>
      </c>
      <c r="C352" s="149" t="s">
        <v>1744</v>
      </c>
      <c r="D352" s="149" t="s">
        <v>3555</v>
      </c>
      <c r="E352" s="149" t="s">
        <v>593</v>
      </c>
      <c r="F352" s="149">
        <v>-26.365555560000001</v>
      </c>
      <c r="G352" s="149">
        <v>135.79</v>
      </c>
      <c r="H352" s="149">
        <v>201</v>
      </c>
      <c r="I352" s="151">
        <v>42816</v>
      </c>
      <c r="J352" s="149" t="s">
        <v>36</v>
      </c>
      <c r="K352" s="149" t="s">
        <v>419</v>
      </c>
      <c r="L352" s="149" t="s">
        <v>1687</v>
      </c>
      <c r="M352" s="149" t="s">
        <v>2563</v>
      </c>
      <c r="N352" s="149" t="s">
        <v>2568</v>
      </c>
      <c r="O352" s="149" t="s">
        <v>2734</v>
      </c>
      <c r="P352" s="149" t="s">
        <v>2782</v>
      </c>
      <c r="Q352" s="149" t="s">
        <v>2392</v>
      </c>
      <c r="R352" s="149" t="s">
        <v>2712</v>
      </c>
      <c r="S352" s="149">
        <f t="shared" si="18"/>
        <v>6.7400000000000002E-2</v>
      </c>
      <c r="T352" s="140">
        <v>3.8671999999999998E-2</v>
      </c>
      <c r="U352" s="157">
        <v>2.8728000000000004E-2</v>
      </c>
      <c r="V352" s="157">
        <v>5.0730000000000004</v>
      </c>
      <c r="W352" s="157">
        <v>18.591999999999999</v>
      </c>
      <c r="X352" s="149">
        <f t="shared" si="19"/>
        <v>94.317216000000002</v>
      </c>
      <c r="Y352" s="149"/>
    </row>
    <row r="353" spans="1:25" ht="18" customHeight="1">
      <c r="A353" s="149" t="s">
        <v>12</v>
      </c>
      <c r="B353" s="150" t="s">
        <v>598</v>
      </c>
      <c r="C353" s="149" t="s">
        <v>1744</v>
      </c>
      <c r="D353" s="149" t="s">
        <v>3555</v>
      </c>
      <c r="E353" s="149" t="s">
        <v>593</v>
      </c>
      <c r="F353" s="149">
        <v>-26.365555560000001</v>
      </c>
      <c r="G353" s="149">
        <v>135.79</v>
      </c>
      <c r="H353" s="149">
        <v>201</v>
      </c>
      <c r="I353" s="151">
        <v>42816</v>
      </c>
      <c r="J353" s="149" t="s">
        <v>36</v>
      </c>
      <c r="K353" s="149" t="s">
        <v>419</v>
      </c>
      <c r="L353" s="149" t="s">
        <v>2569</v>
      </c>
      <c r="M353" s="149" t="s">
        <v>2570</v>
      </c>
      <c r="N353" s="149" t="s">
        <v>2571</v>
      </c>
      <c r="O353" s="140" t="s">
        <v>2369</v>
      </c>
      <c r="P353" s="140" t="s">
        <v>3556</v>
      </c>
      <c r="Q353" s="142" t="s">
        <v>2682</v>
      </c>
      <c r="R353" s="140" t="s">
        <v>2712</v>
      </c>
      <c r="S353" s="149">
        <f t="shared" si="18"/>
        <v>5.16E-2</v>
      </c>
      <c r="T353" s="140">
        <v>3.8671999999999998E-2</v>
      </c>
      <c r="U353" s="157">
        <v>1.2928000000000002E-2</v>
      </c>
      <c r="V353" s="157">
        <v>3.4430000000000001</v>
      </c>
      <c r="W353" s="157">
        <v>15.637</v>
      </c>
      <c r="X353" s="149">
        <f t="shared" si="19"/>
        <v>53.838191000000002</v>
      </c>
      <c r="Y353" s="149"/>
    </row>
    <row r="354" spans="1:25" ht="18" customHeight="1">
      <c r="A354" s="149" t="s">
        <v>12</v>
      </c>
      <c r="B354" s="150" t="s">
        <v>439</v>
      </c>
      <c r="C354" s="149" t="s">
        <v>1744</v>
      </c>
      <c r="D354" s="149" t="s">
        <v>3555</v>
      </c>
      <c r="E354" s="149" t="s">
        <v>418</v>
      </c>
      <c r="F354" s="149">
        <v>-26.284722200000001</v>
      </c>
      <c r="G354" s="149">
        <v>136.09805556000001</v>
      </c>
      <c r="H354" s="149">
        <v>201</v>
      </c>
      <c r="I354" s="151">
        <v>42816</v>
      </c>
      <c r="J354" s="149" t="s">
        <v>36</v>
      </c>
      <c r="K354" s="149" t="s">
        <v>419</v>
      </c>
      <c r="L354" s="140" t="s">
        <v>2566</v>
      </c>
      <c r="M354" s="140" t="s">
        <v>2574</v>
      </c>
      <c r="N354" s="140" t="s">
        <v>3191</v>
      </c>
      <c r="O354" s="149" t="s">
        <v>2111</v>
      </c>
      <c r="P354" s="149" t="s">
        <v>2739</v>
      </c>
      <c r="Q354" s="140" t="s">
        <v>2692</v>
      </c>
      <c r="R354" s="140" t="s">
        <v>2713</v>
      </c>
      <c r="S354" s="149">
        <f t="shared" si="18"/>
        <v>2.3E-3</v>
      </c>
      <c r="T354" s="149">
        <v>0</v>
      </c>
      <c r="U354" s="157">
        <v>2.3E-3</v>
      </c>
      <c r="V354" s="157">
        <v>2</v>
      </c>
      <c r="W354" s="157">
        <v>9.36</v>
      </c>
      <c r="X354" s="149">
        <f t="shared" si="19"/>
        <v>18.72</v>
      </c>
      <c r="Y354" s="149"/>
    </row>
    <row r="355" spans="1:25" ht="18" customHeight="1">
      <c r="A355" s="149" t="s">
        <v>12</v>
      </c>
      <c r="B355" s="150" t="s">
        <v>599</v>
      </c>
      <c r="C355" s="149" t="s">
        <v>1744</v>
      </c>
      <c r="D355" s="149" t="s">
        <v>3555</v>
      </c>
      <c r="E355" s="149" t="s">
        <v>593</v>
      </c>
      <c r="F355" s="149">
        <v>-26.365555560000001</v>
      </c>
      <c r="G355" s="149">
        <v>135.79</v>
      </c>
      <c r="H355" s="149">
        <v>201</v>
      </c>
      <c r="I355" s="151">
        <v>42816</v>
      </c>
      <c r="J355" s="149" t="s">
        <v>36</v>
      </c>
      <c r="K355" s="149" t="s">
        <v>419</v>
      </c>
      <c r="L355" s="149" t="s">
        <v>2569</v>
      </c>
      <c r="M355" s="149" t="s">
        <v>2570</v>
      </c>
      <c r="N355" s="149" t="s">
        <v>2571</v>
      </c>
      <c r="O355" s="140" t="s">
        <v>2369</v>
      </c>
      <c r="P355" s="140" t="s">
        <v>2737</v>
      </c>
      <c r="Q355" s="140" t="s">
        <v>2396</v>
      </c>
      <c r="R355" s="140" t="s">
        <v>2713</v>
      </c>
      <c r="S355" s="149">
        <f t="shared" si="18"/>
        <v>5.79E-2</v>
      </c>
      <c r="T355" s="140">
        <v>3.8671999999999998E-2</v>
      </c>
      <c r="U355" s="157">
        <v>1.9228000000000002E-2</v>
      </c>
      <c r="V355" s="157">
        <v>4.2889999999999997</v>
      </c>
      <c r="W355" s="157">
        <v>14.7</v>
      </c>
      <c r="X355" s="149">
        <f t="shared" si="19"/>
        <v>63.04829999999999</v>
      </c>
      <c r="Y355" s="149"/>
    </row>
    <row r="356" spans="1:25" ht="18" customHeight="1">
      <c r="A356" s="149" t="s">
        <v>12</v>
      </c>
      <c r="B356" s="150" t="s">
        <v>600</v>
      </c>
      <c r="C356" s="149" t="s">
        <v>1744</v>
      </c>
      <c r="D356" s="149" t="s">
        <v>3555</v>
      </c>
      <c r="E356" s="149" t="s">
        <v>593</v>
      </c>
      <c r="F356" s="149">
        <v>-26.365555560000001</v>
      </c>
      <c r="G356" s="149">
        <v>135.79</v>
      </c>
      <c r="H356" s="149">
        <v>201</v>
      </c>
      <c r="I356" s="151">
        <v>42816</v>
      </c>
      <c r="J356" s="149" t="s">
        <v>36</v>
      </c>
      <c r="K356" s="149" t="s">
        <v>419</v>
      </c>
      <c r="L356" s="149" t="s">
        <v>2569</v>
      </c>
      <c r="M356" s="149" t="s">
        <v>2570</v>
      </c>
      <c r="N356" s="149" t="s">
        <v>2571</v>
      </c>
      <c r="O356" s="140" t="s">
        <v>2369</v>
      </c>
      <c r="P356" s="140" t="s">
        <v>3556</v>
      </c>
      <c r="Q356" s="140" t="s">
        <v>2669</v>
      </c>
      <c r="R356" s="149" t="s">
        <v>2713</v>
      </c>
      <c r="S356" s="149">
        <f t="shared" si="18"/>
        <v>4.6399999999999997E-2</v>
      </c>
      <c r="T356" s="140">
        <v>3.8671999999999998E-2</v>
      </c>
      <c r="U356" s="157">
        <v>7.7279999999999988E-3</v>
      </c>
      <c r="V356" s="157">
        <v>2.8220000000000001</v>
      </c>
      <c r="W356" s="157">
        <v>11.919</v>
      </c>
      <c r="X356" s="149">
        <f t="shared" si="19"/>
        <v>33.635418000000001</v>
      </c>
      <c r="Y356" s="149"/>
    </row>
    <row r="357" spans="1:25" ht="18" customHeight="1">
      <c r="A357" s="149" t="s">
        <v>12</v>
      </c>
      <c r="B357" s="150" t="s">
        <v>601</v>
      </c>
      <c r="C357" s="149" t="s">
        <v>1744</v>
      </c>
      <c r="D357" s="149" t="s">
        <v>3555</v>
      </c>
      <c r="E357" s="149" t="s">
        <v>593</v>
      </c>
      <c r="F357" s="149">
        <v>-26.365555560000001</v>
      </c>
      <c r="G357" s="149">
        <v>135.79</v>
      </c>
      <c r="H357" s="149">
        <v>201</v>
      </c>
      <c r="I357" s="151">
        <v>42816</v>
      </c>
      <c r="J357" s="149" t="s">
        <v>36</v>
      </c>
      <c r="K357" s="149" t="s">
        <v>419</v>
      </c>
      <c r="L357" s="149" t="s">
        <v>2569</v>
      </c>
      <c r="M357" s="149" t="s">
        <v>2570</v>
      </c>
      <c r="N357" s="149" t="s">
        <v>2571</v>
      </c>
      <c r="O357" s="140" t="s">
        <v>2369</v>
      </c>
      <c r="P357" s="140" t="s">
        <v>3556</v>
      </c>
      <c r="Q357" s="140" t="s">
        <v>2669</v>
      </c>
      <c r="R357" s="149" t="s">
        <v>2713</v>
      </c>
      <c r="S357" s="149">
        <f t="shared" si="18"/>
        <v>4.5900000000000003E-2</v>
      </c>
      <c r="T357" s="140">
        <v>3.8671999999999998E-2</v>
      </c>
      <c r="U357" s="157">
        <v>7.2280000000000053E-3</v>
      </c>
      <c r="V357" s="157">
        <v>2.7690000000000001</v>
      </c>
      <c r="W357" s="157">
        <v>10.935</v>
      </c>
      <c r="X357" s="149">
        <f t="shared" si="19"/>
        <v>30.279015000000001</v>
      </c>
      <c r="Y357" s="149"/>
    </row>
    <row r="358" spans="1:25" ht="18" customHeight="1">
      <c r="A358" s="149" t="s">
        <v>12</v>
      </c>
      <c r="B358" s="150" t="s">
        <v>602</v>
      </c>
      <c r="C358" s="149" t="s">
        <v>1744</v>
      </c>
      <c r="D358" s="149" t="s">
        <v>3555</v>
      </c>
      <c r="E358" s="149" t="s">
        <v>593</v>
      </c>
      <c r="F358" s="149">
        <v>-26.365555560000001</v>
      </c>
      <c r="G358" s="149">
        <v>135.79</v>
      </c>
      <c r="H358" s="149">
        <v>201</v>
      </c>
      <c r="I358" s="151">
        <v>42816</v>
      </c>
      <c r="J358" s="149" t="s">
        <v>36</v>
      </c>
      <c r="K358" s="149" t="s">
        <v>419</v>
      </c>
      <c r="L358" s="149" t="s">
        <v>2569</v>
      </c>
      <c r="M358" s="149" t="s">
        <v>2570</v>
      </c>
      <c r="N358" s="149" t="s">
        <v>2571</v>
      </c>
      <c r="O358" s="140" t="s">
        <v>2369</v>
      </c>
      <c r="P358" s="140" t="s">
        <v>3556</v>
      </c>
      <c r="Q358" s="140" t="s">
        <v>2669</v>
      </c>
      <c r="R358" s="149" t="s">
        <v>2713</v>
      </c>
      <c r="S358" s="149">
        <f t="shared" si="18"/>
        <v>4.6899999999999997E-2</v>
      </c>
      <c r="T358" s="140">
        <v>3.8671999999999998E-2</v>
      </c>
      <c r="U358" s="157">
        <v>8.2279999999999992E-3</v>
      </c>
      <c r="V358" s="157">
        <v>2.9340000000000002</v>
      </c>
      <c r="W358" s="157">
        <v>13.029</v>
      </c>
      <c r="X358" s="149">
        <f t="shared" si="19"/>
        <v>38.227086</v>
      </c>
      <c r="Y358" s="149"/>
    </row>
    <row r="359" spans="1:25" ht="18" customHeight="1">
      <c r="A359" s="149" t="s">
        <v>12</v>
      </c>
      <c r="B359" s="150" t="s">
        <v>603</v>
      </c>
      <c r="C359" s="149" t="s">
        <v>1744</v>
      </c>
      <c r="D359" s="149" t="s">
        <v>3555</v>
      </c>
      <c r="E359" s="149" t="s">
        <v>593</v>
      </c>
      <c r="F359" s="149">
        <v>-26.365555560000001</v>
      </c>
      <c r="G359" s="149">
        <v>135.79</v>
      </c>
      <c r="H359" s="149">
        <v>201</v>
      </c>
      <c r="I359" s="151">
        <v>42816</v>
      </c>
      <c r="J359" s="149" t="s">
        <v>36</v>
      </c>
      <c r="K359" s="149" t="s">
        <v>419</v>
      </c>
      <c r="L359" s="155" t="s">
        <v>2566</v>
      </c>
      <c r="M359" s="155" t="s">
        <v>2567</v>
      </c>
      <c r="N359" s="155" t="s">
        <v>2668</v>
      </c>
      <c r="O359" s="155" t="s">
        <v>2105</v>
      </c>
      <c r="P359" s="140" t="s">
        <v>2105</v>
      </c>
      <c r="Q359" s="140" t="s">
        <v>2387</v>
      </c>
      <c r="R359" s="155" t="s">
        <v>2713</v>
      </c>
      <c r="S359" s="149">
        <f t="shared" si="18"/>
        <v>8.0000000000000004E-4</v>
      </c>
      <c r="T359" s="149">
        <v>0</v>
      </c>
      <c r="U359" s="157">
        <v>8.0000000000000004E-4</v>
      </c>
      <c r="V359" s="157">
        <v>1.569</v>
      </c>
      <c r="W359" s="157">
        <v>6.09</v>
      </c>
      <c r="X359" s="149">
        <f t="shared" si="19"/>
        <v>9.5552099999999989</v>
      </c>
      <c r="Y359" s="149"/>
    </row>
    <row r="360" spans="1:25" ht="18" customHeight="1">
      <c r="A360" s="149" t="s">
        <v>12</v>
      </c>
      <c r="B360" s="150" t="s">
        <v>604</v>
      </c>
      <c r="C360" s="149" t="s">
        <v>1744</v>
      </c>
      <c r="D360" s="149" t="s">
        <v>3555</v>
      </c>
      <c r="E360" s="149" t="s">
        <v>593</v>
      </c>
      <c r="F360" s="149">
        <v>-26.365555560000001</v>
      </c>
      <c r="G360" s="149">
        <v>135.79</v>
      </c>
      <c r="H360" s="149">
        <v>201</v>
      </c>
      <c r="I360" s="151">
        <v>42816</v>
      </c>
      <c r="J360" s="149" t="s">
        <v>36</v>
      </c>
      <c r="K360" s="149" t="s">
        <v>419</v>
      </c>
      <c r="L360" s="155" t="s">
        <v>2566</v>
      </c>
      <c r="M360" s="155" t="s">
        <v>2567</v>
      </c>
      <c r="N360" s="155" t="s">
        <v>2668</v>
      </c>
      <c r="O360" s="155" t="s">
        <v>2105</v>
      </c>
      <c r="P360" s="140" t="s">
        <v>2105</v>
      </c>
      <c r="Q360" s="140" t="s">
        <v>2387</v>
      </c>
      <c r="R360" s="155" t="s">
        <v>2713</v>
      </c>
      <c r="S360" s="149">
        <f t="shared" ref="S360:S423" si="20">T360+U360</f>
        <v>6.9999999999999999E-4</v>
      </c>
      <c r="T360" s="149">
        <v>0</v>
      </c>
      <c r="U360" s="157">
        <v>6.9999999999999999E-4</v>
      </c>
      <c r="V360" s="157">
        <v>1.665</v>
      </c>
      <c r="W360" s="157">
        <v>6.4729999999999999</v>
      </c>
      <c r="X360" s="149">
        <f t="shared" si="19"/>
        <v>10.777545</v>
      </c>
      <c r="Y360" s="149"/>
    </row>
    <row r="361" spans="1:25" ht="18" customHeight="1">
      <c r="A361" s="149" t="s">
        <v>12</v>
      </c>
      <c r="B361" s="150" t="s">
        <v>605</v>
      </c>
      <c r="C361" s="149" t="s">
        <v>1744</v>
      </c>
      <c r="D361" s="149" t="s">
        <v>3555</v>
      </c>
      <c r="E361" s="149" t="s">
        <v>593</v>
      </c>
      <c r="F361" s="149">
        <v>-26.365555560000001</v>
      </c>
      <c r="G361" s="149">
        <v>135.79</v>
      </c>
      <c r="H361" s="149">
        <v>201</v>
      </c>
      <c r="I361" s="151">
        <v>42816</v>
      </c>
      <c r="J361" s="149" t="s">
        <v>36</v>
      </c>
      <c r="K361" s="149" t="s">
        <v>419</v>
      </c>
      <c r="L361" s="140" t="s">
        <v>2566</v>
      </c>
      <c r="M361" s="140" t="s">
        <v>2567</v>
      </c>
      <c r="N361" s="140" t="s">
        <v>2668</v>
      </c>
      <c r="O361" s="140" t="s">
        <v>2105</v>
      </c>
      <c r="P361" s="140" t="s">
        <v>2105</v>
      </c>
      <c r="Q361" s="140" t="s">
        <v>2387</v>
      </c>
      <c r="R361" s="140" t="s">
        <v>2713</v>
      </c>
      <c r="S361" s="149">
        <f t="shared" si="20"/>
        <v>8.0000000000000004E-4</v>
      </c>
      <c r="T361" s="149">
        <v>0</v>
      </c>
      <c r="U361" s="157">
        <v>8.0000000000000004E-4</v>
      </c>
      <c r="V361" s="157">
        <v>1.514</v>
      </c>
      <c r="W361" s="157">
        <v>5.9349999999999996</v>
      </c>
      <c r="X361" s="149">
        <f t="shared" si="19"/>
        <v>8.9855900000000002</v>
      </c>
      <c r="Y361" s="149"/>
    </row>
    <row r="362" spans="1:25" ht="18" customHeight="1">
      <c r="A362" s="149" t="s">
        <v>12</v>
      </c>
      <c r="B362" s="150" t="s">
        <v>606</v>
      </c>
      <c r="C362" s="149" t="s">
        <v>1744</v>
      </c>
      <c r="D362" s="149" t="s">
        <v>3555</v>
      </c>
      <c r="E362" s="149" t="s">
        <v>593</v>
      </c>
      <c r="F362" s="149">
        <v>-26.365555560000001</v>
      </c>
      <c r="G362" s="149">
        <v>135.79</v>
      </c>
      <c r="H362" s="149">
        <v>201</v>
      </c>
      <c r="I362" s="151">
        <v>42816</v>
      </c>
      <c r="J362" s="149" t="s">
        <v>36</v>
      </c>
      <c r="K362" s="149" t="s">
        <v>419</v>
      </c>
      <c r="L362" s="155" t="s">
        <v>2566</v>
      </c>
      <c r="M362" s="155" t="s">
        <v>2567</v>
      </c>
      <c r="N362" s="155" t="s">
        <v>2668</v>
      </c>
      <c r="O362" s="140" t="s">
        <v>2600</v>
      </c>
      <c r="P362" s="149" t="s">
        <v>2735</v>
      </c>
      <c r="Q362" s="140" t="s">
        <v>2709</v>
      </c>
      <c r="R362" s="155" t="s">
        <v>2712</v>
      </c>
      <c r="S362" s="149">
        <f t="shared" si="20"/>
        <v>1.4E-3</v>
      </c>
      <c r="T362" s="149">
        <v>0</v>
      </c>
      <c r="U362" s="157">
        <v>1.4E-3</v>
      </c>
      <c r="V362" s="157">
        <v>1.857</v>
      </c>
      <c r="W362" s="157">
        <v>8.4390000000000001</v>
      </c>
      <c r="X362" s="149">
        <f t="shared" si="19"/>
        <v>15.671222999999999</v>
      </c>
      <c r="Y362" s="149"/>
    </row>
    <row r="363" spans="1:25" ht="18" customHeight="1">
      <c r="A363" s="149" t="s">
        <v>12</v>
      </c>
      <c r="B363" s="150" t="s">
        <v>607</v>
      </c>
      <c r="C363" s="149" t="s">
        <v>1744</v>
      </c>
      <c r="D363" s="149" t="s">
        <v>3555</v>
      </c>
      <c r="E363" s="149" t="s">
        <v>593</v>
      </c>
      <c r="F363" s="149">
        <v>-26.365555560000001</v>
      </c>
      <c r="G363" s="149">
        <v>135.79</v>
      </c>
      <c r="H363" s="149">
        <v>201</v>
      </c>
      <c r="I363" s="151">
        <v>42816</v>
      </c>
      <c r="J363" s="149" t="s">
        <v>36</v>
      </c>
      <c r="K363" s="149" t="s">
        <v>419</v>
      </c>
      <c r="L363" s="155" t="s">
        <v>2566</v>
      </c>
      <c r="M363" s="155" t="s">
        <v>2567</v>
      </c>
      <c r="N363" s="155" t="s">
        <v>2668</v>
      </c>
      <c r="O363" s="155" t="s">
        <v>2105</v>
      </c>
      <c r="P363" s="140" t="s">
        <v>2105</v>
      </c>
      <c r="Q363" s="140" t="s">
        <v>2387</v>
      </c>
      <c r="R363" s="155" t="s">
        <v>2713</v>
      </c>
      <c r="S363" s="149">
        <f t="shared" si="20"/>
        <v>3.3999999999999998E-3</v>
      </c>
      <c r="T363" s="149">
        <v>0</v>
      </c>
      <c r="U363" s="157">
        <v>3.3999999999999998E-3</v>
      </c>
      <c r="V363" s="157">
        <v>1.4390000000000001</v>
      </c>
      <c r="W363" s="157">
        <v>6.0780000000000003</v>
      </c>
      <c r="X363" s="149">
        <f t="shared" si="19"/>
        <v>8.7462420000000005</v>
      </c>
      <c r="Y363" s="149"/>
    </row>
    <row r="364" spans="1:25" ht="18" customHeight="1">
      <c r="A364" s="149" t="s">
        <v>12</v>
      </c>
      <c r="B364" s="150" t="s">
        <v>608</v>
      </c>
      <c r="C364" s="149" t="s">
        <v>1744</v>
      </c>
      <c r="D364" s="149" t="s">
        <v>3555</v>
      </c>
      <c r="E364" s="149" t="s">
        <v>593</v>
      </c>
      <c r="F364" s="149">
        <v>-26.365555560000001</v>
      </c>
      <c r="G364" s="149">
        <v>135.79</v>
      </c>
      <c r="H364" s="149">
        <v>201</v>
      </c>
      <c r="I364" s="151">
        <v>42816</v>
      </c>
      <c r="J364" s="149" t="s">
        <v>36</v>
      </c>
      <c r="K364" s="149" t="s">
        <v>419</v>
      </c>
      <c r="L364" s="140" t="s">
        <v>2572</v>
      </c>
      <c r="M364" s="140" t="s">
        <v>2407</v>
      </c>
      <c r="N364" s="140" t="s">
        <v>36</v>
      </c>
      <c r="O364" s="140" t="s">
        <v>2215</v>
      </c>
      <c r="P364" s="140" t="s">
        <v>2215</v>
      </c>
      <c r="Q364" s="140" t="s">
        <v>2702</v>
      </c>
      <c r="R364" s="140" t="s">
        <v>2713</v>
      </c>
      <c r="S364" s="149">
        <f t="shared" si="20"/>
        <v>8.9999999999999998E-4</v>
      </c>
      <c r="T364" s="149">
        <v>0</v>
      </c>
      <c r="U364" s="157">
        <v>8.9999999999999998E-4</v>
      </c>
      <c r="V364" s="157">
        <v>1.5629999999999999</v>
      </c>
      <c r="W364" s="157">
        <v>7.7720000000000002</v>
      </c>
      <c r="X364" s="149">
        <f t="shared" si="19"/>
        <v>12.147636</v>
      </c>
      <c r="Y364" s="149"/>
    </row>
    <row r="365" spans="1:25" ht="18" customHeight="1">
      <c r="A365" s="149" t="s">
        <v>12</v>
      </c>
      <c r="B365" s="150" t="s">
        <v>440</v>
      </c>
      <c r="C365" s="149" t="s">
        <v>1744</v>
      </c>
      <c r="D365" s="149" t="s">
        <v>3555</v>
      </c>
      <c r="E365" s="149" t="s">
        <v>418</v>
      </c>
      <c r="F365" s="149">
        <v>-26.284722200000001</v>
      </c>
      <c r="G365" s="149">
        <v>136.09805556000001</v>
      </c>
      <c r="H365" s="149">
        <v>201</v>
      </c>
      <c r="I365" s="151">
        <v>42816</v>
      </c>
      <c r="J365" s="149" t="s">
        <v>36</v>
      </c>
      <c r="K365" s="149" t="s">
        <v>419</v>
      </c>
      <c r="L365" s="149" t="s">
        <v>2569</v>
      </c>
      <c r="M365" s="149" t="s">
        <v>2570</v>
      </c>
      <c r="N365" s="149" t="s">
        <v>2571</v>
      </c>
      <c r="O365" s="140" t="s">
        <v>2369</v>
      </c>
      <c r="P365" s="140" t="s">
        <v>3556</v>
      </c>
      <c r="Q365" s="140" t="s">
        <v>2678</v>
      </c>
      <c r="R365" s="149" t="s">
        <v>2713</v>
      </c>
      <c r="S365" s="149">
        <f t="shared" si="20"/>
        <v>4.87E-2</v>
      </c>
      <c r="T365" s="140">
        <v>3.8671999999999998E-2</v>
      </c>
      <c r="U365" s="157">
        <v>1.0028000000000002E-2</v>
      </c>
      <c r="V365" s="157">
        <v>2.754</v>
      </c>
      <c r="W365" s="157">
        <v>12.224</v>
      </c>
      <c r="X365" s="149">
        <f t="shared" si="19"/>
        <v>33.664895999999999</v>
      </c>
      <c r="Y365" s="149"/>
    </row>
    <row r="366" spans="1:25" ht="18" customHeight="1">
      <c r="A366" s="149" t="s">
        <v>12</v>
      </c>
      <c r="B366" s="150" t="s">
        <v>609</v>
      </c>
      <c r="C366" s="149" t="s">
        <v>1744</v>
      </c>
      <c r="D366" s="149" t="s">
        <v>3555</v>
      </c>
      <c r="E366" s="149" t="s">
        <v>593</v>
      </c>
      <c r="F366" s="149">
        <v>-26.365555560000001</v>
      </c>
      <c r="G366" s="149">
        <v>135.79</v>
      </c>
      <c r="H366" s="149">
        <v>201</v>
      </c>
      <c r="I366" s="151">
        <v>42816</v>
      </c>
      <c r="J366" s="149" t="s">
        <v>36</v>
      </c>
      <c r="K366" s="149" t="s">
        <v>419</v>
      </c>
      <c r="L366" s="155" t="s">
        <v>2566</v>
      </c>
      <c r="M366" s="155" t="s">
        <v>2567</v>
      </c>
      <c r="N366" s="155" t="s">
        <v>2668</v>
      </c>
      <c r="O366" s="155" t="s">
        <v>2105</v>
      </c>
      <c r="P366" s="140" t="s">
        <v>2105</v>
      </c>
      <c r="Q366" s="140" t="s">
        <v>2387</v>
      </c>
      <c r="R366" s="155" t="s">
        <v>2713</v>
      </c>
      <c r="S366" s="149">
        <f t="shared" si="20"/>
        <v>1.1000000000000001E-3</v>
      </c>
      <c r="T366" s="149">
        <v>0</v>
      </c>
      <c r="U366" s="157">
        <v>1.1000000000000001E-3</v>
      </c>
      <c r="V366" s="157">
        <v>1.4319999999999999</v>
      </c>
      <c r="W366" s="157">
        <v>7.1980000000000004</v>
      </c>
      <c r="X366" s="149">
        <f t="shared" si="19"/>
        <v>10.307536000000001</v>
      </c>
      <c r="Y366" s="149"/>
    </row>
    <row r="367" spans="1:25" ht="18" customHeight="1">
      <c r="A367" s="149" t="s">
        <v>12</v>
      </c>
      <c r="B367" s="150" t="s">
        <v>611</v>
      </c>
      <c r="C367" s="149" t="s">
        <v>1744</v>
      </c>
      <c r="D367" s="149" t="s">
        <v>3555</v>
      </c>
      <c r="E367" s="149" t="s">
        <v>593</v>
      </c>
      <c r="F367" s="149">
        <v>-26.365555560000001</v>
      </c>
      <c r="G367" s="149">
        <v>135.79</v>
      </c>
      <c r="H367" s="149">
        <v>201</v>
      </c>
      <c r="I367" s="151">
        <v>42816</v>
      </c>
      <c r="J367" s="149" t="s">
        <v>36</v>
      </c>
      <c r="K367" s="149" t="s">
        <v>419</v>
      </c>
      <c r="L367" s="155" t="s">
        <v>2566</v>
      </c>
      <c r="M367" s="155" t="s">
        <v>2567</v>
      </c>
      <c r="N367" s="155" t="s">
        <v>2668</v>
      </c>
      <c r="O367" s="155" t="s">
        <v>2105</v>
      </c>
      <c r="P367" s="140" t="s">
        <v>2105</v>
      </c>
      <c r="Q367" s="140" t="s">
        <v>2387</v>
      </c>
      <c r="R367" s="155" t="s">
        <v>2713</v>
      </c>
      <c r="S367" s="149">
        <f t="shared" si="20"/>
        <v>5.0000000000000001E-4</v>
      </c>
      <c r="T367" s="149">
        <v>0</v>
      </c>
      <c r="U367" s="157">
        <v>5.0000000000000001E-4</v>
      </c>
      <c r="V367" s="157">
        <v>1.5049999999999999</v>
      </c>
      <c r="W367" s="157">
        <v>6.2789999999999999</v>
      </c>
      <c r="X367" s="149">
        <f t="shared" si="19"/>
        <v>9.4498949999999997</v>
      </c>
      <c r="Y367" s="149"/>
    </row>
    <row r="368" spans="1:25" ht="18" customHeight="1">
      <c r="A368" s="149" t="s">
        <v>12</v>
      </c>
      <c r="B368" s="150" t="s">
        <v>612</v>
      </c>
      <c r="C368" s="149" t="s">
        <v>1744</v>
      </c>
      <c r="D368" s="149" t="s">
        <v>3555</v>
      </c>
      <c r="E368" s="149" t="s">
        <v>593</v>
      </c>
      <c r="F368" s="149">
        <v>-26.365555560000001</v>
      </c>
      <c r="G368" s="149">
        <v>135.79</v>
      </c>
      <c r="H368" s="149">
        <v>201</v>
      </c>
      <c r="I368" s="151">
        <v>42816</v>
      </c>
      <c r="J368" s="149" t="s">
        <v>36</v>
      </c>
      <c r="K368" s="149" t="s">
        <v>419</v>
      </c>
      <c r="L368" s="155" t="s">
        <v>2566</v>
      </c>
      <c r="M368" s="155" t="s">
        <v>2567</v>
      </c>
      <c r="N368" s="155" t="s">
        <v>2668</v>
      </c>
      <c r="O368" s="155" t="s">
        <v>2105</v>
      </c>
      <c r="P368" s="140" t="s">
        <v>2105</v>
      </c>
      <c r="Q368" s="140" t="s">
        <v>2387</v>
      </c>
      <c r="R368" s="155" t="s">
        <v>2713</v>
      </c>
      <c r="S368" s="149">
        <f t="shared" si="20"/>
        <v>3.5000000000000001E-3</v>
      </c>
      <c r="T368" s="149">
        <v>0</v>
      </c>
      <c r="U368" s="157">
        <v>3.5000000000000001E-3</v>
      </c>
      <c r="V368" s="157">
        <v>1.472</v>
      </c>
      <c r="W368" s="157">
        <v>7.2279999999999998</v>
      </c>
      <c r="X368" s="149">
        <f t="shared" si="19"/>
        <v>10.639616</v>
      </c>
      <c r="Y368" s="149"/>
    </row>
    <row r="369" spans="1:25" ht="18" customHeight="1">
      <c r="A369" s="149" t="s">
        <v>12</v>
      </c>
      <c r="B369" s="150" t="s">
        <v>613</v>
      </c>
      <c r="C369" s="149" t="s">
        <v>1744</v>
      </c>
      <c r="D369" s="149" t="s">
        <v>3555</v>
      </c>
      <c r="E369" s="149" t="s">
        <v>593</v>
      </c>
      <c r="F369" s="149">
        <v>-26.365555560000001</v>
      </c>
      <c r="G369" s="149">
        <v>135.79</v>
      </c>
      <c r="H369" s="149">
        <v>201</v>
      </c>
      <c r="I369" s="151">
        <v>42816</v>
      </c>
      <c r="J369" s="149" t="s">
        <v>36</v>
      </c>
      <c r="K369" s="149" t="s">
        <v>419</v>
      </c>
      <c r="L369" s="155" t="s">
        <v>2566</v>
      </c>
      <c r="M369" s="155" t="s">
        <v>2567</v>
      </c>
      <c r="N369" s="155" t="s">
        <v>2668</v>
      </c>
      <c r="O369" s="155" t="s">
        <v>2105</v>
      </c>
      <c r="P369" s="140" t="s">
        <v>2105</v>
      </c>
      <c r="Q369" s="140" t="s">
        <v>2387</v>
      </c>
      <c r="R369" s="155" t="s">
        <v>2713</v>
      </c>
      <c r="S369" s="149">
        <f t="shared" si="20"/>
        <v>2.8999999999999998E-3</v>
      </c>
      <c r="T369" s="149">
        <v>0</v>
      </c>
      <c r="U369" s="157">
        <v>2.8999999999999998E-3</v>
      </c>
      <c r="V369" s="157">
        <v>1.4330000000000001</v>
      </c>
      <c r="W369" s="157">
        <v>6.3419999999999996</v>
      </c>
      <c r="X369" s="149">
        <f t="shared" si="19"/>
        <v>9.0880860000000006</v>
      </c>
      <c r="Y369" s="149"/>
    </row>
    <row r="370" spans="1:25" ht="18" customHeight="1">
      <c r="A370" s="149" t="s">
        <v>12</v>
      </c>
      <c r="B370" s="150" t="s">
        <v>614</v>
      </c>
      <c r="C370" s="149" t="s">
        <v>1744</v>
      </c>
      <c r="D370" s="149" t="s">
        <v>3555</v>
      </c>
      <c r="E370" s="149" t="s">
        <v>593</v>
      </c>
      <c r="F370" s="149">
        <v>-26.365555560000001</v>
      </c>
      <c r="G370" s="149">
        <v>135.79</v>
      </c>
      <c r="H370" s="149">
        <v>201</v>
      </c>
      <c r="I370" s="151">
        <v>42816</v>
      </c>
      <c r="J370" s="149" t="s">
        <v>36</v>
      </c>
      <c r="K370" s="149" t="s">
        <v>419</v>
      </c>
      <c r="L370" s="155" t="s">
        <v>2566</v>
      </c>
      <c r="M370" s="155" t="s">
        <v>2567</v>
      </c>
      <c r="N370" s="155" t="s">
        <v>2668</v>
      </c>
      <c r="O370" s="155" t="s">
        <v>2105</v>
      </c>
      <c r="P370" s="140" t="s">
        <v>2105</v>
      </c>
      <c r="Q370" s="140" t="s">
        <v>2387</v>
      </c>
      <c r="R370" s="155" t="s">
        <v>2713</v>
      </c>
      <c r="S370" s="149">
        <f t="shared" si="20"/>
        <v>1E-3</v>
      </c>
      <c r="T370" s="149">
        <v>0</v>
      </c>
      <c r="U370" s="157">
        <v>1E-3</v>
      </c>
      <c r="V370" s="157">
        <v>1.702</v>
      </c>
      <c r="W370" s="157">
        <v>7.5570000000000004</v>
      </c>
      <c r="X370" s="149">
        <f t="shared" si="19"/>
        <v>12.862014</v>
      </c>
      <c r="Y370" s="149"/>
    </row>
    <row r="371" spans="1:25" ht="18" customHeight="1">
      <c r="A371" s="149" t="s">
        <v>12</v>
      </c>
      <c r="B371" s="150" t="s">
        <v>615</v>
      </c>
      <c r="C371" s="149" t="s">
        <v>1744</v>
      </c>
      <c r="D371" s="149" t="s">
        <v>3555</v>
      </c>
      <c r="E371" s="149" t="s">
        <v>593</v>
      </c>
      <c r="F371" s="149">
        <v>-26.365555560000001</v>
      </c>
      <c r="G371" s="149">
        <v>135.79</v>
      </c>
      <c r="H371" s="149">
        <v>201</v>
      </c>
      <c r="I371" s="151">
        <v>42816</v>
      </c>
      <c r="J371" s="149" t="s">
        <v>36</v>
      </c>
      <c r="K371" s="149" t="s">
        <v>419</v>
      </c>
      <c r="L371" s="140" t="s">
        <v>2566</v>
      </c>
      <c r="M371" s="140" t="s">
        <v>2574</v>
      </c>
      <c r="N371" s="140" t="s">
        <v>3191</v>
      </c>
      <c r="O371" s="149" t="s">
        <v>2111</v>
      </c>
      <c r="P371" s="149" t="s">
        <v>2739</v>
      </c>
      <c r="Q371" s="140" t="s">
        <v>2692</v>
      </c>
      <c r="R371" s="140" t="s">
        <v>2713</v>
      </c>
      <c r="S371" s="149">
        <f t="shared" si="20"/>
        <v>3.0999999999999999E-3</v>
      </c>
      <c r="T371" s="149">
        <v>0</v>
      </c>
      <c r="U371" s="157">
        <v>3.0999999999999999E-3</v>
      </c>
      <c r="V371" s="157">
        <v>2.161</v>
      </c>
      <c r="W371" s="157">
        <v>9.86</v>
      </c>
      <c r="X371" s="149">
        <f t="shared" si="19"/>
        <v>21.307459999999999</v>
      </c>
      <c r="Y371" s="149"/>
    </row>
    <row r="372" spans="1:25" ht="18" customHeight="1">
      <c r="A372" s="149" t="s">
        <v>12</v>
      </c>
      <c r="B372" s="150" t="s">
        <v>616</v>
      </c>
      <c r="C372" s="149" t="s">
        <v>1744</v>
      </c>
      <c r="D372" s="149" t="s">
        <v>3555</v>
      </c>
      <c r="E372" s="149" t="s">
        <v>593</v>
      </c>
      <c r="F372" s="149">
        <v>-26.365555560000001</v>
      </c>
      <c r="G372" s="149">
        <v>135.79</v>
      </c>
      <c r="H372" s="149">
        <v>201</v>
      </c>
      <c r="I372" s="151">
        <v>42816</v>
      </c>
      <c r="J372" s="149" t="s">
        <v>36</v>
      </c>
      <c r="K372" s="149" t="s">
        <v>419</v>
      </c>
      <c r="L372" s="140" t="s">
        <v>2566</v>
      </c>
      <c r="M372" s="140" t="s">
        <v>2574</v>
      </c>
      <c r="N372" s="140" t="s">
        <v>3191</v>
      </c>
      <c r="O372" s="149" t="s">
        <v>2111</v>
      </c>
      <c r="P372" s="149" t="s">
        <v>2739</v>
      </c>
      <c r="Q372" s="140" t="s">
        <v>2692</v>
      </c>
      <c r="R372" s="140" t="s">
        <v>2713</v>
      </c>
      <c r="S372" s="149">
        <f t="shared" si="20"/>
        <v>3.8999999999999998E-3</v>
      </c>
      <c r="T372" s="149">
        <v>0</v>
      </c>
      <c r="U372" s="157">
        <v>3.8999999999999998E-3</v>
      </c>
      <c r="V372" s="157">
        <v>2.359</v>
      </c>
      <c r="W372" s="157">
        <v>12.893000000000001</v>
      </c>
      <c r="X372" s="149">
        <f t="shared" si="19"/>
        <v>30.414587000000001</v>
      </c>
      <c r="Y372" s="149"/>
    </row>
    <row r="373" spans="1:25" ht="18" customHeight="1">
      <c r="A373" s="149" t="s">
        <v>12</v>
      </c>
      <c r="B373" s="150" t="s">
        <v>618</v>
      </c>
      <c r="C373" s="149" t="s">
        <v>1744</v>
      </c>
      <c r="D373" s="149" t="s">
        <v>3555</v>
      </c>
      <c r="E373" s="149" t="s">
        <v>593</v>
      </c>
      <c r="F373" s="149">
        <v>-26.365555560000001</v>
      </c>
      <c r="G373" s="149">
        <v>135.79</v>
      </c>
      <c r="H373" s="149">
        <v>201</v>
      </c>
      <c r="I373" s="151">
        <v>42816</v>
      </c>
      <c r="J373" s="149" t="s">
        <v>36</v>
      </c>
      <c r="K373" s="149" t="s">
        <v>419</v>
      </c>
      <c r="L373" s="155" t="s">
        <v>2566</v>
      </c>
      <c r="M373" s="155" t="s">
        <v>2567</v>
      </c>
      <c r="N373" s="155" t="s">
        <v>2668</v>
      </c>
      <c r="O373" s="155" t="s">
        <v>2105</v>
      </c>
      <c r="P373" s="140" t="s">
        <v>2105</v>
      </c>
      <c r="Q373" s="140" t="s">
        <v>2387</v>
      </c>
      <c r="R373" s="155" t="s">
        <v>2713</v>
      </c>
      <c r="S373" s="149">
        <f t="shared" si="20"/>
        <v>2.8999999999999998E-3</v>
      </c>
      <c r="T373" s="149">
        <v>0</v>
      </c>
      <c r="U373" s="157">
        <v>2.8999999999999998E-3</v>
      </c>
      <c r="V373" s="157">
        <v>1.5369999999999999</v>
      </c>
      <c r="W373" s="157">
        <v>6.5629999999999997</v>
      </c>
      <c r="X373" s="149">
        <f t="shared" si="19"/>
        <v>10.087330999999999</v>
      </c>
      <c r="Y373" s="149"/>
    </row>
    <row r="374" spans="1:25" ht="18" customHeight="1">
      <c r="A374" s="149" t="s">
        <v>12</v>
      </c>
      <c r="B374" s="150" t="s">
        <v>441</v>
      </c>
      <c r="C374" s="149" t="s">
        <v>1744</v>
      </c>
      <c r="D374" s="149" t="s">
        <v>3555</v>
      </c>
      <c r="E374" s="149" t="s">
        <v>418</v>
      </c>
      <c r="F374" s="149">
        <v>-26.284722200000001</v>
      </c>
      <c r="G374" s="149">
        <v>136.09805556000001</v>
      </c>
      <c r="H374" s="149">
        <v>201</v>
      </c>
      <c r="I374" s="151">
        <v>42816</v>
      </c>
      <c r="J374" s="149" t="s">
        <v>36</v>
      </c>
      <c r="K374" s="149" t="s">
        <v>419</v>
      </c>
      <c r="L374" s="140" t="s">
        <v>2566</v>
      </c>
      <c r="M374" s="140" t="s">
        <v>2574</v>
      </c>
      <c r="N374" s="140" t="s">
        <v>3191</v>
      </c>
      <c r="O374" s="149" t="s">
        <v>2111</v>
      </c>
      <c r="P374" s="149" t="s">
        <v>2739</v>
      </c>
      <c r="Q374" s="140" t="s">
        <v>2692</v>
      </c>
      <c r="R374" s="140" t="s">
        <v>2712</v>
      </c>
      <c r="S374" s="149">
        <f t="shared" si="20"/>
        <v>4.3099999999999999E-2</v>
      </c>
      <c r="T374" s="140">
        <v>3.8671999999999998E-2</v>
      </c>
      <c r="U374" s="157">
        <v>4.4280000000000014E-3</v>
      </c>
      <c r="V374" s="157">
        <v>2.2639999999999998</v>
      </c>
      <c r="W374" s="157">
        <v>10.436999999999999</v>
      </c>
      <c r="X374" s="149">
        <f t="shared" si="19"/>
        <v>23.629367999999996</v>
      </c>
      <c r="Y374" s="149"/>
    </row>
    <row r="375" spans="1:25" ht="18" customHeight="1">
      <c r="A375" s="149" t="s">
        <v>12</v>
      </c>
      <c r="B375" s="150" t="s">
        <v>619</v>
      </c>
      <c r="C375" s="149" t="s">
        <v>1744</v>
      </c>
      <c r="D375" s="149" t="s">
        <v>3555</v>
      </c>
      <c r="E375" s="149" t="s">
        <v>593</v>
      </c>
      <c r="F375" s="149">
        <v>-26.365555560000001</v>
      </c>
      <c r="G375" s="149">
        <v>135.79</v>
      </c>
      <c r="H375" s="149">
        <v>201</v>
      </c>
      <c r="I375" s="151">
        <v>42816</v>
      </c>
      <c r="J375" s="149" t="s">
        <v>36</v>
      </c>
      <c r="K375" s="149" t="s">
        <v>419</v>
      </c>
      <c r="L375" s="155" t="s">
        <v>2566</v>
      </c>
      <c r="M375" s="155" t="s">
        <v>2567</v>
      </c>
      <c r="N375" s="155" t="s">
        <v>2668</v>
      </c>
      <c r="O375" s="155" t="s">
        <v>2105</v>
      </c>
      <c r="P375" s="140" t="s">
        <v>2105</v>
      </c>
      <c r="Q375" s="140" t="s">
        <v>2387</v>
      </c>
      <c r="R375" s="155" t="s">
        <v>2713</v>
      </c>
      <c r="S375" s="149">
        <f t="shared" si="20"/>
        <v>1.1999999999999999E-3</v>
      </c>
      <c r="T375" s="149">
        <v>0</v>
      </c>
      <c r="U375" s="157">
        <v>1.1999999999999999E-3</v>
      </c>
      <c r="V375" s="157">
        <v>1.4</v>
      </c>
      <c r="W375" s="157">
        <v>5.8680000000000003</v>
      </c>
      <c r="X375" s="149">
        <f t="shared" si="19"/>
        <v>8.2151999999999994</v>
      </c>
      <c r="Y375" s="149"/>
    </row>
    <row r="376" spans="1:25" ht="18" customHeight="1">
      <c r="A376" s="149" t="s">
        <v>12</v>
      </c>
      <c r="B376" s="150" t="s">
        <v>620</v>
      </c>
      <c r="C376" s="149" t="s">
        <v>1744</v>
      </c>
      <c r="D376" s="149" t="s">
        <v>3555</v>
      </c>
      <c r="E376" s="149" t="s">
        <v>593</v>
      </c>
      <c r="F376" s="149">
        <v>-26.365555560000001</v>
      </c>
      <c r="G376" s="149">
        <v>135.79</v>
      </c>
      <c r="H376" s="149">
        <v>201</v>
      </c>
      <c r="I376" s="151">
        <v>42816</v>
      </c>
      <c r="J376" s="149" t="s">
        <v>36</v>
      </c>
      <c r="K376" s="149" t="s">
        <v>419</v>
      </c>
      <c r="L376" s="155" t="s">
        <v>2566</v>
      </c>
      <c r="M376" s="155" t="s">
        <v>2567</v>
      </c>
      <c r="N376" s="155" t="s">
        <v>2668</v>
      </c>
      <c r="O376" s="155" t="s">
        <v>2105</v>
      </c>
      <c r="P376" s="140" t="s">
        <v>2105</v>
      </c>
      <c r="Q376" s="140" t="s">
        <v>2387</v>
      </c>
      <c r="R376" s="155" t="s">
        <v>2713</v>
      </c>
      <c r="S376" s="149">
        <f t="shared" si="20"/>
        <v>2.2000000000000001E-3</v>
      </c>
      <c r="T376" s="149">
        <v>0</v>
      </c>
      <c r="U376" s="157">
        <v>2.2000000000000001E-3</v>
      </c>
      <c r="V376" s="157">
        <v>1.37</v>
      </c>
      <c r="W376" s="157">
        <v>5.75</v>
      </c>
      <c r="X376" s="149">
        <f t="shared" si="19"/>
        <v>7.8775000000000004</v>
      </c>
      <c r="Y376" s="149"/>
    </row>
    <row r="377" spans="1:25" ht="18" customHeight="1">
      <c r="A377" s="149" t="s">
        <v>12</v>
      </c>
      <c r="B377" s="150" t="s">
        <v>621</v>
      </c>
      <c r="C377" s="149" t="s">
        <v>1744</v>
      </c>
      <c r="D377" s="149" t="s">
        <v>3555</v>
      </c>
      <c r="E377" s="149" t="s">
        <v>593</v>
      </c>
      <c r="F377" s="149">
        <v>-26.365555560000001</v>
      </c>
      <c r="G377" s="149">
        <v>135.79</v>
      </c>
      <c r="H377" s="149">
        <v>201</v>
      </c>
      <c r="I377" s="151">
        <v>42816</v>
      </c>
      <c r="J377" s="149" t="s">
        <v>36</v>
      </c>
      <c r="K377" s="149" t="s">
        <v>419</v>
      </c>
      <c r="L377" s="140" t="s">
        <v>2566</v>
      </c>
      <c r="M377" s="140" t="s">
        <v>2567</v>
      </c>
      <c r="N377" s="140" t="s">
        <v>2668</v>
      </c>
      <c r="O377" s="140" t="s">
        <v>2600</v>
      </c>
      <c r="P377" s="140" t="s">
        <v>2735</v>
      </c>
      <c r="Q377" s="140" t="s">
        <v>2667</v>
      </c>
      <c r="R377" s="140" t="s">
        <v>2712</v>
      </c>
      <c r="S377" s="149">
        <f t="shared" si="20"/>
        <v>3.0999999999999999E-3</v>
      </c>
      <c r="T377" s="149">
        <v>0</v>
      </c>
      <c r="U377" s="157">
        <v>3.0999999999999999E-3</v>
      </c>
      <c r="V377" s="157">
        <v>1.56</v>
      </c>
      <c r="W377" s="157">
        <v>7.2329999999999997</v>
      </c>
      <c r="X377" s="149">
        <f t="shared" si="19"/>
        <v>11.283479999999999</v>
      </c>
      <c r="Y377" s="149"/>
    </row>
    <row r="378" spans="1:25" ht="18" customHeight="1">
      <c r="A378" s="149" t="s">
        <v>12</v>
      </c>
      <c r="B378" s="150" t="s">
        <v>623</v>
      </c>
      <c r="C378" s="149" t="s">
        <v>1744</v>
      </c>
      <c r="D378" s="149" t="s">
        <v>3555</v>
      </c>
      <c r="E378" s="149" t="s">
        <v>593</v>
      </c>
      <c r="F378" s="149">
        <v>-26.365555560000001</v>
      </c>
      <c r="G378" s="149">
        <v>135.79</v>
      </c>
      <c r="H378" s="149">
        <v>201</v>
      </c>
      <c r="I378" s="151">
        <v>42816</v>
      </c>
      <c r="J378" s="149" t="s">
        <v>36</v>
      </c>
      <c r="K378" s="149" t="s">
        <v>419</v>
      </c>
      <c r="L378" s="155" t="s">
        <v>2566</v>
      </c>
      <c r="M378" s="155" t="s">
        <v>2567</v>
      </c>
      <c r="N378" s="155" t="s">
        <v>2668</v>
      </c>
      <c r="O378" s="155" t="s">
        <v>2105</v>
      </c>
      <c r="P378" s="140" t="s">
        <v>2105</v>
      </c>
      <c r="Q378" s="140" t="s">
        <v>2387</v>
      </c>
      <c r="R378" s="155" t="s">
        <v>2713</v>
      </c>
      <c r="S378" s="149">
        <f t="shared" si="20"/>
        <v>1E-3</v>
      </c>
      <c r="T378" s="149">
        <v>0</v>
      </c>
      <c r="U378" s="157">
        <v>1E-3</v>
      </c>
      <c r="V378" s="157">
        <v>1.679</v>
      </c>
      <c r="W378" s="157">
        <v>6.8689999999999998</v>
      </c>
      <c r="X378" s="149">
        <f t="shared" si="19"/>
        <v>11.533051</v>
      </c>
      <c r="Y378" s="149"/>
    </row>
    <row r="379" spans="1:25" ht="18" customHeight="1">
      <c r="A379" s="149" t="s">
        <v>12</v>
      </c>
      <c r="B379" s="150" t="s">
        <v>624</v>
      </c>
      <c r="C379" s="149" t="s">
        <v>1744</v>
      </c>
      <c r="D379" s="149" t="s">
        <v>3555</v>
      </c>
      <c r="E379" s="149" t="s">
        <v>593</v>
      </c>
      <c r="F379" s="149">
        <v>-26.365555560000001</v>
      </c>
      <c r="G379" s="149">
        <v>135.79</v>
      </c>
      <c r="H379" s="149">
        <v>201</v>
      </c>
      <c r="I379" s="151">
        <v>42816</v>
      </c>
      <c r="J379" s="149" t="s">
        <v>36</v>
      </c>
      <c r="K379" s="149" t="s">
        <v>419</v>
      </c>
      <c r="L379" s="155" t="s">
        <v>2566</v>
      </c>
      <c r="M379" s="155" t="s">
        <v>2567</v>
      </c>
      <c r="N379" s="155" t="s">
        <v>2668</v>
      </c>
      <c r="O379" s="155" t="s">
        <v>2105</v>
      </c>
      <c r="P379" s="140" t="s">
        <v>2105</v>
      </c>
      <c r="Q379" s="140" t="s">
        <v>2387</v>
      </c>
      <c r="R379" s="155" t="s">
        <v>2713</v>
      </c>
      <c r="S379" s="149">
        <f t="shared" si="20"/>
        <v>1.4E-3</v>
      </c>
      <c r="T379" s="149">
        <v>0</v>
      </c>
      <c r="U379" s="157">
        <v>1.4E-3</v>
      </c>
      <c r="V379" s="157">
        <v>1.569</v>
      </c>
      <c r="W379" s="157">
        <v>6.3220000000000001</v>
      </c>
      <c r="X379" s="149">
        <f t="shared" si="19"/>
        <v>9.919217999999999</v>
      </c>
      <c r="Y379" s="149"/>
    </row>
    <row r="380" spans="1:25" ht="20.5" customHeight="1">
      <c r="A380" s="149" t="s">
        <v>12</v>
      </c>
      <c r="B380" s="150" t="s">
        <v>625</v>
      </c>
      <c r="C380" s="149" t="s">
        <v>1744</v>
      </c>
      <c r="D380" s="149" t="s">
        <v>3555</v>
      </c>
      <c r="E380" s="149" t="s">
        <v>593</v>
      </c>
      <c r="F380" s="149">
        <v>-26.365555560000001</v>
      </c>
      <c r="G380" s="149">
        <v>135.79</v>
      </c>
      <c r="H380" s="149">
        <v>201</v>
      </c>
      <c r="I380" s="151">
        <v>42816</v>
      </c>
      <c r="J380" s="149" t="s">
        <v>36</v>
      </c>
      <c r="K380" s="149" t="s">
        <v>419</v>
      </c>
      <c r="L380" s="155" t="s">
        <v>2566</v>
      </c>
      <c r="M380" s="155" t="s">
        <v>2567</v>
      </c>
      <c r="N380" s="155" t="s">
        <v>2668</v>
      </c>
      <c r="O380" s="155" t="s">
        <v>2105</v>
      </c>
      <c r="P380" s="140" t="s">
        <v>2105</v>
      </c>
      <c r="Q380" s="140" t="s">
        <v>2387</v>
      </c>
      <c r="R380" s="155" t="s">
        <v>2713</v>
      </c>
      <c r="S380" s="149">
        <f t="shared" si="20"/>
        <v>2E-3</v>
      </c>
      <c r="T380" s="149">
        <v>0</v>
      </c>
      <c r="U380" s="157">
        <v>2E-3</v>
      </c>
      <c r="V380" s="157">
        <v>1.3720000000000001</v>
      </c>
      <c r="W380" s="157">
        <v>5.7080000000000002</v>
      </c>
      <c r="X380" s="149">
        <f t="shared" si="19"/>
        <v>7.8313760000000006</v>
      </c>
      <c r="Y380" s="149"/>
    </row>
    <row r="381" spans="1:25" ht="18" customHeight="1">
      <c r="A381" s="149" t="s">
        <v>12</v>
      </c>
      <c r="B381" s="150" t="s">
        <v>626</v>
      </c>
      <c r="C381" s="149" t="s">
        <v>1744</v>
      </c>
      <c r="D381" s="149" t="s">
        <v>3555</v>
      </c>
      <c r="E381" s="149" t="s">
        <v>593</v>
      </c>
      <c r="F381" s="149">
        <v>-26.365555560000001</v>
      </c>
      <c r="G381" s="149">
        <v>135.79</v>
      </c>
      <c r="H381" s="149">
        <v>201</v>
      </c>
      <c r="I381" s="151">
        <v>42816</v>
      </c>
      <c r="J381" s="149" t="s">
        <v>36</v>
      </c>
      <c r="K381" s="149" t="s">
        <v>419</v>
      </c>
      <c r="L381" s="140" t="s">
        <v>2566</v>
      </c>
      <c r="M381" s="140" t="s">
        <v>2567</v>
      </c>
      <c r="N381" s="140" t="s">
        <v>2668</v>
      </c>
      <c r="O381" s="140" t="s">
        <v>2105</v>
      </c>
      <c r="P381" s="140" t="s">
        <v>2105</v>
      </c>
      <c r="Q381" s="140" t="s">
        <v>2387</v>
      </c>
      <c r="R381" s="140" t="s">
        <v>2713</v>
      </c>
      <c r="S381" s="149">
        <f t="shared" si="20"/>
        <v>8.0000000000000004E-4</v>
      </c>
      <c r="T381" s="149">
        <v>0</v>
      </c>
      <c r="U381" s="157">
        <v>8.0000000000000004E-4</v>
      </c>
      <c r="V381" s="157">
        <v>1.617</v>
      </c>
      <c r="W381" s="157">
        <v>6.8049999999999997</v>
      </c>
      <c r="X381" s="149">
        <f t="shared" si="19"/>
        <v>11.003684999999999</v>
      </c>
      <c r="Y381" s="149"/>
    </row>
    <row r="382" spans="1:25" ht="18" customHeight="1">
      <c r="A382" s="149" t="s">
        <v>12</v>
      </c>
      <c r="B382" s="150" t="s">
        <v>627</v>
      </c>
      <c r="C382" s="149" t="s">
        <v>1744</v>
      </c>
      <c r="D382" s="149" t="s">
        <v>3555</v>
      </c>
      <c r="E382" s="149" t="s">
        <v>593</v>
      </c>
      <c r="F382" s="149">
        <v>-26.365555560000001</v>
      </c>
      <c r="G382" s="149">
        <v>135.79</v>
      </c>
      <c r="H382" s="149">
        <v>201</v>
      </c>
      <c r="I382" s="151">
        <v>42816</v>
      </c>
      <c r="J382" s="149" t="s">
        <v>36</v>
      </c>
      <c r="K382" s="149" t="s">
        <v>419</v>
      </c>
      <c r="L382" s="155" t="s">
        <v>2566</v>
      </c>
      <c r="M382" s="155" t="s">
        <v>2567</v>
      </c>
      <c r="N382" s="155" t="s">
        <v>2668</v>
      </c>
      <c r="O382" s="155" t="s">
        <v>2105</v>
      </c>
      <c r="P382" s="140" t="s">
        <v>2105</v>
      </c>
      <c r="Q382" s="140" t="s">
        <v>2387</v>
      </c>
      <c r="R382" s="155" t="s">
        <v>2713</v>
      </c>
      <c r="S382" s="149">
        <f t="shared" si="20"/>
        <v>1.6000000000000001E-3</v>
      </c>
      <c r="T382" s="149">
        <v>0</v>
      </c>
      <c r="U382" s="157">
        <v>1.6000000000000001E-3</v>
      </c>
      <c r="V382" s="157">
        <v>1.399</v>
      </c>
      <c r="W382" s="157">
        <v>6.2370000000000001</v>
      </c>
      <c r="X382" s="149">
        <f t="shared" si="19"/>
        <v>8.7255630000000011</v>
      </c>
      <c r="Y382" s="149"/>
    </row>
    <row r="383" spans="1:25" ht="18" customHeight="1">
      <c r="A383" s="149" t="s">
        <v>12</v>
      </c>
      <c r="B383" s="150" t="s">
        <v>628</v>
      </c>
      <c r="C383" s="149" t="s">
        <v>1744</v>
      </c>
      <c r="D383" s="149" t="s">
        <v>3555</v>
      </c>
      <c r="E383" s="149" t="s">
        <v>593</v>
      </c>
      <c r="F383" s="149">
        <v>-26.365555560000001</v>
      </c>
      <c r="G383" s="149">
        <v>135.79</v>
      </c>
      <c r="H383" s="149">
        <v>201</v>
      </c>
      <c r="I383" s="151">
        <v>42816</v>
      </c>
      <c r="J383" s="149" t="s">
        <v>36</v>
      </c>
      <c r="K383" s="149" t="s">
        <v>419</v>
      </c>
      <c r="L383" s="155" t="s">
        <v>2566</v>
      </c>
      <c r="M383" s="155" t="s">
        <v>2567</v>
      </c>
      <c r="N383" s="155" t="s">
        <v>2668</v>
      </c>
      <c r="O383" s="155" t="s">
        <v>2105</v>
      </c>
      <c r="P383" s="140" t="s">
        <v>2105</v>
      </c>
      <c r="Q383" s="140" t="s">
        <v>2387</v>
      </c>
      <c r="R383" s="155" t="s">
        <v>2713</v>
      </c>
      <c r="S383" s="149">
        <f t="shared" si="20"/>
        <v>8.9999999999999998E-4</v>
      </c>
      <c r="T383" s="149">
        <v>0</v>
      </c>
      <c r="U383" s="157">
        <v>8.9999999999999998E-4</v>
      </c>
      <c r="V383" s="157">
        <v>1.494</v>
      </c>
      <c r="W383" s="157">
        <v>7.51</v>
      </c>
      <c r="X383" s="149">
        <f t="shared" si="19"/>
        <v>11.219939999999999</v>
      </c>
      <c r="Y383" s="149"/>
    </row>
    <row r="384" spans="1:25" ht="18" customHeight="1">
      <c r="A384" s="149" t="s">
        <v>12</v>
      </c>
      <c r="B384" s="150" t="s">
        <v>442</v>
      </c>
      <c r="C384" s="149" t="s">
        <v>1744</v>
      </c>
      <c r="D384" s="149" t="s">
        <v>3555</v>
      </c>
      <c r="E384" s="149" t="s">
        <v>418</v>
      </c>
      <c r="F384" s="149">
        <v>-26.284722200000001</v>
      </c>
      <c r="G384" s="149">
        <v>136.09805556000001</v>
      </c>
      <c r="H384" s="149">
        <v>201</v>
      </c>
      <c r="I384" s="151">
        <v>42816</v>
      </c>
      <c r="J384" s="149" t="s">
        <v>36</v>
      </c>
      <c r="K384" s="149" t="s">
        <v>419</v>
      </c>
      <c r="L384" s="140" t="s">
        <v>2566</v>
      </c>
      <c r="M384" s="140" t="s">
        <v>2574</v>
      </c>
      <c r="N384" s="140" t="s">
        <v>3191</v>
      </c>
      <c r="O384" s="149" t="s">
        <v>2111</v>
      </c>
      <c r="P384" s="149" t="s">
        <v>2739</v>
      </c>
      <c r="Q384" s="140" t="s">
        <v>2692</v>
      </c>
      <c r="R384" s="140" t="s">
        <v>2713</v>
      </c>
      <c r="S384" s="149">
        <f t="shared" si="20"/>
        <v>4.53E-2</v>
      </c>
      <c r="T384" s="140">
        <v>3.8671999999999998E-2</v>
      </c>
      <c r="U384" s="157">
        <v>6.6280000000000019E-3</v>
      </c>
      <c r="V384" s="157">
        <v>2.3769999999999998</v>
      </c>
      <c r="W384" s="157">
        <v>10.942</v>
      </c>
      <c r="X384" s="149">
        <f t="shared" ref="X384:X447" si="21">V384*W384</f>
        <v>26.009134</v>
      </c>
      <c r="Y384" s="149"/>
    </row>
    <row r="385" spans="1:25" ht="18" customHeight="1">
      <c r="A385" s="149" t="s">
        <v>12</v>
      </c>
      <c r="B385" s="150" t="s">
        <v>629</v>
      </c>
      <c r="C385" s="149" t="s">
        <v>1744</v>
      </c>
      <c r="D385" s="149" t="s">
        <v>3555</v>
      </c>
      <c r="E385" s="149" t="s">
        <v>593</v>
      </c>
      <c r="F385" s="149">
        <v>-26.365555560000001</v>
      </c>
      <c r="G385" s="149">
        <v>135.79</v>
      </c>
      <c r="H385" s="149">
        <v>201</v>
      </c>
      <c r="I385" s="151">
        <v>42816</v>
      </c>
      <c r="J385" s="149" t="s">
        <v>36</v>
      </c>
      <c r="K385" s="149" t="s">
        <v>419</v>
      </c>
      <c r="L385" s="155" t="s">
        <v>2566</v>
      </c>
      <c r="M385" s="155" t="s">
        <v>2567</v>
      </c>
      <c r="N385" s="155" t="s">
        <v>2668</v>
      </c>
      <c r="O385" s="155" t="s">
        <v>2105</v>
      </c>
      <c r="P385" s="140" t="s">
        <v>2105</v>
      </c>
      <c r="Q385" s="140" t="s">
        <v>2387</v>
      </c>
      <c r="R385" s="155" t="s">
        <v>2713</v>
      </c>
      <c r="S385" s="149">
        <f t="shared" si="20"/>
        <v>3.3999999999999998E-3</v>
      </c>
      <c r="T385" s="149">
        <v>0</v>
      </c>
      <c r="U385" s="157">
        <v>3.3999999999999998E-3</v>
      </c>
      <c r="V385" s="157">
        <v>1.448</v>
      </c>
      <c r="W385" s="157">
        <v>6.5620000000000003</v>
      </c>
      <c r="X385" s="149">
        <f t="shared" si="21"/>
        <v>9.5017759999999996</v>
      </c>
      <c r="Y385" s="149"/>
    </row>
    <row r="386" spans="1:25" ht="18" customHeight="1">
      <c r="A386" s="149" t="s">
        <v>12</v>
      </c>
      <c r="B386" s="150" t="s">
        <v>630</v>
      </c>
      <c r="C386" s="149" t="s">
        <v>1744</v>
      </c>
      <c r="D386" s="149" t="s">
        <v>3555</v>
      </c>
      <c r="E386" s="149" t="s">
        <v>593</v>
      </c>
      <c r="F386" s="149">
        <v>-26.365555560000001</v>
      </c>
      <c r="G386" s="149">
        <v>135.79</v>
      </c>
      <c r="H386" s="149">
        <v>201</v>
      </c>
      <c r="I386" s="151">
        <v>42816</v>
      </c>
      <c r="J386" s="149" t="s">
        <v>36</v>
      </c>
      <c r="K386" s="149" t="s">
        <v>419</v>
      </c>
      <c r="L386" s="155" t="s">
        <v>2566</v>
      </c>
      <c r="M386" s="155" t="s">
        <v>2567</v>
      </c>
      <c r="N386" s="155" t="s">
        <v>2668</v>
      </c>
      <c r="O386" s="140" t="s">
        <v>2600</v>
      </c>
      <c r="P386" s="149" t="s">
        <v>2735</v>
      </c>
      <c r="Q386" s="140" t="s">
        <v>2709</v>
      </c>
      <c r="R386" s="155" t="s">
        <v>2712</v>
      </c>
      <c r="S386" s="149">
        <f t="shared" si="20"/>
        <v>3.0999999999999999E-3</v>
      </c>
      <c r="T386" s="149">
        <v>0</v>
      </c>
      <c r="U386" s="157">
        <v>3.0999999999999999E-3</v>
      </c>
      <c r="V386" s="157">
        <v>1.1819999999999999</v>
      </c>
      <c r="W386" s="157">
        <v>7.1429999999999998</v>
      </c>
      <c r="X386" s="149">
        <f t="shared" si="21"/>
        <v>8.4430259999999997</v>
      </c>
      <c r="Y386" s="149"/>
    </row>
    <row r="387" spans="1:25" ht="18" customHeight="1">
      <c r="A387" s="149" t="s">
        <v>12</v>
      </c>
      <c r="B387" s="150" t="s">
        <v>631</v>
      </c>
      <c r="C387" s="149" t="s">
        <v>1744</v>
      </c>
      <c r="D387" s="149" t="s">
        <v>3555</v>
      </c>
      <c r="E387" s="149" t="s">
        <v>593</v>
      </c>
      <c r="F387" s="149">
        <v>-26.365555560000001</v>
      </c>
      <c r="G387" s="149">
        <v>135.79</v>
      </c>
      <c r="H387" s="149">
        <v>201</v>
      </c>
      <c r="I387" s="151">
        <v>42816</v>
      </c>
      <c r="J387" s="149" t="s">
        <v>36</v>
      </c>
      <c r="K387" s="149" t="s">
        <v>419</v>
      </c>
      <c r="L387" s="140" t="s">
        <v>2566</v>
      </c>
      <c r="M387" s="140" t="s">
        <v>2567</v>
      </c>
      <c r="N387" s="140" t="s">
        <v>2668</v>
      </c>
      <c r="O387" s="140" t="s">
        <v>2105</v>
      </c>
      <c r="P387" s="140" t="s">
        <v>2105</v>
      </c>
      <c r="Q387" s="140" t="s">
        <v>2387</v>
      </c>
      <c r="R387" s="140" t="s">
        <v>2713</v>
      </c>
      <c r="S387" s="149">
        <f t="shared" si="20"/>
        <v>6.9999999999999999E-4</v>
      </c>
      <c r="T387" s="149">
        <v>0</v>
      </c>
      <c r="U387" s="157">
        <v>6.9999999999999999E-4</v>
      </c>
      <c r="V387" s="157">
        <v>1.675</v>
      </c>
      <c r="W387" s="157">
        <v>6.5780000000000003</v>
      </c>
      <c r="X387" s="149">
        <f t="shared" si="21"/>
        <v>11.01815</v>
      </c>
      <c r="Y387" s="149"/>
    </row>
    <row r="388" spans="1:25" ht="18" customHeight="1">
      <c r="A388" s="149" t="s">
        <v>12</v>
      </c>
      <c r="B388" s="150" t="s">
        <v>632</v>
      </c>
      <c r="C388" s="149" t="s">
        <v>1744</v>
      </c>
      <c r="D388" s="149" t="s">
        <v>3555</v>
      </c>
      <c r="E388" s="149" t="s">
        <v>593</v>
      </c>
      <c r="F388" s="149">
        <v>-26.365555560000001</v>
      </c>
      <c r="G388" s="149">
        <v>135.79</v>
      </c>
      <c r="H388" s="149">
        <v>201</v>
      </c>
      <c r="I388" s="151">
        <v>42816</v>
      </c>
      <c r="J388" s="149" t="s">
        <v>36</v>
      </c>
      <c r="K388" s="149" t="s">
        <v>419</v>
      </c>
      <c r="L388" s="155" t="s">
        <v>2566</v>
      </c>
      <c r="M388" s="155" t="s">
        <v>2567</v>
      </c>
      <c r="N388" s="155" t="s">
        <v>2668</v>
      </c>
      <c r="O388" s="155" t="s">
        <v>2105</v>
      </c>
      <c r="P388" s="140" t="s">
        <v>2105</v>
      </c>
      <c r="Q388" s="140" t="s">
        <v>2387</v>
      </c>
      <c r="R388" s="155" t="s">
        <v>2713</v>
      </c>
      <c r="S388" s="149">
        <f t="shared" si="20"/>
        <v>1.4E-3</v>
      </c>
      <c r="T388" s="149">
        <v>0</v>
      </c>
      <c r="U388" s="157">
        <v>1.4E-3</v>
      </c>
      <c r="V388" s="157">
        <v>1.4450000000000001</v>
      </c>
      <c r="W388" s="157">
        <v>6.968</v>
      </c>
      <c r="X388" s="149">
        <f t="shared" si="21"/>
        <v>10.068760000000001</v>
      </c>
      <c r="Y388" s="149"/>
    </row>
    <row r="389" spans="1:25" ht="18" customHeight="1">
      <c r="A389" s="149" t="s">
        <v>12</v>
      </c>
      <c r="B389" s="150" t="s">
        <v>633</v>
      </c>
      <c r="C389" s="149" t="s">
        <v>1744</v>
      </c>
      <c r="D389" s="149" t="s">
        <v>3555</v>
      </c>
      <c r="E389" s="149" t="s">
        <v>593</v>
      </c>
      <c r="F389" s="149">
        <v>-26.365555560000001</v>
      </c>
      <c r="G389" s="149">
        <v>135.79</v>
      </c>
      <c r="H389" s="149">
        <v>201</v>
      </c>
      <c r="I389" s="151">
        <v>42816</v>
      </c>
      <c r="J389" s="149" t="s">
        <v>36</v>
      </c>
      <c r="K389" s="149" t="s">
        <v>419</v>
      </c>
      <c r="L389" s="155" t="s">
        <v>2566</v>
      </c>
      <c r="M389" s="155" t="s">
        <v>2567</v>
      </c>
      <c r="N389" s="155" t="s">
        <v>2668</v>
      </c>
      <c r="O389" s="155" t="s">
        <v>2105</v>
      </c>
      <c r="P389" s="140" t="s">
        <v>2105</v>
      </c>
      <c r="Q389" s="140" t="s">
        <v>2387</v>
      </c>
      <c r="R389" s="155" t="s">
        <v>2713</v>
      </c>
      <c r="S389" s="149">
        <f t="shared" si="20"/>
        <v>5.9999999999999995E-4</v>
      </c>
      <c r="T389" s="149">
        <v>0</v>
      </c>
      <c r="U389" s="157">
        <v>5.9999999999999995E-4</v>
      </c>
      <c r="V389" s="157">
        <v>1.448</v>
      </c>
      <c r="W389" s="157">
        <v>5.9409999999999998</v>
      </c>
      <c r="X389" s="149">
        <f t="shared" si="21"/>
        <v>8.6025679999999998</v>
      </c>
      <c r="Y389" s="149"/>
    </row>
    <row r="390" spans="1:25" ht="18" customHeight="1">
      <c r="A390" s="149" t="s">
        <v>12</v>
      </c>
      <c r="B390" s="150" t="s">
        <v>634</v>
      </c>
      <c r="C390" s="149" t="s">
        <v>1744</v>
      </c>
      <c r="D390" s="149" t="s">
        <v>3555</v>
      </c>
      <c r="E390" s="149" t="s">
        <v>593</v>
      </c>
      <c r="F390" s="149">
        <v>-26.365555560000001</v>
      </c>
      <c r="G390" s="149">
        <v>135.79</v>
      </c>
      <c r="H390" s="149">
        <v>201</v>
      </c>
      <c r="I390" s="151">
        <v>42816</v>
      </c>
      <c r="J390" s="149" t="s">
        <v>36</v>
      </c>
      <c r="K390" s="149" t="s">
        <v>419</v>
      </c>
      <c r="L390" s="140" t="s">
        <v>2566</v>
      </c>
      <c r="M390" s="140" t="s">
        <v>2567</v>
      </c>
      <c r="N390" s="140" t="s">
        <v>2668</v>
      </c>
      <c r="O390" s="140" t="s">
        <v>2105</v>
      </c>
      <c r="P390" s="140" t="s">
        <v>2105</v>
      </c>
      <c r="Q390" s="140" t="s">
        <v>2387</v>
      </c>
      <c r="R390" s="140" t="s">
        <v>2713</v>
      </c>
      <c r="S390" s="149">
        <f t="shared" si="20"/>
        <v>2.9999999999999997E-4</v>
      </c>
      <c r="T390" s="149">
        <v>0</v>
      </c>
      <c r="U390" s="157">
        <v>2.9999999999999997E-4</v>
      </c>
      <c r="V390" s="157">
        <v>1.365</v>
      </c>
      <c r="W390" s="157">
        <v>5.3579999999999997</v>
      </c>
      <c r="X390" s="149">
        <f t="shared" si="21"/>
        <v>7.3136699999999992</v>
      </c>
      <c r="Y390" s="149"/>
    </row>
    <row r="391" spans="1:25" ht="18" customHeight="1">
      <c r="A391" s="149" t="s">
        <v>12</v>
      </c>
      <c r="B391" s="150" t="s">
        <v>636</v>
      </c>
      <c r="C391" s="149" t="s">
        <v>1744</v>
      </c>
      <c r="D391" s="149" t="s">
        <v>3555</v>
      </c>
      <c r="E391" s="149" t="s">
        <v>593</v>
      </c>
      <c r="F391" s="149">
        <v>-26.365555560000001</v>
      </c>
      <c r="G391" s="149">
        <v>135.79</v>
      </c>
      <c r="H391" s="149">
        <v>201</v>
      </c>
      <c r="I391" s="151">
        <v>42816</v>
      </c>
      <c r="J391" s="149" t="s">
        <v>36</v>
      </c>
      <c r="K391" s="149" t="s">
        <v>419</v>
      </c>
      <c r="L391" s="155" t="s">
        <v>2566</v>
      </c>
      <c r="M391" s="155" t="s">
        <v>2567</v>
      </c>
      <c r="N391" s="155" t="s">
        <v>2668</v>
      </c>
      <c r="O391" s="155" t="s">
        <v>2105</v>
      </c>
      <c r="P391" s="140" t="s">
        <v>2105</v>
      </c>
      <c r="Q391" s="140" t="s">
        <v>2387</v>
      </c>
      <c r="R391" s="155" t="s">
        <v>2712</v>
      </c>
      <c r="S391" s="149">
        <f t="shared" si="20"/>
        <v>3.0999999999999999E-3</v>
      </c>
      <c r="T391" s="149">
        <v>0</v>
      </c>
      <c r="U391" s="157">
        <v>3.0999999999999999E-3</v>
      </c>
      <c r="V391" s="157">
        <v>1.1910000000000001</v>
      </c>
      <c r="W391" s="157">
        <v>5.3810000000000002</v>
      </c>
      <c r="X391" s="149">
        <f t="shared" si="21"/>
        <v>6.4087710000000007</v>
      </c>
      <c r="Y391" s="149"/>
    </row>
    <row r="392" spans="1:25" ht="18" customHeight="1">
      <c r="A392" s="149" t="s">
        <v>12</v>
      </c>
      <c r="B392" s="150" t="s">
        <v>637</v>
      </c>
      <c r="C392" s="149" t="s">
        <v>1744</v>
      </c>
      <c r="D392" s="149" t="s">
        <v>3555</v>
      </c>
      <c r="E392" s="149" t="s">
        <v>593</v>
      </c>
      <c r="F392" s="149">
        <v>-26.365555560000001</v>
      </c>
      <c r="G392" s="149">
        <v>135.79</v>
      </c>
      <c r="H392" s="149">
        <v>201</v>
      </c>
      <c r="I392" s="151">
        <v>42816</v>
      </c>
      <c r="J392" s="149" t="s">
        <v>36</v>
      </c>
      <c r="K392" s="149" t="s">
        <v>419</v>
      </c>
      <c r="L392" s="140" t="s">
        <v>2566</v>
      </c>
      <c r="M392" s="140" t="s">
        <v>2567</v>
      </c>
      <c r="N392" s="140" t="s">
        <v>2668</v>
      </c>
      <c r="O392" s="140" t="s">
        <v>2105</v>
      </c>
      <c r="P392" s="140" t="s">
        <v>2105</v>
      </c>
      <c r="Q392" s="140" t="s">
        <v>2387</v>
      </c>
      <c r="R392" s="140" t="s">
        <v>2713</v>
      </c>
      <c r="S392" s="149">
        <f t="shared" si="20"/>
        <v>2.9999999999999997E-4</v>
      </c>
      <c r="T392" s="149">
        <v>0</v>
      </c>
      <c r="U392" s="157">
        <v>2.9999999999999997E-4</v>
      </c>
      <c r="V392" s="157">
        <v>1.546</v>
      </c>
      <c r="W392" s="157">
        <v>6.524</v>
      </c>
      <c r="X392" s="149">
        <f t="shared" si="21"/>
        <v>10.086104000000001</v>
      </c>
      <c r="Y392" s="149"/>
    </row>
    <row r="393" spans="1:25" ht="18" customHeight="1">
      <c r="A393" s="149" t="s">
        <v>12</v>
      </c>
      <c r="B393" s="150" t="s">
        <v>638</v>
      </c>
      <c r="C393" s="149" t="s">
        <v>1744</v>
      </c>
      <c r="D393" s="149" t="s">
        <v>3555</v>
      </c>
      <c r="E393" s="149" t="s">
        <v>593</v>
      </c>
      <c r="F393" s="149">
        <v>-26.365555560000001</v>
      </c>
      <c r="G393" s="149">
        <v>135.79</v>
      </c>
      <c r="H393" s="149">
        <v>201</v>
      </c>
      <c r="I393" s="151">
        <v>42816</v>
      </c>
      <c r="J393" s="149" t="s">
        <v>36</v>
      </c>
      <c r="K393" s="149" t="s">
        <v>419</v>
      </c>
      <c r="L393" s="155" t="s">
        <v>2566</v>
      </c>
      <c r="M393" s="155" t="s">
        <v>2567</v>
      </c>
      <c r="N393" s="155" t="s">
        <v>2668</v>
      </c>
      <c r="O393" s="155" t="s">
        <v>2105</v>
      </c>
      <c r="P393" s="140" t="s">
        <v>2105</v>
      </c>
      <c r="Q393" s="140" t="s">
        <v>2387</v>
      </c>
      <c r="R393" s="155" t="s">
        <v>2713</v>
      </c>
      <c r="S393" s="149">
        <f t="shared" si="20"/>
        <v>1.1999999999999999E-3</v>
      </c>
      <c r="T393" s="149">
        <v>0</v>
      </c>
      <c r="U393" s="157">
        <v>1.1999999999999999E-3</v>
      </c>
      <c r="V393" s="157">
        <v>1.44</v>
      </c>
      <c r="W393" s="157">
        <v>5.9509999999999996</v>
      </c>
      <c r="X393" s="149">
        <f t="shared" si="21"/>
        <v>8.5694399999999984</v>
      </c>
      <c r="Y393" s="149"/>
    </row>
    <row r="394" spans="1:25" ht="18" customHeight="1">
      <c r="A394" s="149" t="s">
        <v>12</v>
      </c>
      <c r="B394" s="150" t="s">
        <v>443</v>
      </c>
      <c r="C394" s="149" t="s">
        <v>1744</v>
      </c>
      <c r="D394" s="149" t="s">
        <v>3555</v>
      </c>
      <c r="E394" s="149" t="s">
        <v>418</v>
      </c>
      <c r="F394" s="149">
        <v>-26.284722200000001</v>
      </c>
      <c r="G394" s="149">
        <v>136.09805556000001</v>
      </c>
      <c r="H394" s="149">
        <v>201</v>
      </c>
      <c r="I394" s="151">
        <v>42816</v>
      </c>
      <c r="J394" s="149" t="s">
        <v>36</v>
      </c>
      <c r="K394" s="149" t="s">
        <v>419</v>
      </c>
      <c r="L394" s="140" t="s">
        <v>2566</v>
      </c>
      <c r="M394" s="140" t="s">
        <v>2574</v>
      </c>
      <c r="N394" s="140" t="s">
        <v>3191</v>
      </c>
      <c r="O394" s="149" t="s">
        <v>2111</v>
      </c>
      <c r="P394" s="149" t="s">
        <v>2739</v>
      </c>
      <c r="Q394" s="140" t="s">
        <v>2692</v>
      </c>
      <c r="R394" s="140" t="s">
        <v>2712</v>
      </c>
      <c r="S394" s="149">
        <f t="shared" si="20"/>
        <v>3.3E-3</v>
      </c>
      <c r="T394" s="149">
        <v>0</v>
      </c>
      <c r="U394" s="157">
        <v>3.3E-3</v>
      </c>
      <c r="V394" s="157">
        <v>2.4060000000000001</v>
      </c>
      <c r="W394" s="157">
        <v>10.077999999999999</v>
      </c>
      <c r="X394" s="149">
        <f t="shared" si="21"/>
        <v>24.247668000000001</v>
      </c>
      <c r="Y394" s="149"/>
    </row>
    <row r="395" spans="1:25" ht="18" customHeight="1">
      <c r="A395" s="149" t="s">
        <v>12</v>
      </c>
      <c r="B395" s="150" t="s">
        <v>639</v>
      </c>
      <c r="C395" s="149" t="s">
        <v>1744</v>
      </c>
      <c r="D395" s="149" t="s">
        <v>3555</v>
      </c>
      <c r="E395" s="149" t="s">
        <v>593</v>
      </c>
      <c r="F395" s="149">
        <v>-26.365555560000001</v>
      </c>
      <c r="G395" s="149">
        <v>135.79</v>
      </c>
      <c r="H395" s="149">
        <v>201</v>
      </c>
      <c r="I395" s="151">
        <v>42816</v>
      </c>
      <c r="J395" s="149" t="s">
        <v>36</v>
      </c>
      <c r="K395" s="149" t="s">
        <v>419</v>
      </c>
      <c r="L395" s="155" t="s">
        <v>2566</v>
      </c>
      <c r="M395" s="155" t="s">
        <v>2567</v>
      </c>
      <c r="N395" s="155" t="s">
        <v>2668</v>
      </c>
      <c r="O395" s="155" t="s">
        <v>2105</v>
      </c>
      <c r="P395" s="140" t="s">
        <v>2105</v>
      </c>
      <c r="Q395" s="140" t="s">
        <v>2387</v>
      </c>
      <c r="R395" s="155" t="s">
        <v>2713</v>
      </c>
      <c r="S395" s="149">
        <f t="shared" si="20"/>
        <v>1.6000000000000001E-3</v>
      </c>
      <c r="T395" s="149">
        <v>0</v>
      </c>
      <c r="U395" s="157">
        <v>1.6000000000000001E-3</v>
      </c>
      <c r="V395" s="157">
        <v>1.5449999999999999</v>
      </c>
      <c r="W395" s="157">
        <v>6.36</v>
      </c>
      <c r="X395" s="149">
        <f t="shared" si="21"/>
        <v>9.8262</v>
      </c>
      <c r="Y395" s="149"/>
    </row>
    <row r="396" spans="1:25" ht="18" customHeight="1">
      <c r="A396" s="149" t="s">
        <v>12</v>
      </c>
      <c r="B396" s="150" t="s">
        <v>640</v>
      </c>
      <c r="C396" s="149" t="s">
        <v>1744</v>
      </c>
      <c r="D396" s="149" t="s">
        <v>3555</v>
      </c>
      <c r="E396" s="149" t="s">
        <v>593</v>
      </c>
      <c r="F396" s="149">
        <v>-26.365555560000001</v>
      </c>
      <c r="G396" s="149">
        <v>135.79</v>
      </c>
      <c r="H396" s="149">
        <v>201</v>
      </c>
      <c r="I396" s="151">
        <v>42816</v>
      </c>
      <c r="J396" s="149" t="s">
        <v>36</v>
      </c>
      <c r="K396" s="149" t="s">
        <v>419</v>
      </c>
      <c r="L396" s="140" t="s">
        <v>2566</v>
      </c>
      <c r="M396" s="140" t="s">
        <v>2567</v>
      </c>
      <c r="N396" s="140" t="s">
        <v>2668</v>
      </c>
      <c r="O396" s="140" t="s">
        <v>2105</v>
      </c>
      <c r="P396" s="140" t="s">
        <v>2105</v>
      </c>
      <c r="Q396" s="140" t="s">
        <v>2387</v>
      </c>
      <c r="R396" s="140" t="s">
        <v>2713</v>
      </c>
      <c r="S396" s="149">
        <f t="shared" si="20"/>
        <v>3.3E-3</v>
      </c>
      <c r="T396" s="149">
        <v>0</v>
      </c>
      <c r="U396" s="157">
        <v>3.3E-3</v>
      </c>
      <c r="V396" s="157">
        <v>1.619</v>
      </c>
      <c r="W396" s="157">
        <v>7.3739999999999997</v>
      </c>
      <c r="X396" s="149">
        <f t="shared" si="21"/>
        <v>11.938506</v>
      </c>
      <c r="Y396" s="149"/>
    </row>
    <row r="397" spans="1:25" ht="18" customHeight="1">
      <c r="A397" s="149" t="s">
        <v>12</v>
      </c>
      <c r="B397" s="150" t="s">
        <v>641</v>
      </c>
      <c r="C397" s="149" t="s">
        <v>1744</v>
      </c>
      <c r="D397" s="149" t="s">
        <v>3555</v>
      </c>
      <c r="E397" s="149" t="s">
        <v>593</v>
      </c>
      <c r="F397" s="149">
        <v>-26.365555560000001</v>
      </c>
      <c r="G397" s="149">
        <v>135.79</v>
      </c>
      <c r="H397" s="149">
        <v>201</v>
      </c>
      <c r="I397" s="151">
        <v>42816</v>
      </c>
      <c r="J397" s="149" t="s">
        <v>36</v>
      </c>
      <c r="K397" s="149" t="s">
        <v>419</v>
      </c>
      <c r="L397" s="155" t="s">
        <v>2566</v>
      </c>
      <c r="M397" s="155" t="s">
        <v>2567</v>
      </c>
      <c r="N397" s="155" t="s">
        <v>2668</v>
      </c>
      <c r="O397" s="155" t="s">
        <v>2105</v>
      </c>
      <c r="P397" s="140" t="s">
        <v>2105</v>
      </c>
      <c r="Q397" s="140" t="s">
        <v>2387</v>
      </c>
      <c r="R397" s="155" t="s">
        <v>2713</v>
      </c>
      <c r="S397" s="149">
        <f t="shared" si="20"/>
        <v>5.9999999999999995E-4</v>
      </c>
      <c r="T397" s="149">
        <v>0</v>
      </c>
      <c r="U397" s="157">
        <v>5.9999999999999995E-4</v>
      </c>
      <c r="V397" s="157">
        <v>1.339</v>
      </c>
      <c r="W397" s="157">
        <v>5.6180000000000003</v>
      </c>
      <c r="X397" s="149">
        <f t="shared" si="21"/>
        <v>7.5225020000000002</v>
      </c>
      <c r="Y397" s="149"/>
    </row>
    <row r="398" spans="1:25" ht="18" customHeight="1">
      <c r="A398" s="149" t="s">
        <v>12</v>
      </c>
      <c r="B398" s="150" t="s">
        <v>642</v>
      </c>
      <c r="C398" s="149" t="s">
        <v>1744</v>
      </c>
      <c r="D398" s="149" t="s">
        <v>3555</v>
      </c>
      <c r="E398" s="149" t="s">
        <v>593</v>
      </c>
      <c r="F398" s="149">
        <v>-26.365555560000001</v>
      </c>
      <c r="G398" s="149">
        <v>135.79</v>
      </c>
      <c r="H398" s="149">
        <v>201</v>
      </c>
      <c r="I398" s="151">
        <v>42816</v>
      </c>
      <c r="J398" s="149" t="s">
        <v>36</v>
      </c>
      <c r="K398" s="149" t="s">
        <v>419</v>
      </c>
      <c r="L398" s="140" t="s">
        <v>2566</v>
      </c>
      <c r="M398" s="140" t="s">
        <v>2567</v>
      </c>
      <c r="N398" s="140" t="s">
        <v>2668</v>
      </c>
      <c r="O398" s="140" t="s">
        <v>2105</v>
      </c>
      <c r="P398" s="140" t="s">
        <v>2105</v>
      </c>
      <c r="Q398" s="140" t="s">
        <v>2387</v>
      </c>
      <c r="R398" s="140" t="s">
        <v>2713</v>
      </c>
      <c r="S398" s="149">
        <f t="shared" si="20"/>
        <v>8.0000000000000004E-4</v>
      </c>
      <c r="T398" s="149">
        <v>0</v>
      </c>
      <c r="U398" s="157">
        <v>8.0000000000000004E-4</v>
      </c>
      <c r="V398" s="157">
        <v>1.554</v>
      </c>
      <c r="W398" s="157">
        <v>6.0359999999999996</v>
      </c>
      <c r="X398" s="149">
        <f t="shared" si="21"/>
        <v>9.3799440000000001</v>
      </c>
      <c r="Y398" s="149"/>
    </row>
    <row r="399" spans="1:25" ht="18" customHeight="1">
      <c r="A399" s="149" t="s">
        <v>12</v>
      </c>
      <c r="B399" s="150" t="s">
        <v>643</v>
      </c>
      <c r="C399" s="149" t="s">
        <v>1744</v>
      </c>
      <c r="D399" s="149" t="s">
        <v>3555</v>
      </c>
      <c r="E399" s="149" t="s">
        <v>593</v>
      </c>
      <c r="F399" s="149">
        <v>-26.365555560000001</v>
      </c>
      <c r="G399" s="149">
        <v>135.79</v>
      </c>
      <c r="H399" s="149">
        <v>201</v>
      </c>
      <c r="I399" s="151">
        <v>42816</v>
      </c>
      <c r="J399" s="149" t="s">
        <v>36</v>
      </c>
      <c r="K399" s="149" t="s">
        <v>419</v>
      </c>
      <c r="L399" s="155" t="s">
        <v>2566</v>
      </c>
      <c r="M399" s="155" t="s">
        <v>2567</v>
      </c>
      <c r="N399" s="155" t="s">
        <v>2668</v>
      </c>
      <c r="O399" s="155" t="s">
        <v>2105</v>
      </c>
      <c r="P399" s="140" t="s">
        <v>2105</v>
      </c>
      <c r="Q399" s="140" t="s">
        <v>2387</v>
      </c>
      <c r="R399" s="155" t="s">
        <v>2713</v>
      </c>
      <c r="S399" s="149">
        <f t="shared" si="20"/>
        <v>2.9999999999999997E-4</v>
      </c>
      <c r="T399" s="149">
        <v>0</v>
      </c>
      <c r="U399" s="157">
        <v>2.9999999999999997E-4</v>
      </c>
      <c r="V399" s="157">
        <v>1.5009999999999999</v>
      </c>
      <c r="W399" s="157">
        <v>6.9489999999999998</v>
      </c>
      <c r="X399" s="149">
        <f t="shared" si="21"/>
        <v>10.430448999999999</v>
      </c>
      <c r="Y399" s="149"/>
    </row>
    <row r="400" spans="1:25" ht="18" customHeight="1">
      <c r="A400" s="149" t="s">
        <v>12</v>
      </c>
      <c r="B400" s="150" t="s">
        <v>644</v>
      </c>
      <c r="C400" s="149" t="s">
        <v>1744</v>
      </c>
      <c r="D400" s="149" t="s">
        <v>3555</v>
      </c>
      <c r="E400" s="149" t="s">
        <v>593</v>
      </c>
      <c r="F400" s="149">
        <v>-26.365555560000001</v>
      </c>
      <c r="G400" s="149">
        <v>135.79</v>
      </c>
      <c r="H400" s="149">
        <v>201</v>
      </c>
      <c r="I400" s="151">
        <v>42816</v>
      </c>
      <c r="J400" s="149" t="s">
        <v>36</v>
      </c>
      <c r="K400" s="149" t="s">
        <v>419</v>
      </c>
      <c r="L400" s="155" t="s">
        <v>2566</v>
      </c>
      <c r="M400" s="155" t="s">
        <v>2567</v>
      </c>
      <c r="N400" s="155" t="s">
        <v>2668</v>
      </c>
      <c r="O400" s="155" t="s">
        <v>2105</v>
      </c>
      <c r="P400" s="140" t="s">
        <v>2105</v>
      </c>
      <c r="Q400" s="140" t="s">
        <v>2387</v>
      </c>
      <c r="R400" s="155" t="s">
        <v>2713</v>
      </c>
      <c r="S400" s="149">
        <f t="shared" si="20"/>
        <v>2.7000000000000001E-3</v>
      </c>
      <c r="T400" s="149">
        <v>0</v>
      </c>
      <c r="U400" s="157">
        <v>2.7000000000000001E-3</v>
      </c>
      <c r="V400" s="157">
        <v>1.595</v>
      </c>
      <c r="W400" s="157">
        <v>7.5110000000000001</v>
      </c>
      <c r="X400" s="149">
        <f t="shared" si="21"/>
        <v>11.980045</v>
      </c>
      <c r="Y400" s="149"/>
    </row>
    <row r="401" spans="1:25" ht="18" customHeight="1">
      <c r="A401" s="149" t="s">
        <v>12</v>
      </c>
      <c r="B401" s="150" t="s">
        <v>645</v>
      </c>
      <c r="C401" s="149" t="s">
        <v>1744</v>
      </c>
      <c r="D401" s="149" t="s">
        <v>3555</v>
      </c>
      <c r="E401" s="149" t="s">
        <v>593</v>
      </c>
      <c r="F401" s="149">
        <v>-26.365555560000001</v>
      </c>
      <c r="G401" s="149">
        <v>135.79</v>
      </c>
      <c r="H401" s="149">
        <v>201</v>
      </c>
      <c r="I401" s="151">
        <v>42816</v>
      </c>
      <c r="J401" s="149" t="s">
        <v>36</v>
      </c>
      <c r="K401" s="149" t="s">
        <v>419</v>
      </c>
      <c r="L401" s="140" t="s">
        <v>2572</v>
      </c>
      <c r="M401" s="140" t="s">
        <v>2407</v>
      </c>
      <c r="N401" s="140" t="s">
        <v>36</v>
      </c>
      <c r="O401" s="140" t="s">
        <v>2215</v>
      </c>
      <c r="P401" s="140" t="s">
        <v>2215</v>
      </c>
      <c r="Q401" s="140" t="s">
        <v>2702</v>
      </c>
      <c r="R401" s="140" t="s">
        <v>2712</v>
      </c>
      <c r="S401" s="149">
        <f t="shared" si="20"/>
        <v>1.1999999999999999E-3</v>
      </c>
      <c r="T401" s="149">
        <v>0</v>
      </c>
      <c r="U401" s="157">
        <v>1.1999999999999999E-3</v>
      </c>
      <c r="V401" s="157">
        <v>1.43</v>
      </c>
      <c r="W401" s="157">
        <v>7.0570000000000004</v>
      </c>
      <c r="X401" s="149">
        <f t="shared" si="21"/>
        <v>10.09151</v>
      </c>
      <c r="Y401" s="149"/>
    </row>
    <row r="402" spans="1:25" ht="18" customHeight="1">
      <c r="A402" s="149" t="s">
        <v>12</v>
      </c>
      <c r="B402" s="150" t="s">
        <v>646</v>
      </c>
      <c r="C402" s="149" t="s">
        <v>1744</v>
      </c>
      <c r="D402" s="149" t="s">
        <v>3555</v>
      </c>
      <c r="E402" s="149" t="s">
        <v>593</v>
      </c>
      <c r="F402" s="149">
        <v>-26.365555560000001</v>
      </c>
      <c r="G402" s="149">
        <v>135.79</v>
      </c>
      <c r="H402" s="149">
        <v>201</v>
      </c>
      <c r="I402" s="151">
        <v>42816</v>
      </c>
      <c r="J402" s="149" t="s">
        <v>36</v>
      </c>
      <c r="K402" s="149" t="s">
        <v>419</v>
      </c>
      <c r="L402" s="155" t="s">
        <v>2566</v>
      </c>
      <c r="M402" s="155" t="s">
        <v>2567</v>
      </c>
      <c r="N402" s="155" t="s">
        <v>2668</v>
      </c>
      <c r="O402" s="155" t="s">
        <v>2105</v>
      </c>
      <c r="P402" s="140" t="s">
        <v>2105</v>
      </c>
      <c r="Q402" s="140" t="s">
        <v>2387</v>
      </c>
      <c r="R402" s="155" t="s">
        <v>2713</v>
      </c>
      <c r="S402" s="149">
        <f t="shared" si="20"/>
        <v>1.1000000000000001E-3</v>
      </c>
      <c r="T402" s="149">
        <v>0</v>
      </c>
      <c r="U402" s="157">
        <v>1.1000000000000001E-3</v>
      </c>
      <c r="V402" s="157">
        <v>1.415</v>
      </c>
      <c r="W402" s="157">
        <v>6.7629999999999999</v>
      </c>
      <c r="X402" s="149">
        <f t="shared" si="21"/>
        <v>9.5696449999999995</v>
      </c>
      <c r="Y402" s="149"/>
    </row>
    <row r="403" spans="1:25" ht="18" customHeight="1">
      <c r="A403" s="149" t="s">
        <v>12</v>
      </c>
      <c r="B403" s="150" t="s">
        <v>647</v>
      </c>
      <c r="C403" s="149" t="s">
        <v>1744</v>
      </c>
      <c r="D403" s="149" t="s">
        <v>3555</v>
      </c>
      <c r="E403" s="149" t="s">
        <v>593</v>
      </c>
      <c r="F403" s="149">
        <v>-26.365555560000001</v>
      </c>
      <c r="G403" s="149">
        <v>135.79</v>
      </c>
      <c r="H403" s="149">
        <v>201</v>
      </c>
      <c r="I403" s="151">
        <v>42816</v>
      </c>
      <c r="J403" s="149" t="s">
        <v>36</v>
      </c>
      <c r="K403" s="149" t="s">
        <v>419</v>
      </c>
      <c r="L403" s="140" t="s">
        <v>2566</v>
      </c>
      <c r="M403" s="140" t="s">
        <v>2567</v>
      </c>
      <c r="N403" s="140" t="s">
        <v>2668</v>
      </c>
      <c r="O403" s="140" t="s">
        <v>2105</v>
      </c>
      <c r="P403" s="140" t="s">
        <v>2105</v>
      </c>
      <c r="Q403" s="140" t="s">
        <v>2387</v>
      </c>
      <c r="R403" s="140" t="s">
        <v>2713</v>
      </c>
      <c r="S403" s="149">
        <f t="shared" si="20"/>
        <v>5.0000000000000001E-4</v>
      </c>
      <c r="T403" s="149">
        <v>0</v>
      </c>
      <c r="U403" s="157">
        <v>5.0000000000000001E-4</v>
      </c>
      <c r="V403" s="157">
        <v>1.653</v>
      </c>
      <c r="W403" s="157">
        <v>6.5540000000000003</v>
      </c>
      <c r="X403" s="149">
        <f t="shared" si="21"/>
        <v>10.833762</v>
      </c>
      <c r="Y403" s="149"/>
    </row>
    <row r="404" spans="1:25" ht="18" customHeight="1">
      <c r="A404" s="149" t="s">
        <v>12</v>
      </c>
      <c r="B404" s="150" t="s">
        <v>648</v>
      </c>
      <c r="C404" s="149" t="s">
        <v>1744</v>
      </c>
      <c r="D404" s="149" t="s">
        <v>3555</v>
      </c>
      <c r="E404" s="149" t="s">
        <v>593</v>
      </c>
      <c r="F404" s="149">
        <v>-26.365555560000001</v>
      </c>
      <c r="G404" s="149">
        <v>135.79</v>
      </c>
      <c r="H404" s="149">
        <v>201</v>
      </c>
      <c r="I404" s="151">
        <v>42816</v>
      </c>
      <c r="J404" s="149" t="s">
        <v>36</v>
      </c>
      <c r="K404" s="149" t="s">
        <v>419</v>
      </c>
      <c r="L404" s="155" t="s">
        <v>2566</v>
      </c>
      <c r="M404" s="155" t="s">
        <v>2567</v>
      </c>
      <c r="N404" s="155" t="s">
        <v>2668</v>
      </c>
      <c r="O404" s="155" t="s">
        <v>2105</v>
      </c>
      <c r="P404" s="140" t="s">
        <v>2105</v>
      </c>
      <c r="Q404" s="140" t="s">
        <v>2387</v>
      </c>
      <c r="R404" s="155" t="s">
        <v>2713</v>
      </c>
      <c r="S404" s="149">
        <f t="shared" si="20"/>
        <v>8.0000000000000004E-4</v>
      </c>
      <c r="T404" s="149">
        <v>0</v>
      </c>
      <c r="U404" s="157">
        <v>8.0000000000000004E-4</v>
      </c>
      <c r="V404" s="157">
        <v>1.5880000000000001</v>
      </c>
      <c r="W404" s="157">
        <v>6.9660000000000002</v>
      </c>
      <c r="X404" s="149">
        <f t="shared" si="21"/>
        <v>11.062008000000001</v>
      </c>
      <c r="Y404" s="149"/>
    </row>
    <row r="405" spans="1:25" ht="18" customHeight="1">
      <c r="A405" s="149" t="s">
        <v>12</v>
      </c>
      <c r="B405" s="150" t="s">
        <v>444</v>
      </c>
      <c r="C405" s="149" t="s">
        <v>1744</v>
      </c>
      <c r="D405" s="149" t="s">
        <v>3555</v>
      </c>
      <c r="E405" s="149" t="s">
        <v>418</v>
      </c>
      <c r="F405" s="149">
        <v>-26.284722200000001</v>
      </c>
      <c r="G405" s="149">
        <v>136.09805556000001</v>
      </c>
      <c r="H405" s="149">
        <v>201</v>
      </c>
      <c r="I405" s="151">
        <v>42816</v>
      </c>
      <c r="J405" s="149" t="s">
        <v>36</v>
      </c>
      <c r="K405" s="149" t="s">
        <v>419</v>
      </c>
      <c r="L405" s="149" t="s">
        <v>2569</v>
      </c>
      <c r="M405" s="149" t="s">
        <v>2570</v>
      </c>
      <c r="N405" s="149" t="s">
        <v>2571</v>
      </c>
      <c r="O405" s="140" t="s">
        <v>2369</v>
      </c>
      <c r="P405" s="140" t="s">
        <v>3556</v>
      </c>
      <c r="Q405" s="140" t="s">
        <v>2678</v>
      </c>
      <c r="R405" s="149" t="s">
        <v>2713</v>
      </c>
      <c r="S405" s="149">
        <f t="shared" si="20"/>
        <v>4.2700000000000002E-2</v>
      </c>
      <c r="T405" s="140">
        <v>3.8671999999999998E-2</v>
      </c>
      <c r="U405" s="157">
        <v>4.0280000000000038E-3</v>
      </c>
      <c r="V405" s="157">
        <v>2.5880000000000001</v>
      </c>
      <c r="W405" s="157">
        <v>9.82</v>
      </c>
      <c r="X405" s="149">
        <f t="shared" si="21"/>
        <v>25.414160000000003</v>
      </c>
      <c r="Y405" s="149"/>
    </row>
    <row r="406" spans="1:25" ht="18" customHeight="1">
      <c r="A406" s="149" t="s">
        <v>12</v>
      </c>
      <c r="B406" s="150" t="s">
        <v>649</v>
      </c>
      <c r="C406" s="149" t="s">
        <v>1744</v>
      </c>
      <c r="D406" s="149" t="s">
        <v>3555</v>
      </c>
      <c r="E406" s="149" t="s">
        <v>593</v>
      </c>
      <c r="F406" s="149">
        <v>-26.365555560000001</v>
      </c>
      <c r="G406" s="149">
        <v>135.79</v>
      </c>
      <c r="H406" s="149">
        <v>201</v>
      </c>
      <c r="I406" s="151">
        <v>42816</v>
      </c>
      <c r="J406" s="149" t="s">
        <v>36</v>
      </c>
      <c r="K406" s="149" t="s">
        <v>419</v>
      </c>
      <c r="L406" s="140" t="s">
        <v>2566</v>
      </c>
      <c r="M406" s="140" t="s">
        <v>2567</v>
      </c>
      <c r="N406" s="140" t="s">
        <v>2668</v>
      </c>
      <c r="O406" s="140" t="s">
        <v>2600</v>
      </c>
      <c r="P406" s="149" t="s">
        <v>2735</v>
      </c>
      <c r="Q406" s="140" t="s">
        <v>2667</v>
      </c>
      <c r="R406" s="140" t="s">
        <v>2712</v>
      </c>
      <c r="S406" s="149">
        <f t="shared" si="20"/>
        <v>2E-3</v>
      </c>
      <c r="T406" s="140">
        <v>0</v>
      </c>
      <c r="U406" s="157">
        <v>2E-3</v>
      </c>
      <c r="V406" s="157">
        <v>1.9910000000000001</v>
      </c>
      <c r="W406" s="157">
        <v>8.3659999999999997</v>
      </c>
      <c r="X406" s="149">
        <f t="shared" si="21"/>
        <v>16.656706</v>
      </c>
      <c r="Y406" s="149"/>
    </row>
    <row r="407" spans="1:25" ht="18" customHeight="1">
      <c r="A407" s="149" t="s">
        <v>12</v>
      </c>
      <c r="B407" s="150" t="s">
        <v>650</v>
      </c>
      <c r="C407" s="149" t="s">
        <v>1744</v>
      </c>
      <c r="D407" s="149" t="s">
        <v>3555</v>
      </c>
      <c r="E407" s="149" t="s">
        <v>593</v>
      </c>
      <c r="F407" s="149">
        <v>-26.365555560000001</v>
      </c>
      <c r="G407" s="149">
        <v>135.79</v>
      </c>
      <c r="H407" s="149">
        <v>201</v>
      </c>
      <c r="I407" s="151">
        <v>42816</v>
      </c>
      <c r="J407" s="149" t="s">
        <v>36</v>
      </c>
      <c r="K407" s="149" t="s">
        <v>419</v>
      </c>
      <c r="L407" s="140" t="s">
        <v>2566</v>
      </c>
      <c r="M407" s="140" t="s">
        <v>2567</v>
      </c>
      <c r="N407" s="140" t="s">
        <v>2668</v>
      </c>
      <c r="O407" s="140" t="s">
        <v>2105</v>
      </c>
      <c r="P407" s="140" t="s">
        <v>2105</v>
      </c>
      <c r="Q407" s="140" t="s">
        <v>2387</v>
      </c>
      <c r="R407" s="140" t="s">
        <v>2713</v>
      </c>
      <c r="S407" s="149">
        <f t="shared" si="20"/>
        <v>1.2999999999999999E-3</v>
      </c>
      <c r="T407" s="140">
        <v>0</v>
      </c>
      <c r="U407" s="157">
        <v>1.2999999999999999E-3</v>
      </c>
      <c r="V407" s="157">
        <v>1.52</v>
      </c>
      <c r="W407" s="157">
        <v>6.8979999999999997</v>
      </c>
      <c r="X407" s="149">
        <f t="shared" si="21"/>
        <v>10.484959999999999</v>
      </c>
      <c r="Y407" s="149"/>
    </row>
    <row r="408" spans="1:25" ht="18" customHeight="1">
      <c r="A408" s="149" t="s">
        <v>12</v>
      </c>
      <c r="B408" s="150" t="s">
        <v>651</v>
      </c>
      <c r="C408" s="149" t="s">
        <v>1744</v>
      </c>
      <c r="D408" s="149" t="s">
        <v>3555</v>
      </c>
      <c r="E408" s="149" t="s">
        <v>593</v>
      </c>
      <c r="F408" s="149">
        <v>-26.365555560000001</v>
      </c>
      <c r="G408" s="149">
        <v>135.79</v>
      </c>
      <c r="H408" s="149">
        <v>201</v>
      </c>
      <c r="I408" s="151">
        <v>42816</v>
      </c>
      <c r="J408" s="149" t="s">
        <v>36</v>
      </c>
      <c r="K408" s="149" t="s">
        <v>419</v>
      </c>
      <c r="L408" s="140" t="s">
        <v>2566</v>
      </c>
      <c r="M408" s="140" t="s">
        <v>2567</v>
      </c>
      <c r="N408" s="140" t="s">
        <v>2668</v>
      </c>
      <c r="O408" s="140" t="s">
        <v>2105</v>
      </c>
      <c r="P408" s="140" t="s">
        <v>2105</v>
      </c>
      <c r="Q408" s="140" t="s">
        <v>2387</v>
      </c>
      <c r="R408" s="140" t="s">
        <v>2713</v>
      </c>
      <c r="S408" s="149">
        <f t="shared" si="20"/>
        <v>1E-3</v>
      </c>
      <c r="T408" s="140">
        <v>0</v>
      </c>
      <c r="U408" s="157">
        <v>1E-3</v>
      </c>
      <c r="V408" s="157">
        <v>1.28</v>
      </c>
      <c r="W408" s="157">
        <v>5.5739999999999998</v>
      </c>
      <c r="X408" s="149">
        <f t="shared" si="21"/>
        <v>7.1347199999999997</v>
      </c>
      <c r="Y408" s="149"/>
    </row>
    <row r="409" spans="1:25" ht="16">
      <c r="A409" s="149" t="s">
        <v>12</v>
      </c>
      <c r="B409" s="150" t="s">
        <v>652</v>
      </c>
      <c r="C409" s="149" t="s">
        <v>1744</v>
      </c>
      <c r="D409" s="149" t="s">
        <v>3555</v>
      </c>
      <c r="E409" s="149" t="s">
        <v>593</v>
      </c>
      <c r="F409" s="149">
        <v>-26.365555560000001</v>
      </c>
      <c r="G409" s="149">
        <v>135.79</v>
      </c>
      <c r="H409" s="149">
        <v>201</v>
      </c>
      <c r="I409" s="151">
        <v>42816</v>
      </c>
      <c r="J409" s="149" t="s">
        <v>36</v>
      </c>
      <c r="K409" s="149" t="s">
        <v>419</v>
      </c>
      <c r="L409" s="140" t="s">
        <v>2566</v>
      </c>
      <c r="M409" s="140" t="s">
        <v>2567</v>
      </c>
      <c r="N409" s="140" t="s">
        <v>2668</v>
      </c>
      <c r="O409" s="140" t="s">
        <v>2105</v>
      </c>
      <c r="P409" s="140" t="s">
        <v>2105</v>
      </c>
      <c r="Q409" s="140" t="s">
        <v>2387</v>
      </c>
      <c r="R409" s="140" t="s">
        <v>2713</v>
      </c>
      <c r="S409" s="149">
        <f t="shared" si="20"/>
        <v>8.0000000000000004E-4</v>
      </c>
      <c r="T409" s="149">
        <v>0</v>
      </c>
      <c r="U409" s="157">
        <v>8.0000000000000004E-4</v>
      </c>
      <c r="V409" s="157">
        <v>1.7210000000000001</v>
      </c>
      <c r="W409" s="157">
        <v>7.3680000000000003</v>
      </c>
      <c r="X409" s="149">
        <f t="shared" si="21"/>
        <v>12.680328000000001</v>
      </c>
      <c r="Y409" s="149"/>
    </row>
    <row r="410" spans="1:25" ht="16">
      <c r="A410" s="149" t="s">
        <v>12</v>
      </c>
      <c r="B410" s="150" t="s">
        <v>653</v>
      </c>
      <c r="C410" s="149" t="s">
        <v>1744</v>
      </c>
      <c r="D410" s="149" t="s">
        <v>3555</v>
      </c>
      <c r="E410" s="149" t="s">
        <v>593</v>
      </c>
      <c r="F410" s="149">
        <v>-26.365555560000001</v>
      </c>
      <c r="G410" s="149">
        <v>135.79</v>
      </c>
      <c r="H410" s="149">
        <v>201</v>
      </c>
      <c r="I410" s="151">
        <v>42816</v>
      </c>
      <c r="J410" s="149" t="s">
        <v>36</v>
      </c>
      <c r="K410" s="149" t="s">
        <v>419</v>
      </c>
      <c r="L410" s="140" t="s">
        <v>2566</v>
      </c>
      <c r="M410" s="140" t="s">
        <v>2567</v>
      </c>
      <c r="N410" s="140" t="s">
        <v>2668</v>
      </c>
      <c r="O410" s="140" t="s">
        <v>2105</v>
      </c>
      <c r="P410" s="140" t="s">
        <v>2105</v>
      </c>
      <c r="Q410" s="140" t="s">
        <v>2387</v>
      </c>
      <c r="R410" s="140" t="s">
        <v>2713</v>
      </c>
      <c r="S410" s="149">
        <f t="shared" si="20"/>
        <v>2.9999999999999997E-4</v>
      </c>
      <c r="T410" s="140">
        <v>0</v>
      </c>
      <c r="U410" s="157">
        <v>2.9999999999999997E-4</v>
      </c>
      <c r="V410" s="157">
        <v>1.52</v>
      </c>
      <c r="W410" s="157">
        <v>6.5030000000000001</v>
      </c>
      <c r="X410" s="149">
        <f t="shared" si="21"/>
        <v>9.8845600000000005</v>
      </c>
      <c r="Y410" s="149"/>
    </row>
    <row r="411" spans="1:25" ht="16">
      <c r="A411" s="149" t="s">
        <v>12</v>
      </c>
      <c r="B411" s="150" t="s">
        <v>654</v>
      </c>
      <c r="C411" s="149" t="s">
        <v>1744</v>
      </c>
      <c r="D411" s="149" t="s">
        <v>3555</v>
      </c>
      <c r="E411" s="149" t="s">
        <v>593</v>
      </c>
      <c r="F411" s="149">
        <v>-26.365555560000001</v>
      </c>
      <c r="G411" s="149">
        <v>135.79</v>
      </c>
      <c r="H411" s="149">
        <v>201</v>
      </c>
      <c r="I411" s="151">
        <v>42816</v>
      </c>
      <c r="J411" s="149" t="s">
        <v>36</v>
      </c>
      <c r="K411" s="149" t="s">
        <v>419</v>
      </c>
      <c r="L411" s="140" t="s">
        <v>2566</v>
      </c>
      <c r="M411" s="140" t="s">
        <v>2567</v>
      </c>
      <c r="N411" s="140" t="s">
        <v>2668</v>
      </c>
      <c r="O411" s="140" t="s">
        <v>2105</v>
      </c>
      <c r="P411" s="140" t="s">
        <v>2105</v>
      </c>
      <c r="Q411" s="140" t="s">
        <v>2387</v>
      </c>
      <c r="R411" s="140" t="s">
        <v>2713</v>
      </c>
      <c r="S411" s="149">
        <f t="shared" si="20"/>
        <v>8.0000000000000004E-4</v>
      </c>
      <c r="T411" s="140">
        <v>0</v>
      </c>
      <c r="U411" s="157">
        <v>8.0000000000000004E-4</v>
      </c>
      <c r="V411" s="157">
        <v>1.409</v>
      </c>
      <c r="W411" s="157">
        <v>5.6230000000000002</v>
      </c>
      <c r="X411" s="149">
        <f t="shared" si="21"/>
        <v>7.9228070000000006</v>
      </c>
      <c r="Y411" s="149"/>
    </row>
    <row r="412" spans="1:25" ht="16">
      <c r="A412" s="149" t="s">
        <v>12</v>
      </c>
      <c r="B412" s="150" t="s">
        <v>655</v>
      </c>
      <c r="C412" s="149" t="s">
        <v>1744</v>
      </c>
      <c r="D412" s="149" t="s">
        <v>3555</v>
      </c>
      <c r="E412" s="149" t="s">
        <v>593</v>
      </c>
      <c r="F412" s="149">
        <v>-26.365555560000001</v>
      </c>
      <c r="G412" s="149">
        <v>135.79</v>
      </c>
      <c r="H412" s="149">
        <v>201</v>
      </c>
      <c r="I412" s="151">
        <v>42816</v>
      </c>
      <c r="J412" s="149" t="s">
        <v>36</v>
      </c>
      <c r="K412" s="149" t="s">
        <v>419</v>
      </c>
      <c r="L412" s="140" t="s">
        <v>2566</v>
      </c>
      <c r="M412" s="140" t="s">
        <v>2567</v>
      </c>
      <c r="N412" s="140" t="s">
        <v>2668</v>
      </c>
      <c r="O412" s="140" t="s">
        <v>2105</v>
      </c>
      <c r="P412" s="140" t="s">
        <v>2105</v>
      </c>
      <c r="Q412" s="140" t="s">
        <v>2387</v>
      </c>
      <c r="R412" s="140" t="s">
        <v>2713</v>
      </c>
      <c r="S412" s="149">
        <f t="shared" si="20"/>
        <v>5.9999999999999995E-4</v>
      </c>
      <c r="T412" s="149">
        <v>0</v>
      </c>
      <c r="U412" s="157">
        <v>5.9999999999999995E-4</v>
      </c>
      <c r="V412" s="157">
        <v>1.51</v>
      </c>
      <c r="W412" s="157">
        <v>6.5890000000000004</v>
      </c>
      <c r="X412" s="149">
        <f t="shared" si="21"/>
        <v>9.9493900000000011</v>
      </c>
      <c r="Y412" s="149"/>
    </row>
    <row r="413" spans="1:25" ht="16">
      <c r="A413" s="149" t="s">
        <v>12</v>
      </c>
      <c r="B413" s="150" t="s">
        <v>656</v>
      </c>
      <c r="C413" s="149" t="s">
        <v>1744</v>
      </c>
      <c r="D413" s="149" t="s">
        <v>3555</v>
      </c>
      <c r="E413" s="149" t="s">
        <v>593</v>
      </c>
      <c r="F413" s="149">
        <v>-26.365555560000001</v>
      </c>
      <c r="G413" s="149">
        <v>135.79</v>
      </c>
      <c r="H413" s="149">
        <v>201</v>
      </c>
      <c r="I413" s="151">
        <v>42816</v>
      </c>
      <c r="J413" s="149" t="s">
        <v>36</v>
      </c>
      <c r="K413" s="149" t="s">
        <v>419</v>
      </c>
      <c r="L413" s="140" t="s">
        <v>2566</v>
      </c>
      <c r="M413" s="140" t="s">
        <v>2567</v>
      </c>
      <c r="N413" s="140" t="s">
        <v>2668</v>
      </c>
      <c r="O413" s="140" t="s">
        <v>2105</v>
      </c>
      <c r="P413" s="140" t="s">
        <v>2105</v>
      </c>
      <c r="Q413" s="140" t="s">
        <v>2387</v>
      </c>
      <c r="R413" s="140" t="s">
        <v>2713</v>
      </c>
      <c r="S413" s="149">
        <f t="shared" si="20"/>
        <v>8.0000000000000004E-4</v>
      </c>
      <c r="T413" s="149">
        <v>0</v>
      </c>
      <c r="U413" s="157">
        <v>8.0000000000000004E-4</v>
      </c>
      <c r="V413" s="157">
        <v>1.3779999999999999</v>
      </c>
      <c r="W413" s="157">
        <v>6.4249999999999998</v>
      </c>
      <c r="X413" s="149">
        <f t="shared" si="21"/>
        <v>8.8536499999999982</v>
      </c>
      <c r="Y413" s="149"/>
    </row>
    <row r="414" spans="1:25" ht="16">
      <c r="A414" s="149" t="s">
        <v>12</v>
      </c>
      <c r="B414" s="150" t="s">
        <v>657</v>
      </c>
      <c r="C414" s="149" t="s">
        <v>1744</v>
      </c>
      <c r="D414" s="149" t="s">
        <v>3555</v>
      </c>
      <c r="E414" s="149" t="s">
        <v>593</v>
      </c>
      <c r="F414" s="149">
        <v>-26.365555560000001</v>
      </c>
      <c r="G414" s="149">
        <v>135.79</v>
      </c>
      <c r="H414" s="149">
        <v>201</v>
      </c>
      <c r="I414" s="151">
        <v>42816</v>
      </c>
      <c r="J414" s="149" t="s">
        <v>36</v>
      </c>
      <c r="K414" s="149" t="s">
        <v>419</v>
      </c>
      <c r="L414" s="140" t="s">
        <v>2566</v>
      </c>
      <c r="M414" s="140" t="s">
        <v>2567</v>
      </c>
      <c r="N414" s="140" t="s">
        <v>2668</v>
      </c>
      <c r="O414" s="140" t="s">
        <v>2105</v>
      </c>
      <c r="P414" s="140" t="s">
        <v>2105</v>
      </c>
      <c r="Q414" s="140" t="s">
        <v>2387</v>
      </c>
      <c r="R414" s="140" t="s">
        <v>2713</v>
      </c>
      <c r="S414" s="149">
        <f t="shared" si="20"/>
        <v>1E-3</v>
      </c>
      <c r="T414" s="149">
        <v>0</v>
      </c>
      <c r="U414" s="157">
        <v>1E-3</v>
      </c>
      <c r="V414" s="157">
        <v>1.5129999999999999</v>
      </c>
      <c r="W414" s="157">
        <v>6.6029999999999998</v>
      </c>
      <c r="X414" s="149">
        <f t="shared" si="21"/>
        <v>9.9903389999999987</v>
      </c>
      <c r="Y414" s="149"/>
    </row>
    <row r="415" spans="1:25" ht="16">
      <c r="A415" s="149" t="s">
        <v>12</v>
      </c>
      <c r="B415" s="150" t="s">
        <v>658</v>
      </c>
      <c r="C415" s="149" t="s">
        <v>1744</v>
      </c>
      <c r="D415" s="149" t="s">
        <v>3555</v>
      </c>
      <c r="E415" s="149" t="s">
        <v>593</v>
      </c>
      <c r="F415" s="149">
        <v>-26.365555560000001</v>
      </c>
      <c r="G415" s="149">
        <v>135.79</v>
      </c>
      <c r="H415" s="149">
        <v>201</v>
      </c>
      <c r="I415" s="151">
        <v>42816</v>
      </c>
      <c r="J415" s="149" t="s">
        <v>36</v>
      </c>
      <c r="K415" s="149" t="s">
        <v>419</v>
      </c>
      <c r="L415" s="155" t="s">
        <v>2566</v>
      </c>
      <c r="M415" s="155" t="s">
        <v>2567</v>
      </c>
      <c r="N415" s="155" t="s">
        <v>2668</v>
      </c>
      <c r="O415" s="155" t="s">
        <v>2105</v>
      </c>
      <c r="P415" s="140" t="s">
        <v>2105</v>
      </c>
      <c r="Q415" s="140" t="s">
        <v>2387</v>
      </c>
      <c r="R415" s="155" t="s">
        <v>2713</v>
      </c>
      <c r="S415" s="149">
        <f t="shared" si="20"/>
        <v>1.6999999999999999E-3</v>
      </c>
      <c r="T415" s="140">
        <v>0</v>
      </c>
      <c r="U415" s="157">
        <v>1.6999999999999999E-3</v>
      </c>
      <c r="V415" s="157">
        <v>1.5129999999999999</v>
      </c>
      <c r="W415" s="157">
        <v>7.6980000000000004</v>
      </c>
      <c r="X415" s="149">
        <f t="shared" si="21"/>
        <v>11.647074</v>
      </c>
      <c r="Y415" s="149"/>
    </row>
    <row r="416" spans="1:25" ht="16">
      <c r="A416" s="149" t="s">
        <v>12</v>
      </c>
      <c r="B416" s="150" t="s">
        <v>445</v>
      </c>
      <c r="C416" s="149" t="s">
        <v>1744</v>
      </c>
      <c r="D416" s="149" t="s">
        <v>3555</v>
      </c>
      <c r="E416" s="149" t="s">
        <v>418</v>
      </c>
      <c r="F416" s="149">
        <v>-26.284722200000001</v>
      </c>
      <c r="G416" s="149">
        <v>136.09805556000001</v>
      </c>
      <c r="H416" s="149">
        <v>201</v>
      </c>
      <c r="I416" s="151">
        <v>42816</v>
      </c>
      <c r="J416" s="149" t="s">
        <v>36</v>
      </c>
      <c r="K416" s="149" t="s">
        <v>419</v>
      </c>
      <c r="L416" s="149" t="s">
        <v>1687</v>
      </c>
      <c r="M416" s="149" t="s">
        <v>2563</v>
      </c>
      <c r="N416" s="149" t="s">
        <v>2568</v>
      </c>
      <c r="O416" s="149" t="s">
        <v>2734</v>
      </c>
      <c r="P416" s="149" t="s">
        <v>2782</v>
      </c>
      <c r="Q416" s="149" t="s">
        <v>2392</v>
      </c>
      <c r="R416" s="149" t="s">
        <v>2712</v>
      </c>
      <c r="S416" s="149">
        <f t="shared" si="20"/>
        <v>5.57E-2</v>
      </c>
      <c r="T416" s="140">
        <v>3.8671999999999998E-2</v>
      </c>
      <c r="U416" s="157">
        <v>1.7028000000000001E-2</v>
      </c>
      <c r="V416" s="157">
        <v>3.9969999999999999</v>
      </c>
      <c r="W416" s="157">
        <v>21.079000000000001</v>
      </c>
      <c r="X416" s="149">
        <f t="shared" si="21"/>
        <v>84.252763000000002</v>
      </c>
      <c r="Y416" s="149"/>
    </row>
    <row r="417" spans="1:25" ht="16">
      <c r="A417" s="149" t="s">
        <v>12</v>
      </c>
      <c r="B417" s="150" t="s">
        <v>659</v>
      </c>
      <c r="C417" s="149" t="s">
        <v>1744</v>
      </c>
      <c r="D417" s="149" t="s">
        <v>3555</v>
      </c>
      <c r="E417" s="149" t="s">
        <v>593</v>
      </c>
      <c r="F417" s="149">
        <v>-26.365555560000001</v>
      </c>
      <c r="G417" s="149">
        <v>135.79</v>
      </c>
      <c r="H417" s="149">
        <v>201</v>
      </c>
      <c r="I417" s="151">
        <v>42816</v>
      </c>
      <c r="J417" s="149" t="s">
        <v>36</v>
      </c>
      <c r="K417" s="149" t="s">
        <v>419</v>
      </c>
      <c r="L417" s="140" t="s">
        <v>2572</v>
      </c>
      <c r="M417" s="140" t="s">
        <v>2407</v>
      </c>
      <c r="N417" s="140" t="s">
        <v>36</v>
      </c>
      <c r="O417" s="140" t="s">
        <v>2215</v>
      </c>
      <c r="P417" s="140" t="s">
        <v>2215</v>
      </c>
      <c r="Q417" s="140" t="s">
        <v>2702</v>
      </c>
      <c r="R417" s="140" t="s">
        <v>2713</v>
      </c>
      <c r="S417" s="149">
        <f t="shared" si="20"/>
        <v>6.9999999999999999E-4</v>
      </c>
      <c r="T417" s="149">
        <v>0</v>
      </c>
      <c r="U417" s="157">
        <v>6.9999999999999999E-4</v>
      </c>
      <c r="V417" s="157">
        <v>1.252</v>
      </c>
      <c r="W417" s="157">
        <v>6.2809999999999997</v>
      </c>
      <c r="X417" s="149">
        <f t="shared" si="21"/>
        <v>7.8638119999999994</v>
      </c>
      <c r="Y417" s="149"/>
    </row>
    <row r="418" spans="1:25" ht="16">
      <c r="A418" s="149" t="s">
        <v>12</v>
      </c>
      <c r="B418" s="150" t="s">
        <v>660</v>
      </c>
      <c r="C418" s="149" t="s">
        <v>1744</v>
      </c>
      <c r="D418" s="149" t="s">
        <v>3555</v>
      </c>
      <c r="E418" s="149" t="s">
        <v>593</v>
      </c>
      <c r="F418" s="149">
        <v>-26.365555560000001</v>
      </c>
      <c r="G418" s="149">
        <v>135.79</v>
      </c>
      <c r="H418" s="149">
        <v>201</v>
      </c>
      <c r="I418" s="151">
        <v>42816</v>
      </c>
      <c r="J418" s="149" t="s">
        <v>36</v>
      </c>
      <c r="K418" s="149" t="s">
        <v>419</v>
      </c>
      <c r="L418" s="140" t="s">
        <v>2566</v>
      </c>
      <c r="M418" s="140" t="s">
        <v>2574</v>
      </c>
      <c r="N418" s="140" t="s">
        <v>3191</v>
      </c>
      <c r="O418" s="149" t="s">
        <v>2111</v>
      </c>
      <c r="P418" s="149" t="s">
        <v>2739</v>
      </c>
      <c r="Q418" s="140" t="s">
        <v>2692</v>
      </c>
      <c r="R418" s="140" t="s">
        <v>2712</v>
      </c>
      <c r="S418" s="149">
        <f t="shared" si="20"/>
        <v>2.5999999999999999E-3</v>
      </c>
      <c r="T418" s="149">
        <v>0</v>
      </c>
      <c r="U418" s="157">
        <v>2.5999999999999999E-3</v>
      </c>
      <c r="V418" s="157">
        <v>2.169</v>
      </c>
      <c r="W418" s="157">
        <v>9.2370000000000001</v>
      </c>
      <c r="X418" s="149">
        <f t="shared" si="21"/>
        <v>20.035053000000001</v>
      </c>
      <c r="Y418" s="149"/>
    </row>
    <row r="419" spans="1:25" ht="16">
      <c r="A419" s="149" t="s">
        <v>12</v>
      </c>
      <c r="B419" s="150" t="s">
        <v>661</v>
      </c>
      <c r="C419" s="149" t="s">
        <v>1744</v>
      </c>
      <c r="D419" s="149" t="s">
        <v>3555</v>
      </c>
      <c r="E419" s="149" t="s">
        <v>593</v>
      </c>
      <c r="F419" s="149">
        <v>-26.365555560000001</v>
      </c>
      <c r="G419" s="149">
        <v>135.79</v>
      </c>
      <c r="H419" s="149">
        <v>201</v>
      </c>
      <c r="I419" s="151">
        <v>42816</v>
      </c>
      <c r="J419" s="149" t="s">
        <v>36</v>
      </c>
      <c r="K419" s="149" t="s">
        <v>419</v>
      </c>
      <c r="L419" s="140" t="s">
        <v>2566</v>
      </c>
      <c r="M419" s="140" t="s">
        <v>2567</v>
      </c>
      <c r="N419" s="140" t="s">
        <v>2668</v>
      </c>
      <c r="O419" s="140" t="s">
        <v>2105</v>
      </c>
      <c r="P419" s="140" t="s">
        <v>2105</v>
      </c>
      <c r="Q419" s="140" t="s">
        <v>2387</v>
      </c>
      <c r="R419" s="140" t="s">
        <v>2713</v>
      </c>
      <c r="S419" s="149">
        <f t="shared" si="20"/>
        <v>1.1000000000000001E-3</v>
      </c>
      <c r="T419" s="149">
        <v>0</v>
      </c>
      <c r="U419" s="157">
        <v>1.1000000000000001E-3</v>
      </c>
      <c r="V419" s="157">
        <v>1.6639999999999999</v>
      </c>
      <c r="W419" s="157">
        <v>6.9630000000000001</v>
      </c>
      <c r="X419" s="149">
        <f t="shared" si="21"/>
        <v>11.586432</v>
      </c>
      <c r="Y419" s="149"/>
    </row>
    <row r="420" spans="1:25" ht="16">
      <c r="A420" s="149" t="s">
        <v>12</v>
      </c>
      <c r="B420" s="150" t="s">
        <v>662</v>
      </c>
      <c r="C420" s="149" t="s">
        <v>1744</v>
      </c>
      <c r="D420" s="149" t="s">
        <v>3555</v>
      </c>
      <c r="E420" s="149" t="s">
        <v>593</v>
      </c>
      <c r="F420" s="149">
        <v>-26.365555560000001</v>
      </c>
      <c r="G420" s="149">
        <v>135.79</v>
      </c>
      <c r="H420" s="149">
        <v>201</v>
      </c>
      <c r="I420" s="151">
        <v>42816</v>
      </c>
      <c r="J420" s="149" t="s">
        <v>36</v>
      </c>
      <c r="K420" s="149" t="s">
        <v>419</v>
      </c>
      <c r="L420" s="140" t="s">
        <v>2566</v>
      </c>
      <c r="M420" s="140" t="s">
        <v>2567</v>
      </c>
      <c r="N420" s="140" t="s">
        <v>2668</v>
      </c>
      <c r="O420" s="140" t="s">
        <v>2105</v>
      </c>
      <c r="P420" s="140" t="s">
        <v>2105</v>
      </c>
      <c r="Q420" s="140" t="s">
        <v>2387</v>
      </c>
      <c r="R420" s="140" t="s">
        <v>2712</v>
      </c>
      <c r="S420" s="149">
        <f t="shared" si="20"/>
        <v>4.0000000000000002E-4</v>
      </c>
      <c r="T420" s="149">
        <v>0</v>
      </c>
      <c r="U420" s="157">
        <v>4.0000000000000002E-4</v>
      </c>
      <c r="V420" s="157">
        <v>1.262</v>
      </c>
      <c r="W420" s="157">
        <v>4.8769999999999998</v>
      </c>
      <c r="X420" s="149">
        <f t="shared" si="21"/>
        <v>6.1547739999999997</v>
      </c>
      <c r="Y420" s="149"/>
    </row>
    <row r="421" spans="1:25" ht="16">
      <c r="A421" s="149" t="s">
        <v>12</v>
      </c>
      <c r="B421" s="150" t="s">
        <v>663</v>
      </c>
      <c r="C421" s="149" t="s">
        <v>1744</v>
      </c>
      <c r="D421" s="149" t="s">
        <v>3555</v>
      </c>
      <c r="E421" s="149" t="s">
        <v>593</v>
      </c>
      <c r="F421" s="149">
        <v>-26.365555560000001</v>
      </c>
      <c r="G421" s="149">
        <v>135.79</v>
      </c>
      <c r="H421" s="149">
        <v>201</v>
      </c>
      <c r="I421" s="151">
        <v>42816</v>
      </c>
      <c r="J421" s="149" t="s">
        <v>36</v>
      </c>
      <c r="K421" s="149" t="s">
        <v>419</v>
      </c>
      <c r="L421" s="140" t="s">
        <v>2566</v>
      </c>
      <c r="M421" s="140" t="s">
        <v>2567</v>
      </c>
      <c r="N421" s="140" t="s">
        <v>2668</v>
      </c>
      <c r="O421" s="140" t="s">
        <v>2105</v>
      </c>
      <c r="P421" s="140" t="s">
        <v>2105</v>
      </c>
      <c r="Q421" s="140" t="s">
        <v>2387</v>
      </c>
      <c r="R421" s="140" t="s">
        <v>2713</v>
      </c>
      <c r="S421" s="149">
        <f t="shared" si="20"/>
        <v>5.9999999999999995E-4</v>
      </c>
      <c r="T421" s="149">
        <v>0</v>
      </c>
      <c r="U421" s="157">
        <v>5.9999999999999995E-4</v>
      </c>
      <c r="V421" s="157">
        <v>1.4870000000000001</v>
      </c>
      <c r="W421" s="157">
        <v>5.7350000000000003</v>
      </c>
      <c r="X421" s="149">
        <f t="shared" si="21"/>
        <v>8.5279450000000008</v>
      </c>
      <c r="Y421" s="149"/>
    </row>
    <row r="422" spans="1:25" ht="16">
      <c r="A422" s="149" t="s">
        <v>12</v>
      </c>
      <c r="B422" s="150" t="s">
        <v>664</v>
      </c>
      <c r="C422" s="149" t="s">
        <v>1744</v>
      </c>
      <c r="D422" s="149" t="s">
        <v>3555</v>
      </c>
      <c r="E422" s="149" t="s">
        <v>593</v>
      </c>
      <c r="F422" s="149">
        <v>-26.365555560000001</v>
      </c>
      <c r="G422" s="149">
        <v>135.79</v>
      </c>
      <c r="H422" s="149">
        <v>201</v>
      </c>
      <c r="I422" s="151">
        <v>42816</v>
      </c>
      <c r="J422" s="149" t="s">
        <v>36</v>
      </c>
      <c r="K422" s="149" t="s">
        <v>419</v>
      </c>
      <c r="L422" s="140" t="s">
        <v>2566</v>
      </c>
      <c r="M422" s="140" t="s">
        <v>2567</v>
      </c>
      <c r="N422" s="140" t="s">
        <v>2668</v>
      </c>
      <c r="O422" s="140" t="s">
        <v>2105</v>
      </c>
      <c r="P422" s="140" t="s">
        <v>2105</v>
      </c>
      <c r="Q422" s="140" t="s">
        <v>2387</v>
      </c>
      <c r="R422" s="140" t="s">
        <v>2713</v>
      </c>
      <c r="S422" s="149">
        <f t="shared" si="20"/>
        <v>6.9999999999999999E-4</v>
      </c>
      <c r="T422" s="149">
        <v>0</v>
      </c>
      <c r="U422" s="157">
        <v>6.9999999999999999E-4</v>
      </c>
      <c r="V422" s="157">
        <v>1.472</v>
      </c>
      <c r="W422" s="157">
        <v>6.6769999999999996</v>
      </c>
      <c r="X422" s="149">
        <f t="shared" si="21"/>
        <v>9.8285439999999991</v>
      </c>
      <c r="Y422" s="149"/>
    </row>
    <row r="423" spans="1:25" ht="16">
      <c r="A423" s="149" t="s">
        <v>12</v>
      </c>
      <c r="B423" s="150" t="s">
        <v>665</v>
      </c>
      <c r="C423" s="149" t="s">
        <v>1744</v>
      </c>
      <c r="D423" s="149" t="s">
        <v>3555</v>
      </c>
      <c r="E423" s="149" t="s">
        <v>593</v>
      </c>
      <c r="F423" s="149">
        <v>-26.365555560000001</v>
      </c>
      <c r="G423" s="149">
        <v>135.79</v>
      </c>
      <c r="H423" s="149">
        <v>201</v>
      </c>
      <c r="I423" s="151">
        <v>42816</v>
      </c>
      <c r="J423" s="149" t="s">
        <v>36</v>
      </c>
      <c r="K423" s="149" t="s">
        <v>419</v>
      </c>
      <c r="L423" s="140" t="s">
        <v>2566</v>
      </c>
      <c r="M423" s="140" t="s">
        <v>2567</v>
      </c>
      <c r="N423" s="140" t="s">
        <v>2668</v>
      </c>
      <c r="O423" s="140" t="s">
        <v>2600</v>
      </c>
      <c r="P423" s="149" t="s">
        <v>2735</v>
      </c>
      <c r="Q423" s="140" t="s">
        <v>2706</v>
      </c>
      <c r="R423" s="140" t="s">
        <v>2712</v>
      </c>
      <c r="S423" s="149">
        <f t="shared" si="20"/>
        <v>2.3999999999999998E-3</v>
      </c>
      <c r="T423" s="149">
        <v>0</v>
      </c>
      <c r="U423" s="157">
        <v>2.3999999999999998E-3</v>
      </c>
      <c r="V423" s="157">
        <v>2.0409999999999999</v>
      </c>
      <c r="W423" s="157">
        <v>8.923</v>
      </c>
      <c r="X423" s="149">
        <f t="shared" si="21"/>
        <v>18.211842999999998</v>
      </c>
      <c r="Y423" s="149"/>
    </row>
    <row r="424" spans="1:25" ht="16">
      <c r="A424" s="149" t="s">
        <v>12</v>
      </c>
      <c r="B424" s="150" t="s">
        <v>666</v>
      </c>
      <c r="C424" s="149" t="s">
        <v>1744</v>
      </c>
      <c r="D424" s="149" t="s">
        <v>3555</v>
      </c>
      <c r="E424" s="149" t="s">
        <v>593</v>
      </c>
      <c r="F424" s="149">
        <v>-26.365555560000001</v>
      </c>
      <c r="G424" s="149">
        <v>135.79</v>
      </c>
      <c r="H424" s="149">
        <v>201</v>
      </c>
      <c r="I424" s="151">
        <v>42816</v>
      </c>
      <c r="J424" s="149" t="s">
        <v>36</v>
      </c>
      <c r="K424" s="149" t="s">
        <v>419</v>
      </c>
      <c r="L424" s="155" t="s">
        <v>2566</v>
      </c>
      <c r="M424" s="155" t="s">
        <v>2567</v>
      </c>
      <c r="N424" s="155" t="s">
        <v>2668</v>
      </c>
      <c r="O424" s="155" t="s">
        <v>2105</v>
      </c>
      <c r="P424" s="140" t="s">
        <v>2105</v>
      </c>
      <c r="Q424" s="140" t="s">
        <v>2387</v>
      </c>
      <c r="R424" s="155" t="s">
        <v>2713</v>
      </c>
      <c r="S424" s="149">
        <f t="shared" ref="S424:S487" si="22">T424+U424</f>
        <v>8.0000000000000004E-4</v>
      </c>
      <c r="T424" s="149">
        <v>0</v>
      </c>
      <c r="U424" s="157">
        <v>8.0000000000000004E-4</v>
      </c>
      <c r="V424" s="157">
        <v>1.6659999999999999</v>
      </c>
      <c r="W424" s="157">
        <v>6.4279999999999999</v>
      </c>
      <c r="X424" s="149">
        <f t="shared" si="21"/>
        <v>10.709047999999999</v>
      </c>
      <c r="Y424" s="149"/>
    </row>
    <row r="425" spans="1:25" ht="16">
      <c r="A425" s="149" t="s">
        <v>12</v>
      </c>
      <c r="B425" s="150" t="s">
        <v>667</v>
      </c>
      <c r="C425" s="149" t="s">
        <v>1744</v>
      </c>
      <c r="D425" s="149" t="s">
        <v>3555</v>
      </c>
      <c r="E425" s="149" t="s">
        <v>593</v>
      </c>
      <c r="F425" s="149">
        <v>-26.365555560000001</v>
      </c>
      <c r="G425" s="149">
        <v>135.79</v>
      </c>
      <c r="H425" s="149">
        <v>201</v>
      </c>
      <c r="I425" s="151">
        <v>42816</v>
      </c>
      <c r="J425" s="149" t="s">
        <v>36</v>
      </c>
      <c r="K425" s="149" t="s">
        <v>419</v>
      </c>
      <c r="L425" s="140" t="s">
        <v>2566</v>
      </c>
      <c r="M425" s="140" t="s">
        <v>2574</v>
      </c>
      <c r="N425" s="140" t="s">
        <v>3191</v>
      </c>
      <c r="O425" s="149" t="s">
        <v>2111</v>
      </c>
      <c r="P425" s="149" t="s">
        <v>2739</v>
      </c>
      <c r="Q425" s="140" t="s">
        <v>2692</v>
      </c>
      <c r="R425" s="140" t="s">
        <v>2713</v>
      </c>
      <c r="S425" s="149">
        <f t="shared" si="22"/>
        <v>2.8E-3</v>
      </c>
      <c r="T425" s="149">
        <v>0</v>
      </c>
      <c r="U425" s="157">
        <v>2.8E-3</v>
      </c>
      <c r="V425" s="157">
        <v>2.0550000000000002</v>
      </c>
      <c r="W425" s="157">
        <v>9.4740000000000002</v>
      </c>
      <c r="X425" s="149">
        <f t="shared" si="21"/>
        <v>19.469070000000002</v>
      </c>
      <c r="Y425" s="149"/>
    </row>
    <row r="426" spans="1:25" ht="16">
      <c r="A426" s="149" t="s">
        <v>12</v>
      </c>
      <c r="B426" s="150" t="s">
        <v>668</v>
      </c>
      <c r="C426" s="149" t="s">
        <v>1744</v>
      </c>
      <c r="D426" s="149" t="s">
        <v>3555</v>
      </c>
      <c r="E426" s="149" t="s">
        <v>593</v>
      </c>
      <c r="F426" s="149">
        <v>-26.365555560000001</v>
      </c>
      <c r="G426" s="149">
        <v>135.79</v>
      </c>
      <c r="H426" s="149">
        <v>201</v>
      </c>
      <c r="I426" s="151">
        <v>42816</v>
      </c>
      <c r="J426" s="149" t="s">
        <v>36</v>
      </c>
      <c r="K426" s="149" t="s">
        <v>419</v>
      </c>
      <c r="L426" s="140" t="s">
        <v>2566</v>
      </c>
      <c r="M426" s="140" t="s">
        <v>2567</v>
      </c>
      <c r="N426" s="140" t="s">
        <v>2668</v>
      </c>
      <c r="O426" s="140" t="s">
        <v>2105</v>
      </c>
      <c r="P426" s="140" t="s">
        <v>2105</v>
      </c>
      <c r="Q426" s="140" t="s">
        <v>2387</v>
      </c>
      <c r="R426" s="140" t="s">
        <v>2713</v>
      </c>
      <c r="S426" s="149">
        <f t="shared" si="22"/>
        <v>1.1999999999999999E-3</v>
      </c>
      <c r="T426" s="149">
        <v>0</v>
      </c>
      <c r="U426" s="157">
        <v>1.1999999999999999E-3</v>
      </c>
      <c r="V426" s="157">
        <v>1.645</v>
      </c>
      <c r="W426" s="157">
        <v>6.2080000000000002</v>
      </c>
      <c r="X426" s="149">
        <f t="shared" si="21"/>
        <v>10.212160000000001</v>
      </c>
      <c r="Y426" s="149"/>
    </row>
    <row r="427" spans="1:25" ht="16">
      <c r="A427" s="149" t="s">
        <v>12</v>
      </c>
      <c r="B427" s="150" t="s">
        <v>446</v>
      </c>
      <c r="C427" s="149" t="s">
        <v>1744</v>
      </c>
      <c r="D427" s="149" t="s">
        <v>3555</v>
      </c>
      <c r="E427" s="149" t="s">
        <v>418</v>
      </c>
      <c r="F427" s="149">
        <v>-26.284722200000001</v>
      </c>
      <c r="G427" s="149">
        <v>136.09805556000001</v>
      </c>
      <c r="H427" s="149">
        <v>201</v>
      </c>
      <c r="I427" s="151">
        <v>42816</v>
      </c>
      <c r="J427" s="149" t="s">
        <v>36</v>
      </c>
      <c r="K427" s="149" t="s">
        <v>419</v>
      </c>
      <c r="L427" s="149" t="s">
        <v>2569</v>
      </c>
      <c r="M427" s="149" t="s">
        <v>2570</v>
      </c>
      <c r="N427" s="149" t="s">
        <v>2571</v>
      </c>
      <c r="O427" s="140" t="s">
        <v>2369</v>
      </c>
      <c r="P427" s="140" t="s">
        <v>2737</v>
      </c>
      <c r="Q427" s="140" t="s">
        <v>2670</v>
      </c>
      <c r="R427" s="140" t="s">
        <v>2712</v>
      </c>
      <c r="S427" s="149">
        <f t="shared" si="22"/>
        <v>6.25E-2</v>
      </c>
      <c r="T427" s="140">
        <v>3.8671999999999998E-2</v>
      </c>
      <c r="U427" s="157">
        <v>2.3828000000000002E-2</v>
      </c>
      <c r="V427" s="157">
        <v>4.7939999999999996</v>
      </c>
      <c r="W427" s="157">
        <v>16.378</v>
      </c>
      <c r="X427" s="149">
        <f t="shared" si="21"/>
        <v>78.516131999999999</v>
      </c>
      <c r="Y427" s="149"/>
    </row>
    <row r="428" spans="1:25" ht="16">
      <c r="A428" s="149" t="s">
        <v>12</v>
      </c>
      <c r="B428" s="150" t="s">
        <v>669</v>
      </c>
      <c r="C428" s="149" t="s">
        <v>1744</v>
      </c>
      <c r="D428" s="149" t="s">
        <v>3555</v>
      </c>
      <c r="E428" s="149" t="s">
        <v>593</v>
      </c>
      <c r="F428" s="149">
        <v>-26.365555560000001</v>
      </c>
      <c r="G428" s="149">
        <v>135.79</v>
      </c>
      <c r="H428" s="149">
        <v>201</v>
      </c>
      <c r="I428" s="151">
        <v>42816</v>
      </c>
      <c r="J428" s="149" t="s">
        <v>36</v>
      </c>
      <c r="K428" s="149" t="s">
        <v>419</v>
      </c>
      <c r="L428" s="140" t="s">
        <v>2566</v>
      </c>
      <c r="M428" s="140" t="s">
        <v>2567</v>
      </c>
      <c r="N428" s="140" t="s">
        <v>2668</v>
      </c>
      <c r="O428" s="140" t="s">
        <v>2105</v>
      </c>
      <c r="P428" s="140" t="s">
        <v>2105</v>
      </c>
      <c r="Q428" s="140" t="s">
        <v>2387</v>
      </c>
      <c r="R428" s="140" t="s">
        <v>2713</v>
      </c>
      <c r="S428" s="149">
        <f t="shared" si="22"/>
        <v>1.1000000000000001E-3</v>
      </c>
      <c r="T428" s="149">
        <v>0</v>
      </c>
      <c r="U428" s="157">
        <v>1.1000000000000001E-3</v>
      </c>
      <c r="V428" s="157">
        <v>1.52</v>
      </c>
      <c r="W428" s="157">
        <v>6.3739999999999997</v>
      </c>
      <c r="X428" s="149">
        <f t="shared" si="21"/>
        <v>9.6884800000000002</v>
      </c>
      <c r="Y428" s="149"/>
    </row>
    <row r="429" spans="1:25" ht="16">
      <c r="A429" s="149" t="s">
        <v>12</v>
      </c>
      <c r="B429" s="150" t="s">
        <v>447</v>
      </c>
      <c r="C429" s="149" t="s">
        <v>1744</v>
      </c>
      <c r="D429" s="149" t="s">
        <v>3555</v>
      </c>
      <c r="E429" s="149" t="s">
        <v>418</v>
      </c>
      <c r="F429" s="149">
        <v>-26.284722200000001</v>
      </c>
      <c r="G429" s="149">
        <v>136.09805556000001</v>
      </c>
      <c r="H429" s="149">
        <v>201</v>
      </c>
      <c r="I429" s="151">
        <v>42816</v>
      </c>
      <c r="J429" s="149" t="s">
        <v>36</v>
      </c>
      <c r="K429" s="149" t="s">
        <v>419</v>
      </c>
      <c r="L429" s="140" t="s">
        <v>2566</v>
      </c>
      <c r="M429" s="140" t="s">
        <v>2574</v>
      </c>
      <c r="N429" s="140" t="s">
        <v>3191</v>
      </c>
      <c r="O429" s="149" t="s">
        <v>2111</v>
      </c>
      <c r="P429" s="149" t="s">
        <v>2739</v>
      </c>
      <c r="Q429" s="140" t="s">
        <v>2692</v>
      </c>
      <c r="R429" s="140" t="s">
        <v>2713</v>
      </c>
      <c r="S429" s="149">
        <f t="shared" si="22"/>
        <v>4.1000000000000003E-3</v>
      </c>
      <c r="T429" s="149">
        <v>0</v>
      </c>
      <c r="U429" s="157">
        <v>4.1000000000000003E-3</v>
      </c>
      <c r="V429" s="157">
        <v>2.5019999999999998</v>
      </c>
      <c r="W429" s="157">
        <v>10.731</v>
      </c>
      <c r="X429" s="149">
        <f t="shared" si="21"/>
        <v>26.848961999999997</v>
      </c>
      <c r="Y429" s="149"/>
    </row>
    <row r="430" spans="1:25" ht="16">
      <c r="A430" s="149" t="s">
        <v>12</v>
      </c>
      <c r="B430" s="150" t="s">
        <v>448</v>
      </c>
      <c r="C430" s="149" t="s">
        <v>1744</v>
      </c>
      <c r="D430" s="149" t="s">
        <v>3555</v>
      </c>
      <c r="E430" s="149" t="s">
        <v>418</v>
      </c>
      <c r="F430" s="149">
        <v>-26.284722200000001</v>
      </c>
      <c r="G430" s="149">
        <v>136.09805556000001</v>
      </c>
      <c r="H430" s="149">
        <v>201</v>
      </c>
      <c r="I430" s="151">
        <v>42816</v>
      </c>
      <c r="J430" s="149" t="s">
        <v>36</v>
      </c>
      <c r="K430" s="149" t="s">
        <v>419</v>
      </c>
      <c r="L430" s="140" t="s">
        <v>2572</v>
      </c>
      <c r="M430" s="140" t="s">
        <v>2407</v>
      </c>
      <c r="N430" s="140" t="s">
        <v>36</v>
      </c>
      <c r="O430" s="140" t="s">
        <v>2215</v>
      </c>
      <c r="P430" s="140" t="s">
        <v>2215</v>
      </c>
      <c r="Q430" s="140" t="s">
        <v>2702</v>
      </c>
      <c r="R430" s="140" t="s">
        <v>2713</v>
      </c>
      <c r="S430" s="149">
        <f t="shared" si="22"/>
        <v>5.0000000000000001E-4</v>
      </c>
      <c r="T430" s="149">
        <v>0</v>
      </c>
      <c r="U430" s="157">
        <v>5.0000000000000001E-4</v>
      </c>
      <c r="V430" s="157">
        <v>1.3660000000000001</v>
      </c>
      <c r="W430" s="157">
        <v>7.06</v>
      </c>
      <c r="X430" s="149">
        <f t="shared" si="21"/>
        <v>9.6439599999999999</v>
      </c>
      <c r="Y430" s="149"/>
    </row>
    <row r="431" spans="1:25" ht="16">
      <c r="A431" s="149" t="s">
        <v>12</v>
      </c>
      <c r="B431" s="150" t="s">
        <v>670</v>
      </c>
      <c r="C431" s="149" t="s">
        <v>1744</v>
      </c>
      <c r="D431" s="149" t="s">
        <v>3555</v>
      </c>
      <c r="E431" s="149" t="s">
        <v>593</v>
      </c>
      <c r="F431" s="149">
        <v>-26.365555560000001</v>
      </c>
      <c r="G431" s="149">
        <v>135.79</v>
      </c>
      <c r="H431" s="149">
        <v>201</v>
      </c>
      <c r="I431" s="151">
        <v>42816</v>
      </c>
      <c r="J431" s="149" t="s">
        <v>36</v>
      </c>
      <c r="K431" s="149" t="s">
        <v>419</v>
      </c>
      <c r="L431" s="140" t="s">
        <v>2572</v>
      </c>
      <c r="M431" s="140" t="s">
        <v>2407</v>
      </c>
      <c r="N431" s="140" t="s">
        <v>36</v>
      </c>
      <c r="O431" s="140" t="s">
        <v>2215</v>
      </c>
      <c r="P431" s="140" t="s">
        <v>2215</v>
      </c>
      <c r="Q431" s="140" t="s">
        <v>2702</v>
      </c>
      <c r="R431" s="140" t="s">
        <v>2713</v>
      </c>
      <c r="S431" s="149">
        <f t="shared" si="22"/>
        <v>4.0000000000000002E-4</v>
      </c>
      <c r="T431" s="149">
        <v>0</v>
      </c>
      <c r="U431" s="157">
        <v>4.0000000000000002E-4</v>
      </c>
      <c r="V431" s="157">
        <v>1.298</v>
      </c>
      <c r="W431" s="157">
        <v>6.7060000000000004</v>
      </c>
      <c r="X431" s="149">
        <f t="shared" si="21"/>
        <v>8.7043880000000016</v>
      </c>
      <c r="Y431" s="149"/>
    </row>
    <row r="432" spans="1:25" ht="16">
      <c r="A432" s="149" t="s">
        <v>12</v>
      </c>
      <c r="B432" s="150" t="s">
        <v>671</v>
      </c>
      <c r="C432" s="149" t="s">
        <v>1744</v>
      </c>
      <c r="D432" s="149" t="s">
        <v>3555</v>
      </c>
      <c r="E432" s="149" t="s">
        <v>593</v>
      </c>
      <c r="F432" s="149">
        <v>-26.365555560000001</v>
      </c>
      <c r="G432" s="149">
        <v>135.79</v>
      </c>
      <c r="H432" s="149">
        <v>201</v>
      </c>
      <c r="I432" s="151">
        <v>42816</v>
      </c>
      <c r="J432" s="149" t="s">
        <v>36</v>
      </c>
      <c r="K432" s="149" t="s">
        <v>419</v>
      </c>
      <c r="L432" s="140" t="s">
        <v>2566</v>
      </c>
      <c r="M432" s="140" t="s">
        <v>2567</v>
      </c>
      <c r="N432" s="140" t="s">
        <v>2668</v>
      </c>
      <c r="O432" s="140" t="s">
        <v>2105</v>
      </c>
      <c r="P432" s="140" t="s">
        <v>2105</v>
      </c>
      <c r="Q432" s="140" t="s">
        <v>2387</v>
      </c>
      <c r="R432" s="140" t="s">
        <v>2713</v>
      </c>
      <c r="S432" s="149">
        <f t="shared" si="22"/>
        <v>1.1999999999999999E-3</v>
      </c>
      <c r="T432" s="149">
        <v>0</v>
      </c>
      <c r="U432" s="157">
        <v>1.1999999999999999E-3</v>
      </c>
      <c r="V432" s="157">
        <v>1.3540000000000001</v>
      </c>
      <c r="W432" s="157">
        <v>6.8609999999999998</v>
      </c>
      <c r="X432" s="149">
        <f t="shared" si="21"/>
        <v>9.2897940000000006</v>
      </c>
      <c r="Y432" s="149"/>
    </row>
    <row r="433" spans="1:25" ht="16">
      <c r="A433" s="149" t="s">
        <v>12</v>
      </c>
      <c r="B433" s="150" t="s">
        <v>673</v>
      </c>
      <c r="C433" s="149" t="s">
        <v>1744</v>
      </c>
      <c r="D433" s="149" t="s">
        <v>3555</v>
      </c>
      <c r="E433" s="149" t="s">
        <v>593</v>
      </c>
      <c r="F433" s="149">
        <v>-26.365555560000001</v>
      </c>
      <c r="G433" s="149">
        <v>135.79</v>
      </c>
      <c r="H433" s="149">
        <v>201</v>
      </c>
      <c r="I433" s="151">
        <v>42816</v>
      </c>
      <c r="J433" s="149" t="s">
        <v>36</v>
      </c>
      <c r="K433" s="149" t="s">
        <v>419</v>
      </c>
      <c r="L433" s="140" t="s">
        <v>2566</v>
      </c>
      <c r="M433" s="140" t="s">
        <v>2567</v>
      </c>
      <c r="N433" s="140" t="s">
        <v>2668</v>
      </c>
      <c r="O433" s="140" t="s">
        <v>2105</v>
      </c>
      <c r="P433" s="140" t="s">
        <v>2105</v>
      </c>
      <c r="Q433" s="140" t="s">
        <v>2387</v>
      </c>
      <c r="R433" s="140" t="s">
        <v>2713</v>
      </c>
      <c r="S433" s="149">
        <f t="shared" si="22"/>
        <v>8.9999999999999998E-4</v>
      </c>
      <c r="T433" s="149">
        <v>0</v>
      </c>
      <c r="U433" s="157">
        <v>8.9999999999999998E-4</v>
      </c>
      <c r="V433" s="157">
        <v>1.575</v>
      </c>
      <c r="W433" s="157">
        <v>5.8239999999999998</v>
      </c>
      <c r="X433" s="149">
        <f t="shared" si="21"/>
        <v>9.1727999999999987</v>
      </c>
      <c r="Y433" s="149"/>
    </row>
    <row r="434" spans="1:25" ht="16">
      <c r="A434" s="149" t="s">
        <v>12</v>
      </c>
      <c r="B434" s="150" t="s">
        <v>674</v>
      </c>
      <c r="C434" s="149" t="s">
        <v>1744</v>
      </c>
      <c r="D434" s="149" t="s">
        <v>3555</v>
      </c>
      <c r="E434" s="149" t="s">
        <v>593</v>
      </c>
      <c r="F434" s="149">
        <v>-26.365555560000001</v>
      </c>
      <c r="G434" s="149">
        <v>135.79</v>
      </c>
      <c r="H434" s="149">
        <v>201</v>
      </c>
      <c r="I434" s="151">
        <v>42816</v>
      </c>
      <c r="J434" s="149" t="s">
        <v>36</v>
      </c>
      <c r="K434" s="149" t="s">
        <v>419</v>
      </c>
      <c r="L434" s="140" t="s">
        <v>2572</v>
      </c>
      <c r="M434" s="140" t="s">
        <v>2407</v>
      </c>
      <c r="N434" s="140" t="s">
        <v>36</v>
      </c>
      <c r="O434" s="140" t="s">
        <v>2215</v>
      </c>
      <c r="P434" s="140" t="s">
        <v>2215</v>
      </c>
      <c r="Q434" s="140" t="s">
        <v>2702</v>
      </c>
      <c r="R434" s="140" t="s">
        <v>2712</v>
      </c>
      <c r="S434" s="149">
        <f t="shared" si="22"/>
        <v>5.0000000000000001E-4</v>
      </c>
      <c r="T434" s="149">
        <v>0</v>
      </c>
      <c r="U434" s="157">
        <v>5.0000000000000001E-4</v>
      </c>
      <c r="V434" s="157">
        <v>1.232</v>
      </c>
      <c r="W434" s="157">
        <v>5.1879999999999997</v>
      </c>
      <c r="X434" s="149">
        <f t="shared" si="21"/>
        <v>6.391616</v>
      </c>
      <c r="Y434" s="149"/>
    </row>
    <row r="435" spans="1:25" ht="16">
      <c r="A435" s="149" t="s">
        <v>12</v>
      </c>
      <c r="B435" s="150" t="s">
        <v>675</v>
      </c>
      <c r="C435" s="149" t="s">
        <v>1744</v>
      </c>
      <c r="D435" s="149" t="s">
        <v>3555</v>
      </c>
      <c r="E435" s="149" t="s">
        <v>593</v>
      </c>
      <c r="F435" s="149">
        <v>-26.365555560000001</v>
      </c>
      <c r="G435" s="149">
        <v>135.79</v>
      </c>
      <c r="H435" s="149">
        <v>201</v>
      </c>
      <c r="I435" s="151">
        <v>42816</v>
      </c>
      <c r="J435" s="149" t="s">
        <v>36</v>
      </c>
      <c r="K435" s="149" t="s">
        <v>419</v>
      </c>
      <c r="L435" s="140" t="s">
        <v>2566</v>
      </c>
      <c r="M435" s="140" t="s">
        <v>2567</v>
      </c>
      <c r="N435" s="140" t="s">
        <v>2668</v>
      </c>
      <c r="O435" s="140" t="s">
        <v>2105</v>
      </c>
      <c r="P435" s="140" t="s">
        <v>2105</v>
      </c>
      <c r="Q435" s="140" t="s">
        <v>2387</v>
      </c>
      <c r="R435" s="140" t="s">
        <v>2713</v>
      </c>
      <c r="S435" s="149">
        <f t="shared" si="22"/>
        <v>5.9999999999999995E-4</v>
      </c>
      <c r="T435" s="149">
        <v>0</v>
      </c>
      <c r="U435" s="157">
        <v>5.9999999999999995E-4</v>
      </c>
      <c r="V435" s="157">
        <v>1.494</v>
      </c>
      <c r="W435" s="157">
        <v>6.5279999999999996</v>
      </c>
      <c r="X435" s="149">
        <f t="shared" si="21"/>
        <v>9.7528319999999997</v>
      </c>
      <c r="Y435" s="149"/>
    </row>
    <row r="436" spans="1:25" ht="16">
      <c r="A436" s="149" t="s">
        <v>12</v>
      </c>
      <c r="B436" s="150" t="s">
        <v>676</v>
      </c>
      <c r="C436" s="149" t="s">
        <v>1744</v>
      </c>
      <c r="D436" s="149" t="s">
        <v>3555</v>
      </c>
      <c r="E436" s="149" t="s">
        <v>593</v>
      </c>
      <c r="F436" s="149">
        <v>-26.365555560000001</v>
      </c>
      <c r="G436" s="149">
        <v>135.79</v>
      </c>
      <c r="H436" s="149">
        <v>201</v>
      </c>
      <c r="I436" s="151">
        <v>42816</v>
      </c>
      <c r="J436" s="149" t="s">
        <v>36</v>
      </c>
      <c r="K436" s="149" t="s">
        <v>419</v>
      </c>
      <c r="L436" s="155" t="s">
        <v>2566</v>
      </c>
      <c r="M436" s="155" t="s">
        <v>2567</v>
      </c>
      <c r="N436" s="155" t="s">
        <v>2668</v>
      </c>
      <c r="O436" s="155" t="s">
        <v>2105</v>
      </c>
      <c r="P436" s="140" t="s">
        <v>2105</v>
      </c>
      <c r="Q436" s="140" t="s">
        <v>2387</v>
      </c>
      <c r="R436" s="155" t="s">
        <v>2713</v>
      </c>
      <c r="S436" s="149">
        <f t="shared" si="22"/>
        <v>8.0000000000000004E-4</v>
      </c>
      <c r="T436" s="149">
        <v>0</v>
      </c>
      <c r="U436" s="157">
        <v>8.0000000000000004E-4</v>
      </c>
      <c r="V436" s="157">
        <v>1.607</v>
      </c>
      <c r="W436" s="157">
        <f>3.118+0.81+1.045+1.461</f>
        <v>6.4340000000000002</v>
      </c>
      <c r="X436" s="149">
        <f t="shared" si="21"/>
        <v>10.339437999999999</v>
      </c>
      <c r="Y436" s="149"/>
    </row>
    <row r="437" spans="1:25" ht="16">
      <c r="A437" s="149" t="s">
        <v>12</v>
      </c>
      <c r="B437" s="150" t="s">
        <v>677</v>
      </c>
      <c r="C437" s="149" t="s">
        <v>1744</v>
      </c>
      <c r="D437" s="149" t="s">
        <v>3555</v>
      </c>
      <c r="E437" s="149" t="s">
        <v>593</v>
      </c>
      <c r="F437" s="149">
        <v>-26.365555560000001</v>
      </c>
      <c r="G437" s="149">
        <v>135.79</v>
      </c>
      <c r="H437" s="149">
        <v>201</v>
      </c>
      <c r="I437" s="151">
        <v>42816</v>
      </c>
      <c r="J437" s="149" t="s">
        <v>36</v>
      </c>
      <c r="K437" s="149" t="s">
        <v>419</v>
      </c>
      <c r="L437" s="155" t="s">
        <v>2566</v>
      </c>
      <c r="M437" s="155" t="s">
        <v>2567</v>
      </c>
      <c r="N437" s="155" t="s">
        <v>2668</v>
      </c>
      <c r="O437" s="155" t="s">
        <v>2105</v>
      </c>
      <c r="P437" s="140" t="s">
        <v>2105</v>
      </c>
      <c r="Q437" s="140" t="s">
        <v>2387</v>
      </c>
      <c r="R437" s="155" t="s">
        <v>2712</v>
      </c>
      <c r="S437" s="149">
        <f t="shared" si="22"/>
        <v>2.9999999999999997E-4</v>
      </c>
      <c r="T437" s="149">
        <v>0</v>
      </c>
      <c r="U437" s="157">
        <v>2.9999999999999997E-4</v>
      </c>
      <c r="V437" s="157">
        <v>1.319</v>
      </c>
      <c r="W437" s="157">
        <f>2.677+0.553+0.998+0.953+0.525</f>
        <v>5.7060000000000004</v>
      </c>
      <c r="X437" s="149">
        <f t="shared" si="21"/>
        <v>7.5262140000000004</v>
      </c>
      <c r="Y437" s="149"/>
    </row>
    <row r="438" spans="1:25" ht="16">
      <c r="A438" s="149" t="s">
        <v>12</v>
      </c>
      <c r="B438" s="150" t="s">
        <v>678</v>
      </c>
      <c r="C438" s="149" t="s">
        <v>1744</v>
      </c>
      <c r="D438" s="149" t="s">
        <v>3555</v>
      </c>
      <c r="E438" s="149" t="s">
        <v>593</v>
      </c>
      <c r="F438" s="149">
        <v>-26.365555560000001</v>
      </c>
      <c r="G438" s="149">
        <v>135.79</v>
      </c>
      <c r="H438" s="149">
        <v>201</v>
      </c>
      <c r="I438" s="151">
        <v>42816</v>
      </c>
      <c r="J438" s="149" t="s">
        <v>36</v>
      </c>
      <c r="K438" s="149" t="s">
        <v>419</v>
      </c>
      <c r="L438" s="155" t="s">
        <v>2566</v>
      </c>
      <c r="M438" s="155" t="s">
        <v>2567</v>
      </c>
      <c r="N438" s="155" t="s">
        <v>2668</v>
      </c>
      <c r="O438" s="155" t="s">
        <v>2105</v>
      </c>
      <c r="P438" s="140" t="s">
        <v>2105</v>
      </c>
      <c r="Q438" s="140" t="s">
        <v>2387</v>
      </c>
      <c r="R438" s="155" t="s">
        <v>2713</v>
      </c>
      <c r="S438" s="149">
        <f t="shared" si="22"/>
        <v>1.2999999999999999E-3</v>
      </c>
      <c r="T438" s="149">
        <v>0</v>
      </c>
      <c r="U438" s="157">
        <v>1.2999999999999999E-3</v>
      </c>
      <c r="V438" s="159">
        <v>1.77</v>
      </c>
      <c r="W438" s="157">
        <f>3.255+1.542+2.285</f>
        <v>7.0819999999999999</v>
      </c>
      <c r="X438" s="149">
        <f t="shared" si="21"/>
        <v>12.53514</v>
      </c>
      <c r="Y438" s="149"/>
    </row>
    <row r="439" spans="1:25" ht="16">
      <c r="A439" s="149" t="s">
        <v>12</v>
      </c>
      <c r="B439" s="150" t="s">
        <v>679</v>
      </c>
      <c r="C439" s="149" t="s">
        <v>1744</v>
      </c>
      <c r="D439" s="149" t="s">
        <v>3555</v>
      </c>
      <c r="E439" s="149" t="s">
        <v>593</v>
      </c>
      <c r="F439" s="149">
        <v>-26.365555560000001</v>
      </c>
      <c r="G439" s="149">
        <v>135.79</v>
      </c>
      <c r="H439" s="149">
        <v>201</v>
      </c>
      <c r="I439" s="151">
        <v>42816</v>
      </c>
      <c r="J439" s="149" t="s">
        <v>36</v>
      </c>
      <c r="K439" s="149" t="s">
        <v>419</v>
      </c>
      <c r="L439" s="155" t="s">
        <v>2566</v>
      </c>
      <c r="M439" s="155" t="s">
        <v>2567</v>
      </c>
      <c r="N439" s="155" t="s">
        <v>2668</v>
      </c>
      <c r="O439" s="155" t="s">
        <v>2105</v>
      </c>
      <c r="P439" s="140" t="s">
        <v>2105</v>
      </c>
      <c r="Q439" s="140" t="s">
        <v>2387</v>
      </c>
      <c r="R439" s="155" t="s">
        <v>2713</v>
      </c>
      <c r="S439" s="149">
        <f t="shared" si="22"/>
        <v>8.0000000000000004E-4</v>
      </c>
      <c r="T439" s="149">
        <v>0</v>
      </c>
      <c r="U439" s="157">
        <v>8.0000000000000004E-4</v>
      </c>
      <c r="V439" s="157">
        <v>1.6</v>
      </c>
      <c r="W439" s="157">
        <f>3.141+1.95+1.31</f>
        <v>6.4009999999999998</v>
      </c>
      <c r="X439" s="149">
        <f t="shared" si="21"/>
        <v>10.2416</v>
      </c>
      <c r="Y439" s="149"/>
    </row>
    <row r="440" spans="1:25" ht="16">
      <c r="A440" s="149" t="s">
        <v>12</v>
      </c>
      <c r="B440" s="150" t="s">
        <v>449</v>
      </c>
      <c r="C440" s="149" t="s">
        <v>1744</v>
      </c>
      <c r="D440" s="149" t="s">
        <v>3555</v>
      </c>
      <c r="E440" s="149" t="s">
        <v>418</v>
      </c>
      <c r="F440" s="149">
        <v>-26.284722200000001</v>
      </c>
      <c r="G440" s="149">
        <v>136.09805556000001</v>
      </c>
      <c r="H440" s="149">
        <v>201</v>
      </c>
      <c r="I440" s="151">
        <v>42816</v>
      </c>
      <c r="J440" s="149" t="s">
        <v>36</v>
      </c>
      <c r="K440" s="149" t="s">
        <v>419</v>
      </c>
      <c r="L440" s="140" t="s">
        <v>2566</v>
      </c>
      <c r="M440" s="140" t="s">
        <v>2574</v>
      </c>
      <c r="N440" s="140" t="s">
        <v>3191</v>
      </c>
      <c r="O440" s="149" t="s">
        <v>2111</v>
      </c>
      <c r="P440" s="149" t="s">
        <v>2739</v>
      </c>
      <c r="Q440" s="140" t="s">
        <v>2692</v>
      </c>
      <c r="R440" s="140" t="s">
        <v>2713</v>
      </c>
      <c r="S440" s="149">
        <f t="shared" si="22"/>
        <v>2.3E-3</v>
      </c>
      <c r="T440" s="149">
        <v>0</v>
      </c>
      <c r="U440" s="157">
        <v>2.3E-3</v>
      </c>
      <c r="V440" s="157">
        <v>2.052</v>
      </c>
      <c r="W440" s="157">
        <v>8.4420000000000002</v>
      </c>
      <c r="X440" s="149">
        <f t="shared" si="21"/>
        <v>17.322984000000002</v>
      </c>
      <c r="Y440" s="149"/>
    </row>
    <row r="441" spans="1:25" ht="16">
      <c r="A441" s="149" t="s">
        <v>12</v>
      </c>
      <c r="B441" s="150" t="s">
        <v>680</v>
      </c>
      <c r="C441" s="149" t="s">
        <v>1744</v>
      </c>
      <c r="D441" s="149" t="s">
        <v>3555</v>
      </c>
      <c r="E441" s="149" t="s">
        <v>593</v>
      </c>
      <c r="F441" s="149">
        <v>-26.365555560000001</v>
      </c>
      <c r="G441" s="149">
        <v>135.79</v>
      </c>
      <c r="H441" s="149">
        <v>201</v>
      </c>
      <c r="I441" s="151">
        <v>42816</v>
      </c>
      <c r="J441" s="149" t="s">
        <v>36</v>
      </c>
      <c r="K441" s="149" t="s">
        <v>419</v>
      </c>
      <c r="L441" s="155" t="s">
        <v>2566</v>
      </c>
      <c r="M441" s="155" t="s">
        <v>2567</v>
      </c>
      <c r="N441" s="155" t="s">
        <v>2668</v>
      </c>
      <c r="O441" s="155" t="s">
        <v>2105</v>
      </c>
      <c r="P441" s="140" t="s">
        <v>2105</v>
      </c>
      <c r="Q441" s="140" t="s">
        <v>2387</v>
      </c>
      <c r="R441" s="155" t="s">
        <v>2713</v>
      </c>
      <c r="S441" s="149">
        <f t="shared" si="22"/>
        <v>8.0000000000000004E-4</v>
      </c>
      <c r="T441" s="149">
        <v>0</v>
      </c>
      <c r="U441" s="157">
        <v>8.0000000000000004E-4</v>
      </c>
      <c r="V441" s="157">
        <f>0.84*2</f>
        <v>1.68</v>
      </c>
      <c r="W441" s="157">
        <f>3.023+0.74+0.937+1.647</f>
        <v>6.3470000000000004</v>
      </c>
      <c r="X441" s="149">
        <f t="shared" si="21"/>
        <v>10.66296</v>
      </c>
      <c r="Y441" s="149"/>
    </row>
    <row r="442" spans="1:25" ht="16">
      <c r="A442" s="149" t="s">
        <v>12</v>
      </c>
      <c r="B442" s="150" t="s">
        <v>681</v>
      </c>
      <c r="C442" s="149" t="s">
        <v>1744</v>
      </c>
      <c r="D442" s="149" t="s">
        <v>3555</v>
      </c>
      <c r="E442" s="149" t="s">
        <v>593</v>
      </c>
      <c r="F442" s="149">
        <v>-26.365555560000001</v>
      </c>
      <c r="G442" s="149">
        <v>135.79</v>
      </c>
      <c r="H442" s="149">
        <v>201</v>
      </c>
      <c r="I442" s="151">
        <v>42816</v>
      </c>
      <c r="J442" s="149" t="s">
        <v>36</v>
      </c>
      <c r="K442" s="149" t="s">
        <v>419</v>
      </c>
      <c r="L442" s="155" t="s">
        <v>2566</v>
      </c>
      <c r="M442" s="155" t="s">
        <v>2567</v>
      </c>
      <c r="N442" s="155" t="s">
        <v>2668</v>
      </c>
      <c r="O442" s="155" t="s">
        <v>2105</v>
      </c>
      <c r="P442" s="140" t="s">
        <v>2105</v>
      </c>
      <c r="Q442" s="140" t="s">
        <v>2387</v>
      </c>
      <c r="R442" s="155" t="s">
        <v>2712</v>
      </c>
      <c r="S442" s="149">
        <f t="shared" si="22"/>
        <v>4.0000000000000002E-4</v>
      </c>
      <c r="T442" s="149">
        <v>0</v>
      </c>
      <c r="U442" s="157">
        <v>4.0000000000000002E-4</v>
      </c>
      <c r="V442" s="157">
        <v>1.2470000000000001</v>
      </c>
      <c r="W442" s="157">
        <f>2.684+0.59+1.867</f>
        <v>5.141</v>
      </c>
      <c r="X442" s="149">
        <f t="shared" si="21"/>
        <v>6.4108270000000003</v>
      </c>
      <c r="Y442" s="149"/>
    </row>
    <row r="443" spans="1:25" ht="16">
      <c r="A443" s="149" t="s">
        <v>12</v>
      </c>
      <c r="B443" s="150" t="s">
        <v>682</v>
      </c>
      <c r="C443" s="149" t="s">
        <v>1744</v>
      </c>
      <c r="D443" s="149" t="s">
        <v>3555</v>
      </c>
      <c r="E443" s="149" t="s">
        <v>593</v>
      </c>
      <c r="F443" s="149">
        <v>-26.365555560000001</v>
      </c>
      <c r="G443" s="149">
        <v>135.79</v>
      </c>
      <c r="H443" s="149">
        <v>201</v>
      </c>
      <c r="I443" s="151">
        <v>42816</v>
      </c>
      <c r="J443" s="149" t="s">
        <v>36</v>
      </c>
      <c r="K443" s="149" t="s">
        <v>419</v>
      </c>
      <c r="L443" s="155" t="s">
        <v>2566</v>
      </c>
      <c r="M443" s="155" t="s">
        <v>2567</v>
      </c>
      <c r="N443" s="155" t="s">
        <v>2668</v>
      </c>
      <c r="O443" s="155" t="s">
        <v>2105</v>
      </c>
      <c r="P443" s="140" t="s">
        <v>2105</v>
      </c>
      <c r="Q443" s="140" t="s">
        <v>2387</v>
      </c>
      <c r="R443" s="155" t="s">
        <v>2713</v>
      </c>
      <c r="S443" s="149">
        <f t="shared" si="22"/>
        <v>5.0000000000000001E-4</v>
      </c>
      <c r="T443" s="140">
        <v>0</v>
      </c>
      <c r="U443" s="157">
        <v>5.0000000000000001E-4</v>
      </c>
      <c r="V443" s="157">
        <v>1.4930000000000001</v>
      </c>
      <c r="W443" s="157">
        <f>2.779+0.75+1.026+1.323</f>
        <v>5.8780000000000001</v>
      </c>
      <c r="X443" s="149">
        <f t="shared" si="21"/>
        <v>8.7758540000000007</v>
      </c>
      <c r="Y443" s="149"/>
    </row>
    <row r="444" spans="1:25" ht="16">
      <c r="A444" s="149" t="s">
        <v>12</v>
      </c>
      <c r="B444" s="150" t="s">
        <v>683</v>
      </c>
      <c r="C444" s="149" t="s">
        <v>1744</v>
      </c>
      <c r="D444" s="149" t="s">
        <v>3555</v>
      </c>
      <c r="E444" s="149" t="s">
        <v>593</v>
      </c>
      <c r="F444" s="149">
        <v>-26.365555560000001</v>
      </c>
      <c r="G444" s="149">
        <v>135.79</v>
      </c>
      <c r="H444" s="149">
        <v>201</v>
      </c>
      <c r="I444" s="151">
        <v>42816</v>
      </c>
      <c r="J444" s="149" t="s">
        <v>36</v>
      </c>
      <c r="K444" s="149" t="s">
        <v>419</v>
      </c>
      <c r="L444" s="155" t="s">
        <v>2566</v>
      </c>
      <c r="M444" s="155" t="s">
        <v>2567</v>
      </c>
      <c r="N444" s="155" t="s">
        <v>2668</v>
      </c>
      <c r="O444" s="155" t="s">
        <v>2105</v>
      </c>
      <c r="P444" s="140" t="s">
        <v>2105</v>
      </c>
      <c r="Q444" s="140" t="s">
        <v>2387</v>
      </c>
      <c r="R444" s="155" t="s">
        <v>2713</v>
      </c>
      <c r="S444" s="149">
        <f t="shared" si="22"/>
        <v>5.9999999999999995E-4</v>
      </c>
      <c r="T444" s="140">
        <v>0</v>
      </c>
      <c r="U444" s="157">
        <v>5.9999999999999995E-4</v>
      </c>
      <c r="V444" s="157">
        <v>1.444</v>
      </c>
      <c r="W444" s="157">
        <f>2.931+1.433+0.635+0.609</f>
        <v>5.6079999999999997</v>
      </c>
      <c r="X444" s="149">
        <f t="shared" si="21"/>
        <v>8.0979519999999994</v>
      </c>
      <c r="Y444" s="149"/>
    </row>
    <row r="445" spans="1:25" ht="16">
      <c r="A445" s="149" t="s">
        <v>12</v>
      </c>
      <c r="B445" s="150" t="s">
        <v>685</v>
      </c>
      <c r="C445" s="149" t="s">
        <v>1744</v>
      </c>
      <c r="D445" s="149" t="s">
        <v>3555</v>
      </c>
      <c r="E445" s="149" t="s">
        <v>593</v>
      </c>
      <c r="F445" s="149">
        <v>-26.365555560000001</v>
      </c>
      <c r="G445" s="149">
        <v>135.79</v>
      </c>
      <c r="H445" s="149">
        <v>201</v>
      </c>
      <c r="I445" s="151">
        <v>42816</v>
      </c>
      <c r="J445" s="149" t="s">
        <v>36</v>
      </c>
      <c r="K445" s="149" t="s">
        <v>419</v>
      </c>
      <c r="L445" s="155" t="s">
        <v>2566</v>
      </c>
      <c r="M445" s="155" t="s">
        <v>2567</v>
      </c>
      <c r="N445" s="155" t="s">
        <v>2668</v>
      </c>
      <c r="O445" s="155" t="s">
        <v>2105</v>
      </c>
      <c r="P445" s="140" t="s">
        <v>2105</v>
      </c>
      <c r="Q445" s="140" t="s">
        <v>2387</v>
      </c>
      <c r="R445" s="155" t="s">
        <v>2713</v>
      </c>
      <c r="S445" s="149">
        <f t="shared" si="22"/>
        <v>5.9999999999999995E-4</v>
      </c>
      <c r="T445" s="140">
        <v>0</v>
      </c>
      <c r="U445" s="157">
        <v>5.9999999999999995E-4</v>
      </c>
      <c r="V445" s="157">
        <v>1.4139999999999999</v>
      </c>
      <c r="W445" s="157">
        <f>3.024+1.229+1.903</f>
        <v>6.1560000000000006</v>
      </c>
      <c r="X445" s="149">
        <f t="shared" si="21"/>
        <v>8.7045840000000005</v>
      </c>
      <c r="Y445" s="149"/>
    </row>
    <row r="446" spans="1:25" ht="16">
      <c r="A446" s="149" t="s">
        <v>12</v>
      </c>
      <c r="B446" s="150" t="s">
        <v>686</v>
      </c>
      <c r="C446" s="149" t="s">
        <v>1744</v>
      </c>
      <c r="D446" s="149" t="s">
        <v>3555</v>
      </c>
      <c r="E446" s="149" t="s">
        <v>593</v>
      </c>
      <c r="F446" s="149">
        <v>-26.365555560000001</v>
      </c>
      <c r="G446" s="149">
        <v>135.79</v>
      </c>
      <c r="H446" s="149">
        <v>201</v>
      </c>
      <c r="I446" s="151">
        <v>42816</v>
      </c>
      <c r="J446" s="149" t="s">
        <v>36</v>
      </c>
      <c r="K446" s="149" t="s">
        <v>419</v>
      </c>
      <c r="L446" s="155" t="s">
        <v>2566</v>
      </c>
      <c r="M446" s="155" t="s">
        <v>2567</v>
      </c>
      <c r="N446" s="155" t="s">
        <v>2668</v>
      </c>
      <c r="O446" s="140" t="s">
        <v>2600</v>
      </c>
      <c r="P446" s="149" t="s">
        <v>2735</v>
      </c>
      <c r="Q446" s="140" t="s">
        <v>2774</v>
      </c>
      <c r="R446" s="158" t="s">
        <v>2713</v>
      </c>
      <c r="S446" s="149">
        <f t="shared" si="22"/>
        <v>6.9999999999999999E-4</v>
      </c>
      <c r="T446" s="140">
        <v>0</v>
      </c>
      <c r="U446" s="157">
        <v>6.9999999999999999E-4</v>
      </c>
      <c r="V446" s="157">
        <v>1.514</v>
      </c>
      <c r="W446" s="157">
        <f>2.855+1.237+1.996</f>
        <v>6.088000000000001</v>
      </c>
      <c r="X446" s="149">
        <f t="shared" si="21"/>
        <v>9.217232000000001</v>
      </c>
      <c r="Y446" s="149"/>
    </row>
    <row r="447" spans="1:25" ht="16">
      <c r="A447" s="149" t="s">
        <v>12</v>
      </c>
      <c r="B447" s="150" t="s">
        <v>687</v>
      </c>
      <c r="C447" s="149" t="s">
        <v>1744</v>
      </c>
      <c r="D447" s="149" t="s">
        <v>3555</v>
      </c>
      <c r="E447" s="149" t="s">
        <v>593</v>
      </c>
      <c r="F447" s="149">
        <v>-26.365555560000001</v>
      </c>
      <c r="G447" s="149">
        <v>135.79</v>
      </c>
      <c r="H447" s="149">
        <v>201</v>
      </c>
      <c r="I447" s="151">
        <v>42816</v>
      </c>
      <c r="J447" s="149" t="s">
        <v>36</v>
      </c>
      <c r="K447" s="149" t="s">
        <v>419</v>
      </c>
      <c r="L447" s="155" t="s">
        <v>2566</v>
      </c>
      <c r="M447" s="155" t="s">
        <v>2567</v>
      </c>
      <c r="N447" s="155" t="s">
        <v>2668</v>
      </c>
      <c r="O447" s="155" t="s">
        <v>2105</v>
      </c>
      <c r="P447" s="140" t="s">
        <v>2105</v>
      </c>
      <c r="Q447" s="140" t="s">
        <v>2387</v>
      </c>
      <c r="R447" s="155" t="s">
        <v>2713</v>
      </c>
      <c r="S447" s="149">
        <f t="shared" si="22"/>
        <v>1E-3</v>
      </c>
      <c r="T447" s="140">
        <v>0</v>
      </c>
      <c r="U447" s="157">
        <v>1E-3</v>
      </c>
      <c r="V447" s="157">
        <v>1.6259999999999999</v>
      </c>
      <c r="W447" s="157">
        <f>3.224+1.003+0.904+0.927</f>
        <v>6.0579999999999998</v>
      </c>
      <c r="X447" s="149">
        <f t="shared" si="21"/>
        <v>9.8503079999999983</v>
      </c>
      <c r="Y447" s="149"/>
    </row>
    <row r="448" spans="1:25" ht="16">
      <c r="A448" s="149" t="s">
        <v>12</v>
      </c>
      <c r="B448" s="150" t="s">
        <v>688</v>
      </c>
      <c r="C448" s="149" t="s">
        <v>1744</v>
      </c>
      <c r="D448" s="149" t="s">
        <v>3555</v>
      </c>
      <c r="E448" s="149" t="s">
        <v>593</v>
      </c>
      <c r="F448" s="149">
        <v>-26.365555560000001</v>
      </c>
      <c r="G448" s="149">
        <v>135.79</v>
      </c>
      <c r="H448" s="149">
        <v>201</v>
      </c>
      <c r="I448" s="151">
        <v>42816</v>
      </c>
      <c r="J448" s="149" t="s">
        <v>36</v>
      </c>
      <c r="K448" s="149" t="s">
        <v>419</v>
      </c>
      <c r="L448" s="155" t="s">
        <v>2566</v>
      </c>
      <c r="M448" s="155" t="s">
        <v>2567</v>
      </c>
      <c r="N448" s="155" t="s">
        <v>2668</v>
      </c>
      <c r="O448" s="155" t="s">
        <v>2105</v>
      </c>
      <c r="P448" s="140" t="s">
        <v>2105</v>
      </c>
      <c r="Q448" s="140" t="s">
        <v>2387</v>
      </c>
      <c r="R448" s="155" t="s">
        <v>2713</v>
      </c>
      <c r="S448" s="149">
        <f t="shared" si="22"/>
        <v>6.9999999999999999E-4</v>
      </c>
      <c r="T448" s="140">
        <v>0</v>
      </c>
      <c r="U448" s="157">
        <v>6.9999999999999999E-4</v>
      </c>
      <c r="V448" s="157">
        <v>1.583</v>
      </c>
      <c r="W448" s="157">
        <f>3.032+1.162+0.636+0.871</f>
        <v>5.7010000000000005</v>
      </c>
      <c r="X448" s="149">
        <f t="shared" ref="X448:X511" si="23">V448*W448</f>
        <v>9.0246830000000013</v>
      </c>
      <c r="Y448" s="149"/>
    </row>
    <row r="449" spans="1:25" ht="16">
      <c r="A449" s="149" t="s">
        <v>12</v>
      </c>
      <c r="B449" s="150" t="s">
        <v>689</v>
      </c>
      <c r="C449" s="149" t="s">
        <v>1744</v>
      </c>
      <c r="D449" s="149" t="s">
        <v>3555</v>
      </c>
      <c r="E449" s="149" t="s">
        <v>593</v>
      </c>
      <c r="F449" s="149">
        <v>-26.365555560000001</v>
      </c>
      <c r="G449" s="149">
        <v>135.79</v>
      </c>
      <c r="H449" s="149">
        <v>201</v>
      </c>
      <c r="I449" s="151">
        <v>42816</v>
      </c>
      <c r="J449" s="149" t="s">
        <v>36</v>
      </c>
      <c r="K449" s="149" t="s">
        <v>419</v>
      </c>
      <c r="L449" s="155" t="s">
        <v>2566</v>
      </c>
      <c r="M449" s="155" t="s">
        <v>2567</v>
      </c>
      <c r="N449" s="155" t="s">
        <v>2668</v>
      </c>
      <c r="O449" s="155" t="s">
        <v>2105</v>
      </c>
      <c r="P449" s="140" t="s">
        <v>2105</v>
      </c>
      <c r="Q449" s="140" t="s">
        <v>2387</v>
      </c>
      <c r="R449" s="155" t="s">
        <v>2713</v>
      </c>
      <c r="S449" s="149">
        <f t="shared" si="22"/>
        <v>1E-3</v>
      </c>
      <c r="T449" s="140">
        <v>0</v>
      </c>
      <c r="U449" s="157">
        <v>1E-3</v>
      </c>
      <c r="V449" s="157">
        <v>1.57</v>
      </c>
      <c r="W449" s="157">
        <f>3.081+1.266+1.723+1.314</f>
        <v>7.3839999999999995</v>
      </c>
      <c r="X449" s="149">
        <f t="shared" si="23"/>
        <v>11.592879999999999</v>
      </c>
      <c r="Y449" s="149"/>
    </row>
    <row r="450" spans="1:25" ht="16">
      <c r="A450" s="149" t="s">
        <v>12</v>
      </c>
      <c r="B450" s="150" t="s">
        <v>690</v>
      </c>
      <c r="C450" s="149" t="s">
        <v>1744</v>
      </c>
      <c r="D450" s="149" t="s">
        <v>3555</v>
      </c>
      <c r="E450" s="149" t="s">
        <v>593</v>
      </c>
      <c r="F450" s="149">
        <v>-26.365555560000001</v>
      </c>
      <c r="G450" s="149">
        <v>135.79</v>
      </c>
      <c r="H450" s="149">
        <v>201</v>
      </c>
      <c r="I450" s="151">
        <v>42816</v>
      </c>
      <c r="J450" s="149" t="s">
        <v>36</v>
      </c>
      <c r="K450" s="149" t="s">
        <v>419</v>
      </c>
      <c r="L450" s="155" t="s">
        <v>2566</v>
      </c>
      <c r="M450" s="155" t="s">
        <v>2567</v>
      </c>
      <c r="N450" s="155" t="s">
        <v>2668</v>
      </c>
      <c r="O450" s="155" t="s">
        <v>2105</v>
      </c>
      <c r="P450" s="140" t="s">
        <v>2105</v>
      </c>
      <c r="Q450" s="140" t="s">
        <v>2387</v>
      </c>
      <c r="R450" s="155" t="s">
        <v>2713</v>
      </c>
      <c r="S450" s="149">
        <f t="shared" si="22"/>
        <v>1E-3</v>
      </c>
      <c r="T450" s="140">
        <v>0</v>
      </c>
      <c r="U450" s="157">
        <v>1E-3</v>
      </c>
      <c r="V450" s="157">
        <v>1.645</v>
      </c>
      <c r="W450" s="157">
        <f>2.536+1.077+2.991</f>
        <v>6.6040000000000001</v>
      </c>
      <c r="X450" s="149">
        <f t="shared" si="23"/>
        <v>10.863580000000001</v>
      </c>
      <c r="Y450" s="149"/>
    </row>
    <row r="451" spans="1:25" ht="16">
      <c r="A451" s="149" t="s">
        <v>12</v>
      </c>
      <c r="B451" s="150" t="s">
        <v>691</v>
      </c>
      <c r="C451" s="149" t="s">
        <v>1744</v>
      </c>
      <c r="D451" s="149" t="s">
        <v>3555</v>
      </c>
      <c r="E451" s="149" t="s">
        <v>593</v>
      </c>
      <c r="F451" s="149">
        <v>-26.365555560000001</v>
      </c>
      <c r="G451" s="149">
        <v>135.79</v>
      </c>
      <c r="H451" s="149">
        <v>201</v>
      </c>
      <c r="I451" s="151">
        <v>42816</v>
      </c>
      <c r="J451" s="149" t="s">
        <v>36</v>
      </c>
      <c r="K451" s="149" t="s">
        <v>419</v>
      </c>
      <c r="L451" s="155" t="s">
        <v>2566</v>
      </c>
      <c r="M451" s="155" t="s">
        <v>2567</v>
      </c>
      <c r="N451" s="155" t="s">
        <v>2668</v>
      </c>
      <c r="O451" s="155" t="s">
        <v>2105</v>
      </c>
      <c r="P451" s="140" t="s">
        <v>2105</v>
      </c>
      <c r="Q451" s="140" t="s">
        <v>2387</v>
      </c>
      <c r="R451" s="155" t="s">
        <v>2712</v>
      </c>
      <c r="S451" s="149">
        <f t="shared" si="22"/>
        <v>2.9999999999999997E-4</v>
      </c>
      <c r="T451" s="149">
        <v>0</v>
      </c>
      <c r="U451" s="157">
        <v>2.9999999999999997E-4</v>
      </c>
      <c r="V451" s="157">
        <v>1.21</v>
      </c>
      <c r="W451" s="157">
        <f>2.48+0.562+1.322+0.637</f>
        <v>5.0009999999999994</v>
      </c>
      <c r="X451" s="149">
        <f t="shared" si="23"/>
        <v>6.0512099999999993</v>
      </c>
      <c r="Y451" s="149"/>
    </row>
    <row r="452" spans="1:25" ht="16">
      <c r="A452" s="149" t="s">
        <v>12</v>
      </c>
      <c r="B452" s="150" t="s">
        <v>692</v>
      </c>
      <c r="C452" s="149" t="s">
        <v>1744</v>
      </c>
      <c r="D452" s="149" t="s">
        <v>3555</v>
      </c>
      <c r="E452" s="149" t="s">
        <v>593</v>
      </c>
      <c r="F452" s="149">
        <v>-26.365555560000001</v>
      </c>
      <c r="G452" s="149">
        <v>135.79</v>
      </c>
      <c r="H452" s="149">
        <v>201</v>
      </c>
      <c r="I452" s="151">
        <v>42816</v>
      </c>
      <c r="J452" s="149" t="s">
        <v>36</v>
      </c>
      <c r="K452" s="149" t="s">
        <v>419</v>
      </c>
      <c r="L452" s="155" t="s">
        <v>2566</v>
      </c>
      <c r="M452" s="155" t="s">
        <v>2567</v>
      </c>
      <c r="N452" s="155" t="s">
        <v>2668</v>
      </c>
      <c r="O452" s="140" t="s">
        <v>2600</v>
      </c>
      <c r="P452" s="149" t="s">
        <v>2735</v>
      </c>
      <c r="Q452" s="140" t="s">
        <v>2709</v>
      </c>
      <c r="R452" s="155" t="s">
        <v>2712</v>
      </c>
      <c r="S452" s="149">
        <f t="shared" si="22"/>
        <v>5.9999999999999995E-4</v>
      </c>
      <c r="T452" s="149">
        <v>0</v>
      </c>
      <c r="U452" s="157">
        <v>5.9999999999999995E-4</v>
      </c>
      <c r="V452" s="157">
        <v>1.3280000000000001</v>
      </c>
      <c r="W452" s="157">
        <f>1.672+1.403+2.893</f>
        <v>5.968</v>
      </c>
      <c r="X452" s="149">
        <f t="shared" si="23"/>
        <v>7.9255040000000001</v>
      </c>
      <c r="Y452" s="149"/>
    </row>
    <row r="453" spans="1:25" ht="16">
      <c r="A453" s="149" t="s">
        <v>12</v>
      </c>
      <c r="B453" s="150" t="s">
        <v>693</v>
      </c>
      <c r="C453" s="149" t="s">
        <v>1744</v>
      </c>
      <c r="D453" s="149" t="s">
        <v>3555</v>
      </c>
      <c r="E453" s="149" t="s">
        <v>593</v>
      </c>
      <c r="F453" s="149">
        <v>-26.365555560000001</v>
      </c>
      <c r="G453" s="149">
        <v>135.79</v>
      </c>
      <c r="H453" s="149">
        <v>201</v>
      </c>
      <c r="I453" s="151">
        <v>42816</v>
      </c>
      <c r="J453" s="149" t="s">
        <v>36</v>
      </c>
      <c r="K453" s="149" t="s">
        <v>419</v>
      </c>
      <c r="L453" s="155" t="s">
        <v>2566</v>
      </c>
      <c r="M453" s="155" t="s">
        <v>2567</v>
      </c>
      <c r="N453" s="155" t="s">
        <v>2668</v>
      </c>
      <c r="O453" s="155" t="s">
        <v>2105</v>
      </c>
      <c r="P453" s="140" t="s">
        <v>2105</v>
      </c>
      <c r="Q453" s="140" t="s">
        <v>2387</v>
      </c>
      <c r="R453" s="155" t="s">
        <v>2713</v>
      </c>
      <c r="S453" s="149">
        <f t="shared" si="22"/>
        <v>1E-3</v>
      </c>
      <c r="T453" s="149">
        <v>0</v>
      </c>
      <c r="U453" s="157">
        <v>1E-3</v>
      </c>
      <c r="V453" s="157">
        <v>1.6859999999999999</v>
      </c>
      <c r="W453" s="157">
        <f>3.212+1.108+2.719</f>
        <v>7.0389999999999997</v>
      </c>
      <c r="X453" s="149">
        <f t="shared" si="23"/>
        <v>11.867754</v>
      </c>
      <c r="Y453" s="149"/>
    </row>
    <row r="454" spans="1:25" ht="16">
      <c r="A454" s="149" t="s">
        <v>12</v>
      </c>
      <c r="B454" s="150" t="s">
        <v>694</v>
      </c>
      <c r="C454" s="149" t="s">
        <v>1744</v>
      </c>
      <c r="D454" s="149" t="s">
        <v>3555</v>
      </c>
      <c r="E454" s="149" t="s">
        <v>593</v>
      </c>
      <c r="F454" s="149">
        <v>-26.365555560000001</v>
      </c>
      <c r="G454" s="149">
        <v>135.79</v>
      </c>
      <c r="H454" s="149">
        <v>201</v>
      </c>
      <c r="I454" s="151">
        <v>42816</v>
      </c>
      <c r="J454" s="149" t="s">
        <v>36</v>
      </c>
      <c r="K454" s="149" t="s">
        <v>419</v>
      </c>
      <c r="L454" s="155" t="s">
        <v>2566</v>
      </c>
      <c r="M454" s="155" t="s">
        <v>2567</v>
      </c>
      <c r="N454" s="155" t="s">
        <v>2668</v>
      </c>
      <c r="O454" s="155" t="s">
        <v>2105</v>
      </c>
      <c r="P454" s="140" t="s">
        <v>2105</v>
      </c>
      <c r="Q454" s="140" t="s">
        <v>2387</v>
      </c>
      <c r="R454" s="155" t="s">
        <v>2713</v>
      </c>
      <c r="S454" s="149">
        <f t="shared" si="22"/>
        <v>5.9999999999999995E-4</v>
      </c>
      <c r="T454" s="149">
        <v>0</v>
      </c>
      <c r="U454" s="157">
        <v>5.9999999999999995E-4</v>
      </c>
      <c r="V454" s="157">
        <v>1.4490000000000001</v>
      </c>
      <c r="W454" s="157">
        <f>3.666+2.668</f>
        <v>6.3339999999999996</v>
      </c>
      <c r="X454" s="149">
        <f t="shared" si="23"/>
        <v>9.1779659999999996</v>
      </c>
      <c r="Y454" s="149"/>
    </row>
    <row r="455" spans="1:25" ht="16">
      <c r="A455" s="149" t="s">
        <v>12</v>
      </c>
      <c r="B455" s="150" t="s">
        <v>695</v>
      </c>
      <c r="C455" s="149" t="s">
        <v>1744</v>
      </c>
      <c r="D455" s="149" t="s">
        <v>3555</v>
      </c>
      <c r="E455" s="149" t="s">
        <v>593</v>
      </c>
      <c r="F455" s="149">
        <v>-26.365555560000001</v>
      </c>
      <c r="G455" s="149">
        <v>135.79</v>
      </c>
      <c r="H455" s="149">
        <v>201</v>
      </c>
      <c r="I455" s="151">
        <v>42816</v>
      </c>
      <c r="J455" s="149" t="s">
        <v>36</v>
      </c>
      <c r="K455" s="149" t="s">
        <v>419</v>
      </c>
      <c r="L455" s="155" t="s">
        <v>2566</v>
      </c>
      <c r="M455" s="155" t="s">
        <v>2567</v>
      </c>
      <c r="N455" s="155" t="s">
        <v>2668</v>
      </c>
      <c r="O455" s="155" t="s">
        <v>2105</v>
      </c>
      <c r="P455" s="140" t="s">
        <v>2105</v>
      </c>
      <c r="Q455" s="140" t="s">
        <v>2387</v>
      </c>
      <c r="R455" s="155" t="s">
        <v>2713</v>
      </c>
      <c r="S455" s="149">
        <f t="shared" si="22"/>
        <v>5.0000000000000001E-4</v>
      </c>
      <c r="T455" s="149">
        <v>0</v>
      </c>
      <c r="U455" s="157">
        <v>5.0000000000000001E-4</v>
      </c>
      <c r="V455" s="157">
        <v>1.56</v>
      </c>
      <c r="W455" s="157">
        <f>2.572+0.759+2.32</f>
        <v>5.6509999999999998</v>
      </c>
      <c r="X455" s="149">
        <f t="shared" si="23"/>
        <v>8.8155599999999996</v>
      </c>
      <c r="Y455" s="149"/>
    </row>
    <row r="456" spans="1:25" ht="16">
      <c r="A456" s="149" t="s">
        <v>12</v>
      </c>
      <c r="B456" s="150" t="s">
        <v>696</v>
      </c>
      <c r="C456" s="149" t="s">
        <v>1744</v>
      </c>
      <c r="D456" s="149" t="s">
        <v>3555</v>
      </c>
      <c r="E456" s="149" t="s">
        <v>593</v>
      </c>
      <c r="F456" s="149">
        <v>-26.365555560000001</v>
      </c>
      <c r="G456" s="149">
        <v>135.79</v>
      </c>
      <c r="H456" s="149">
        <v>201</v>
      </c>
      <c r="I456" s="151">
        <v>42816</v>
      </c>
      <c r="J456" s="149" t="s">
        <v>36</v>
      </c>
      <c r="K456" s="149" t="s">
        <v>419</v>
      </c>
      <c r="L456" s="155" t="s">
        <v>2566</v>
      </c>
      <c r="M456" s="155" t="s">
        <v>2567</v>
      </c>
      <c r="N456" s="155" t="s">
        <v>2668</v>
      </c>
      <c r="O456" s="155" t="s">
        <v>2105</v>
      </c>
      <c r="P456" s="140" t="s">
        <v>2105</v>
      </c>
      <c r="Q456" s="140" t="s">
        <v>2387</v>
      </c>
      <c r="R456" s="155" t="s">
        <v>2713</v>
      </c>
      <c r="S456" s="149">
        <f t="shared" si="22"/>
        <v>8.9999999999999998E-4</v>
      </c>
      <c r="T456" s="149">
        <v>0</v>
      </c>
      <c r="U456" s="157">
        <v>8.9999999999999998E-4</v>
      </c>
      <c r="V456" s="157">
        <v>1.7070000000000001</v>
      </c>
      <c r="W456" s="157">
        <f>4.087+1.329+1.101</f>
        <v>6.5169999999999995</v>
      </c>
      <c r="X456" s="149">
        <f t="shared" si="23"/>
        <v>11.124518999999999</v>
      </c>
      <c r="Y456" s="149"/>
    </row>
    <row r="457" spans="1:25" ht="16">
      <c r="A457" s="149" t="s">
        <v>12</v>
      </c>
      <c r="B457" s="150" t="s">
        <v>697</v>
      </c>
      <c r="C457" s="149" t="s">
        <v>1744</v>
      </c>
      <c r="D457" s="149" t="s">
        <v>3555</v>
      </c>
      <c r="E457" s="149" t="s">
        <v>593</v>
      </c>
      <c r="F457" s="149">
        <v>-26.365555560000001</v>
      </c>
      <c r="G457" s="149">
        <v>135.79</v>
      </c>
      <c r="H457" s="149">
        <v>201</v>
      </c>
      <c r="I457" s="151">
        <v>42816</v>
      </c>
      <c r="J457" s="149" t="s">
        <v>36</v>
      </c>
      <c r="K457" s="149" t="s">
        <v>419</v>
      </c>
      <c r="L457" s="155" t="s">
        <v>2566</v>
      </c>
      <c r="M457" s="155" t="s">
        <v>2567</v>
      </c>
      <c r="N457" s="155" t="s">
        <v>2668</v>
      </c>
      <c r="O457" s="155" t="s">
        <v>2105</v>
      </c>
      <c r="P457" s="140" t="s">
        <v>2105</v>
      </c>
      <c r="Q457" s="140" t="s">
        <v>2387</v>
      </c>
      <c r="R457" s="155" t="s">
        <v>2713</v>
      </c>
      <c r="S457" s="149">
        <f t="shared" si="22"/>
        <v>6.9999999999999999E-4</v>
      </c>
      <c r="T457" s="149">
        <v>0</v>
      </c>
      <c r="U457" s="157">
        <v>6.9999999999999999E-4</v>
      </c>
      <c r="V457" s="157">
        <v>1.5269999999999999</v>
      </c>
      <c r="W457" s="157">
        <f>3.088+0.799+1.342+0.994</f>
        <v>6.2229999999999999</v>
      </c>
      <c r="X457" s="149">
        <f t="shared" si="23"/>
        <v>9.5025209999999998</v>
      </c>
      <c r="Y457" s="149"/>
    </row>
    <row r="458" spans="1:25" ht="16">
      <c r="A458" s="149" t="s">
        <v>12</v>
      </c>
      <c r="B458" s="150" t="s">
        <v>698</v>
      </c>
      <c r="C458" s="149" t="s">
        <v>1744</v>
      </c>
      <c r="D458" s="149" t="s">
        <v>3555</v>
      </c>
      <c r="E458" s="149" t="s">
        <v>593</v>
      </c>
      <c r="F458" s="149">
        <v>-26.365555560000001</v>
      </c>
      <c r="G458" s="149">
        <v>135.79</v>
      </c>
      <c r="H458" s="149">
        <v>201</v>
      </c>
      <c r="I458" s="151">
        <v>42816</v>
      </c>
      <c r="J458" s="149" t="s">
        <v>36</v>
      </c>
      <c r="K458" s="149" t="s">
        <v>419</v>
      </c>
      <c r="L458" s="155" t="s">
        <v>2566</v>
      </c>
      <c r="M458" s="155" t="s">
        <v>2567</v>
      </c>
      <c r="N458" s="155" t="s">
        <v>2668</v>
      </c>
      <c r="O458" s="155" t="s">
        <v>2105</v>
      </c>
      <c r="P458" s="140" t="s">
        <v>2105</v>
      </c>
      <c r="Q458" s="140" t="s">
        <v>2387</v>
      </c>
      <c r="R458" s="155" t="s">
        <v>2713</v>
      </c>
      <c r="S458" s="149">
        <f t="shared" si="22"/>
        <v>8.9999999999999998E-4</v>
      </c>
      <c r="T458" s="149">
        <v>0</v>
      </c>
      <c r="U458" s="157">
        <v>8.9999999999999998E-4</v>
      </c>
      <c r="V458" s="157">
        <v>1.5580000000000001</v>
      </c>
      <c r="W458" s="157">
        <f>3.008+1.183+1.832+1.036</f>
        <v>7.0589999999999993</v>
      </c>
      <c r="X458" s="149">
        <f t="shared" si="23"/>
        <v>10.997921999999999</v>
      </c>
      <c r="Y458" s="149"/>
    </row>
    <row r="459" spans="1:25" ht="16">
      <c r="A459" s="149" t="s">
        <v>12</v>
      </c>
      <c r="B459" s="150" t="s">
        <v>699</v>
      </c>
      <c r="C459" s="149" t="s">
        <v>1744</v>
      </c>
      <c r="D459" s="149" t="s">
        <v>3555</v>
      </c>
      <c r="E459" s="149" t="s">
        <v>593</v>
      </c>
      <c r="F459" s="149">
        <v>-26.365555560000001</v>
      </c>
      <c r="G459" s="149">
        <v>135.79</v>
      </c>
      <c r="H459" s="149">
        <v>201</v>
      </c>
      <c r="I459" s="151">
        <v>42816</v>
      </c>
      <c r="J459" s="149" t="s">
        <v>36</v>
      </c>
      <c r="K459" s="149" t="s">
        <v>419</v>
      </c>
      <c r="L459" s="155" t="s">
        <v>2566</v>
      </c>
      <c r="M459" s="155" t="s">
        <v>2567</v>
      </c>
      <c r="N459" s="155" t="s">
        <v>2668</v>
      </c>
      <c r="O459" s="155" t="s">
        <v>2105</v>
      </c>
      <c r="P459" s="140" t="s">
        <v>2105</v>
      </c>
      <c r="Q459" s="140" t="s">
        <v>2387</v>
      </c>
      <c r="R459" s="155" t="s">
        <v>2713</v>
      </c>
      <c r="S459" s="149">
        <f t="shared" si="22"/>
        <v>8.0000000000000004E-4</v>
      </c>
      <c r="T459" s="149">
        <v>0</v>
      </c>
      <c r="U459" s="157">
        <v>8.0000000000000004E-4</v>
      </c>
      <c r="V459" s="157">
        <v>1.6180000000000001</v>
      </c>
      <c r="W459" s="157">
        <f>2.224+0.726+2.886</f>
        <v>5.8360000000000003</v>
      </c>
      <c r="X459" s="149">
        <f t="shared" si="23"/>
        <v>9.4426480000000019</v>
      </c>
      <c r="Y459" s="149"/>
    </row>
    <row r="460" spans="1:25" ht="16">
      <c r="A460" s="149" t="s">
        <v>12</v>
      </c>
      <c r="B460" s="150" t="s">
        <v>451</v>
      </c>
      <c r="C460" s="149" t="s">
        <v>1744</v>
      </c>
      <c r="D460" s="149" t="s">
        <v>3555</v>
      </c>
      <c r="E460" s="149" t="s">
        <v>418</v>
      </c>
      <c r="F460" s="149">
        <v>-26.284722200000001</v>
      </c>
      <c r="G460" s="149">
        <v>136.09805556000001</v>
      </c>
      <c r="H460" s="149">
        <v>201</v>
      </c>
      <c r="I460" s="151">
        <v>42816</v>
      </c>
      <c r="J460" s="149" t="s">
        <v>36</v>
      </c>
      <c r="K460" s="149" t="s">
        <v>419</v>
      </c>
      <c r="L460" s="140" t="s">
        <v>2569</v>
      </c>
      <c r="M460" s="140" t="s">
        <v>2570</v>
      </c>
      <c r="N460" s="140" t="s">
        <v>2571</v>
      </c>
      <c r="O460" s="140" t="s">
        <v>2369</v>
      </c>
      <c r="P460" s="140" t="s">
        <v>3556</v>
      </c>
      <c r="Q460" s="140" t="s">
        <v>2675</v>
      </c>
      <c r="R460" s="140" t="s">
        <v>2712</v>
      </c>
      <c r="S460" s="149">
        <f t="shared" si="22"/>
        <v>3.0000000000000001E-3</v>
      </c>
      <c r="T460" s="149">
        <v>0</v>
      </c>
      <c r="U460" s="157">
        <v>3.0000000000000001E-3</v>
      </c>
      <c r="V460" s="157">
        <v>2.2770000000000001</v>
      </c>
      <c r="W460" s="157">
        <v>8.9209999999999994</v>
      </c>
      <c r="X460" s="149">
        <f t="shared" si="23"/>
        <v>20.313116999999998</v>
      </c>
      <c r="Y460" s="149"/>
    </row>
    <row r="461" spans="1:25" ht="16">
      <c r="A461" s="149" t="s">
        <v>12</v>
      </c>
      <c r="B461" s="150" t="s">
        <v>700</v>
      </c>
      <c r="C461" s="149" t="s">
        <v>1744</v>
      </c>
      <c r="D461" s="149" t="s">
        <v>3555</v>
      </c>
      <c r="E461" s="149" t="s">
        <v>593</v>
      </c>
      <c r="F461" s="149">
        <v>-26.365555560000001</v>
      </c>
      <c r="G461" s="149">
        <v>135.79</v>
      </c>
      <c r="H461" s="149">
        <v>201</v>
      </c>
      <c r="I461" s="151">
        <v>42816</v>
      </c>
      <c r="J461" s="149" t="s">
        <v>36</v>
      </c>
      <c r="K461" s="149" t="s">
        <v>419</v>
      </c>
      <c r="L461" s="155" t="s">
        <v>2566</v>
      </c>
      <c r="M461" s="155" t="s">
        <v>2567</v>
      </c>
      <c r="N461" s="155" t="s">
        <v>2668</v>
      </c>
      <c r="O461" s="155" t="s">
        <v>2105</v>
      </c>
      <c r="P461" s="140" t="s">
        <v>2105</v>
      </c>
      <c r="Q461" s="140" t="s">
        <v>2387</v>
      </c>
      <c r="R461" s="155" t="s">
        <v>2713</v>
      </c>
      <c r="S461" s="149">
        <f t="shared" si="22"/>
        <v>6.9999999999999999E-4</v>
      </c>
      <c r="T461" s="149">
        <v>0</v>
      </c>
      <c r="U461" s="157">
        <v>6.9999999999999999E-4</v>
      </c>
      <c r="V461" s="157">
        <v>1.4910000000000001</v>
      </c>
      <c r="W461" s="157">
        <f>2.764+0.979+2.271</f>
        <v>6.0139999999999993</v>
      </c>
      <c r="X461" s="149">
        <f t="shared" si="23"/>
        <v>8.9668739999999989</v>
      </c>
      <c r="Y461" s="149"/>
    </row>
    <row r="462" spans="1:25" ht="16">
      <c r="A462" s="149" t="s">
        <v>12</v>
      </c>
      <c r="B462" s="150" t="s">
        <v>701</v>
      </c>
      <c r="C462" s="149" t="s">
        <v>1744</v>
      </c>
      <c r="D462" s="149" t="s">
        <v>3555</v>
      </c>
      <c r="E462" s="149" t="s">
        <v>593</v>
      </c>
      <c r="F462" s="149">
        <v>-26.365555560000001</v>
      </c>
      <c r="G462" s="149">
        <v>135.79</v>
      </c>
      <c r="H462" s="149">
        <v>201</v>
      </c>
      <c r="I462" s="151">
        <v>42816</v>
      </c>
      <c r="J462" s="149" t="s">
        <v>36</v>
      </c>
      <c r="K462" s="149" t="s">
        <v>419</v>
      </c>
      <c r="L462" s="155" t="s">
        <v>2566</v>
      </c>
      <c r="M462" s="155" t="s">
        <v>2567</v>
      </c>
      <c r="N462" s="155" t="s">
        <v>2668</v>
      </c>
      <c r="O462" s="155" t="s">
        <v>2105</v>
      </c>
      <c r="P462" s="140" t="s">
        <v>2105</v>
      </c>
      <c r="Q462" s="140" t="s">
        <v>2387</v>
      </c>
      <c r="R462" s="155" t="s">
        <v>2713</v>
      </c>
      <c r="S462" s="149">
        <f t="shared" si="22"/>
        <v>8.9999999999999998E-4</v>
      </c>
      <c r="T462" s="149">
        <v>0</v>
      </c>
      <c r="U462" s="157">
        <v>8.9999999999999998E-4</v>
      </c>
      <c r="V462" s="157">
        <v>1.488</v>
      </c>
      <c r="W462" s="157">
        <f>2.855+0.971+0.948+1.51</f>
        <v>6.2839999999999998</v>
      </c>
      <c r="X462" s="149">
        <f t="shared" si="23"/>
        <v>9.3505919999999989</v>
      </c>
      <c r="Y462" s="149"/>
    </row>
    <row r="463" spans="1:25" ht="16">
      <c r="A463" s="149" t="s">
        <v>12</v>
      </c>
      <c r="B463" s="150" t="s">
        <v>702</v>
      </c>
      <c r="C463" s="149" t="s">
        <v>1744</v>
      </c>
      <c r="D463" s="149" t="s">
        <v>3555</v>
      </c>
      <c r="E463" s="149" t="s">
        <v>593</v>
      </c>
      <c r="F463" s="149">
        <v>-26.365555560000001</v>
      </c>
      <c r="G463" s="149">
        <v>135.79</v>
      </c>
      <c r="H463" s="149">
        <v>201</v>
      </c>
      <c r="I463" s="151">
        <v>42816</v>
      </c>
      <c r="J463" s="149" t="s">
        <v>36</v>
      </c>
      <c r="K463" s="149" t="s">
        <v>419</v>
      </c>
      <c r="L463" s="155" t="s">
        <v>2566</v>
      </c>
      <c r="M463" s="155" t="s">
        <v>2567</v>
      </c>
      <c r="N463" s="155" t="s">
        <v>2668</v>
      </c>
      <c r="O463" s="155" t="s">
        <v>2105</v>
      </c>
      <c r="P463" s="140" t="s">
        <v>2105</v>
      </c>
      <c r="Q463" s="140" t="s">
        <v>2387</v>
      </c>
      <c r="R463" s="155" t="s">
        <v>2713</v>
      </c>
      <c r="S463" s="149">
        <f t="shared" si="22"/>
        <v>6.9999999999999999E-4</v>
      </c>
      <c r="T463" s="149">
        <v>0</v>
      </c>
      <c r="U463" s="157">
        <v>6.9999999999999999E-4</v>
      </c>
      <c r="V463" s="157">
        <v>1.4690000000000001</v>
      </c>
      <c r="W463" s="157">
        <f>2.797+0.794+0.763+1.848</f>
        <v>6.202</v>
      </c>
      <c r="X463" s="149">
        <f t="shared" si="23"/>
        <v>9.1107380000000013</v>
      </c>
      <c r="Y463" s="149"/>
    </row>
    <row r="464" spans="1:25" ht="16">
      <c r="A464" s="149" t="s">
        <v>12</v>
      </c>
      <c r="B464" s="150" t="s">
        <v>703</v>
      </c>
      <c r="C464" s="149" t="s">
        <v>1744</v>
      </c>
      <c r="D464" s="149" t="s">
        <v>3555</v>
      </c>
      <c r="E464" s="149" t="s">
        <v>593</v>
      </c>
      <c r="F464" s="149">
        <v>-26.365555560000001</v>
      </c>
      <c r="G464" s="149">
        <v>135.79</v>
      </c>
      <c r="H464" s="149">
        <v>201</v>
      </c>
      <c r="I464" s="151">
        <v>42816</v>
      </c>
      <c r="J464" s="149" t="s">
        <v>36</v>
      </c>
      <c r="K464" s="149" t="s">
        <v>419</v>
      </c>
      <c r="L464" s="155" t="s">
        <v>2566</v>
      </c>
      <c r="M464" s="155" t="s">
        <v>2567</v>
      </c>
      <c r="N464" s="155" t="s">
        <v>2668</v>
      </c>
      <c r="O464" s="155" t="s">
        <v>2105</v>
      </c>
      <c r="P464" s="140" t="s">
        <v>2105</v>
      </c>
      <c r="Q464" s="140" t="s">
        <v>2387</v>
      </c>
      <c r="R464" s="155" t="s">
        <v>2713</v>
      </c>
      <c r="S464" s="149">
        <f t="shared" si="22"/>
        <v>8.0000000000000004E-4</v>
      </c>
      <c r="T464" s="149">
        <v>0</v>
      </c>
      <c r="U464" s="157">
        <v>8.0000000000000004E-4</v>
      </c>
      <c r="V464" s="157">
        <v>1.49</v>
      </c>
      <c r="W464" s="157">
        <f>1.307+0.961+0.713+2.848</f>
        <v>5.8289999999999997</v>
      </c>
      <c r="X464" s="149">
        <f t="shared" si="23"/>
        <v>8.6852099999999997</v>
      </c>
      <c r="Y464" s="149"/>
    </row>
    <row r="465" spans="1:25" ht="16">
      <c r="A465" s="149" t="s">
        <v>12</v>
      </c>
      <c r="B465" s="150" t="s">
        <v>704</v>
      </c>
      <c r="C465" s="149" t="s">
        <v>1744</v>
      </c>
      <c r="D465" s="149" t="s">
        <v>3555</v>
      </c>
      <c r="E465" s="149" t="s">
        <v>593</v>
      </c>
      <c r="F465" s="149">
        <v>-26.365555560000001</v>
      </c>
      <c r="G465" s="149">
        <v>135.79</v>
      </c>
      <c r="H465" s="149">
        <v>201</v>
      </c>
      <c r="I465" s="151">
        <v>42816</v>
      </c>
      <c r="J465" s="149" t="s">
        <v>36</v>
      </c>
      <c r="K465" s="149" t="s">
        <v>419</v>
      </c>
      <c r="L465" s="155" t="s">
        <v>2566</v>
      </c>
      <c r="M465" s="155" t="s">
        <v>2567</v>
      </c>
      <c r="N465" s="155" t="s">
        <v>2668</v>
      </c>
      <c r="O465" s="155" t="s">
        <v>2105</v>
      </c>
      <c r="P465" s="140" t="s">
        <v>2105</v>
      </c>
      <c r="Q465" s="140" t="s">
        <v>2387</v>
      </c>
      <c r="R465" s="155" t="s">
        <v>2713</v>
      </c>
      <c r="S465" s="149">
        <f t="shared" si="22"/>
        <v>6.9999999999999999E-4</v>
      </c>
      <c r="T465" s="149">
        <v>0</v>
      </c>
      <c r="U465" s="157">
        <v>6.9999999999999999E-4</v>
      </c>
      <c r="V465" s="157">
        <v>1.4910000000000001</v>
      </c>
      <c r="W465" s="157">
        <f>3.009+0.88+1.347+1.245</f>
        <v>6.4809999999999999</v>
      </c>
      <c r="X465" s="149">
        <f t="shared" si="23"/>
        <v>9.6631710000000002</v>
      </c>
      <c r="Y465" s="149"/>
    </row>
    <row r="466" spans="1:25" ht="16">
      <c r="A466" s="149" t="s">
        <v>12</v>
      </c>
      <c r="B466" s="150" t="s">
        <v>705</v>
      </c>
      <c r="C466" s="149" t="s">
        <v>1744</v>
      </c>
      <c r="D466" s="149" t="s">
        <v>3555</v>
      </c>
      <c r="E466" s="149" t="s">
        <v>593</v>
      </c>
      <c r="F466" s="149">
        <v>-26.365555560000001</v>
      </c>
      <c r="G466" s="149">
        <v>135.79</v>
      </c>
      <c r="H466" s="149">
        <v>201</v>
      </c>
      <c r="I466" s="151">
        <v>42816</v>
      </c>
      <c r="J466" s="149" t="s">
        <v>36</v>
      </c>
      <c r="K466" s="149" t="s">
        <v>419</v>
      </c>
      <c r="L466" s="155" t="s">
        <v>2566</v>
      </c>
      <c r="M466" s="155" t="s">
        <v>2567</v>
      </c>
      <c r="N466" s="155" t="s">
        <v>2668</v>
      </c>
      <c r="O466" s="140" t="s">
        <v>2600</v>
      </c>
      <c r="P466" s="149" t="s">
        <v>2735</v>
      </c>
      <c r="Q466" s="140" t="s">
        <v>2709</v>
      </c>
      <c r="R466" s="155" t="s">
        <v>2712</v>
      </c>
      <c r="S466" s="149">
        <f t="shared" si="22"/>
        <v>4.0000000000000002E-4</v>
      </c>
      <c r="T466" s="149">
        <v>0</v>
      </c>
      <c r="U466" s="157">
        <v>4.0000000000000002E-4</v>
      </c>
      <c r="V466" s="157">
        <v>1.2989999999999999</v>
      </c>
      <c r="W466" s="157">
        <f>2.539+0.873+1.455</f>
        <v>4.867</v>
      </c>
      <c r="X466" s="149">
        <f t="shared" si="23"/>
        <v>6.3222329999999998</v>
      </c>
      <c r="Y466" s="149"/>
    </row>
    <row r="467" spans="1:25" ht="16">
      <c r="A467" s="149" t="s">
        <v>12</v>
      </c>
      <c r="B467" s="150" t="s">
        <v>706</v>
      </c>
      <c r="C467" s="149" t="s">
        <v>1744</v>
      </c>
      <c r="D467" s="149" t="s">
        <v>3555</v>
      </c>
      <c r="E467" s="149" t="s">
        <v>593</v>
      </c>
      <c r="F467" s="149">
        <v>-26.365555560000001</v>
      </c>
      <c r="G467" s="149">
        <v>135.79</v>
      </c>
      <c r="H467" s="149">
        <v>201</v>
      </c>
      <c r="I467" s="151">
        <v>42816</v>
      </c>
      <c r="J467" s="149" t="s">
        <v>36</v>
      </c>
      <c r="K467" s="149" t="s">
        <v>419</v>
      </c>
      <c r="L467" s="140" t="s">
        <v>2572</v>
      </c>
      <c r="M467" s="140" t="s">
        <v>2407</v>
      </c>
      <c r="N467" s="140" t="s">
        <v>36</v>
      </c>
      <c r="O467" s="140" t="s">
        <v>2215</v>
      </c>
      <c r="P467" s="140" t="s">
        <v>2215</v>
      </c>
      <c r="Q467" s="140" t="s">
        <v>2702</v>
      </c>
      <c r="R467" s="140" t="s">
        <v>2713</v>
      </c>
      <c r="S467" s="149">
        <f t="shared" si="22"/>
        <v>5.0000000000000001E-4</v>
      </c>
      <c r="T467" s="149">
        <v>0</v>
      </c>
      <c r="U467" s="157">
        <v>5.0000000000000001E-4</v>
      </c>
      <c r="V467" s="157">
        <v>1.2370000000000001</v>
      </c>
      <c r="W467" s="157">
        <f>2.472+3.513</f>
        <v>5.9849999999999994</v>
      </c>
      <c r="X467" s="149">
        <f t="shared" si="23"/>
        <v>7.4034449999999996</v>
      </c>
      <c r="Y467" s="149"/>
    </row>
    <row r="468" spans="1:25" ht="16">
      <c r="A468" s="149" t="s">
        <v>12</v>
      </c>
      <c r="B468" s="150" t="s">
        <v>707</v>
      </c>
      <c r="C468" s="149" t="s">
        <v>1744</v>
      </c>
      <c r="D468" s="149" t="s">
        <v>3555</v>
      </c>
      <c r="E468" s="149" t="s">
        <v>593</v>
      </c>
      <c r="F468" s="149">
        <v>-26.365555560000001</v>
      </c>
      <c r="G468" s="149">
        <v>135.79</v>
      </c>
      <c r="H468" s="149">
        <v>201</v>
      </c>
      <c r="I468" s="151">
        <v>42816</v>
      </c>
      <c r="J468" s="149" t="s">
        <v>36</v>
      </c>
      <c r="K468" s="149" t="s">
        <v>419</v>
      </c>
      <c r="L468" s="155" t="s">
        <v>2566</v>
      </c>
      <c r="M468" s="155" t="s">
        <v>2567</v>
      </c>
      <c r="N468" s="155" t="s">
        <v>2668</v>
      </c>
      <c r="O468" s="155" t="s">
        <v>2105</v>
      </c>
      <c r="P468" s="140" t="s">
        <v>2105</v>
      </c>
      <c r="Q468" s="140" t="s">
        <v>2387</v>
      </c>
      <c r="R468" s="155" t="s">
        <v>2713</v>
      </c>
      <c r="S468" s="149">
        <f t="shared" si="22"/>
        <v>8.9999999999999998E-4</v>
      </c>
      <c r="T468" s="149">
        <v>0</v>
      </c>
      <c r="U468" s="157">
        <v>8.9999999999999998E-4</v>
      </c>
      <c r="V468" s="157">
        <v>1.5980000000000001</v>
      </c>
      <c r="W468" s="157">
        <f>3.084+0.73+2.601</f>
        <v>6.415</v>
      </c>
      <c r="X468" s="149">
        <f t="shared" si="23"/>
        <v>10.25117</v>
      </c>
      <c r="Y468" s="149"/>
    </row>
    <row r="469" spans="1:25" ht="16">
      <c r="A469" s="149" t="s">
        <v>12</v>
      </c>
      <c r="B469" s="150" t="s">
        <v>708</v>
      </c>
      <c r="C469" s="149" t="s">
        <v>1744</v>
      </c>
      <c r="D469" s="149" t="s">
        <v>3555</v>
      </c>
      <c r="E469" s="149" t="s">
        <v>593</v>
      </c>
      <c r="F469" s="149">
        <v>-26.365555560000001</v>
      </c>
      <c r="G469" s="149">
        <v>135.79</v>
      </c>
      <c r="H469" s="149">
        <v>201</v>
      </c>
      <c r="I469" s="151">
        <v>42816</v>
      </c>
      <c r="J469" s="149" t="s">
        <v>36</v>
      </c>
      <c r="K469" s="149" t="s">
        <v>419</v>
      </c>
      <c r="L469" s="155" t="s">
        <v>2566</v>
      </c>
      <c r="M469" s="155" t="s">
        <v>2567</v>
      </c>
      <c r="N469" s="155" t="s">
        <v>2668</v>
      </c>
      <c r="O469" s="155" t="s">
        <v>2105</v>
      </c>
      <c r="P469" s="140" t="s">
        <v>2105</v>
      </c>
      <c r="Q469" s="140" t="s">
        <v>2387</v>
      </c>
      <c r="R469" s="155" t="s">
        <v>2713</v>
      </c>
      <c r="S469" s="149">
        <f t="shared" si="22"/>
        <v>5.9999999999999995E-4</v>
      </c>
      <c r="T469" s="149">
        <v>0</v>
      </c>
      <c r="U469" s="157">
        <v>5.9999999999999995E-4</v>
      </c>
      <c r="V469" s="157">
        <v>1.538</v>
      </c>
      <c r="W469" s="157">
        <f>2.9+1.448+1.801</f>
        <v>6.149</v>
      </c>
      <c r="X469" s="149">
        <f t="shared" si="23"/>
        <v>9.4571620000000003</v>
      </c>
      <c r="Y469" s="149"/>
    </row>
    <row r="470" spans="1:25" ht="16">
      <c r="A470" s="149" t="s">
        <v>12</v>
      </c>
      <c r="B470" s="150" t="s">
        <v>709</v>
      </c>
      <c r="C470" s="149" t="s">
        <v>1744</v>
      </c>
      <c r="D470" s="149" t="s">
        <v>3555</v>
      </c>
      <c r="E470" s="149" t="s">
        <v>593</v>
      </c>
      <c r="F470" s="149">
        <v>-26.365555560000001</v>
      </c>
      <c r="G470" s="149">
        <v>135.79</v>
      </c>
      <c r="H470" s="149">
        <v>201</v>
      </c>
      <c r="I470" s="151">
        <v>42816</v>
      </c>
      <c r="J470" s="149" t="s">
        <v>36</v>
      </c>
      <c r="K470" s="149" t="s">
        <v>419</v>
      </c>
      <c r="L470" s="155" t="s">
        <v>2566</v>
      </c>
      <c r="M470" s="155" t="s">
        <v>2567</v>
      </c>
      <c r="N470" s="155" t="s">
        <v>2668</v>
      </c>
      <c r="O470" s="155" t="s">
        <v>2105</v>
      </c>
      <c r="P470" s="140" t="s">
        <v>2105</v>
      </c>
      <c r="Q470" s="140" t="s">
        <v>2387</v>
      </c>
      <c r="R470" s="155" t="s">
        <v>2713</v>
      </c>
      <c r="S470" s="149">
        <f t="shared" si="22"/>
        <v>6.9999999999999999E-4</v>
      </c>
      <c r="T470" s="149">
        <v>0</v>
      </c>
      <c r="U470" s="157">
        <v>6.9999999999999999E-4</v>
      </c>
      <c r="V470" s="157">
        <v>1.5880000000000001</v>
      </c>
      <c r="W470" s="157">
        <f>3.231+1.481+0.763+1.43</f>
        <v>6.9049999999999994</v>
      </c>
      <c r="X470" s="149">
        <f t="shared" si="23"/>
        <v>10.96514</v>
      </c>
      <c r="Y470" s="149"/>
    </row>
    <row r="471" spans="1:25" ht="16">
      <c r="A471" s="149" t="s">
        <v>12</v>
      </c>
      <c r="B471" s="150" t="s">
        <v>452</v>
      </c>
      <c r="C471" s="149" t="s">
        <v>1744</v>
      </c>
      <c r="D471" s="149" t="s">
        <v>3555</v>
      </c>
      <c r="E471" s="149" t="s">
        <v>418</v>
      </c>
      <c r="F471" s="149">
        <v>-26.284722200000001</v>
      </c>
      <c r="G471" s="149">
        <v>136.09805556000001</v>
      </c>
      <c r="H471" s="149">
        <v>201</v>
      </c>
      <c r="I471" s="151">
        <v>42816</v>
      </c>
      <c r="J471" s="149" t="s">
        <v>36</v>
      </c>
      <c r="K471" s="149" t="s">
        <v>419</v>
      </c>
      <c r="L471" s="140" t="s">
        <v>2569</v>
      </c>
      <c r="M471" s="140" t="s">
        <v>2570</v>
      </c>
      <c r="N471" s="140" t="s">
        <v>2571</v>
      </c>
      <c r="O471" s="140" t="s">
        <v>2369</v>
      </c>
      <c r="P471" s="140" t="s">
        <v>3556</v>
      </c>
      <c r="Q471" s="140" t="s">
        <v>2669</v>
      </c>
      <c r="R471" s="140" t="s">
        <v>2713</v>
      </c>
      <c r="S471" s="149">
        <f t="shared" si="22"/>
        <v>5.8999999999999999E-3</v>
      </c>
      <c r="T471" s="149">
        <v>0</v>
      </c>
      <c r="U471" s="157">
        <v>5.8999999999999999E-3</v>
      </c>
      <c r="V471" s="157">
        <v>2.8439999999999999</v>
      </c>
      <c r="W471" s="157">
        <v>11.071999999999999</v>
      </c>
      <c r="X471" s="149">
        <f t="shared" si="23"/>
        <v>31.488767999999997</v>
      </c>
      <c r="Y471" s="149"/>
    </row>
    <row r="472" spans="1:25" ht="16">
      <c r="A472" s="149" t="s">
        <v>12</v>
      </c>
      <c r="B472" s="150" t="s">
        <v>711</v>
      </c>
      <c r="C472" s="149" t="s">
        <v>1744</v>
      </c>
      <c r="D472" s="149" t="s">
        <v>3555</v>
      </c>
      <c r="E472" s="149" t="s">
        <v>593</v>
      </c>
      <c r="F472" s="149">
        <v>-26.365555560000001</v>
      </c>
      <c r="G472" s="149">
        <v>135.79</v>
      </c>
      <c r="H472" s="149">
        <v>201</v>
      </c>
      <c r="I472" s="151">
        <v>42816</v>
      </c>
      <c r="J472" s="149" t="s">
        <v>36</v>
      </c>
      <c r="K472" s="149" t="s">
        <v>419</v>
      </c>
      <c r="L472" s="155" t="s">
        <v>2566</v>
      </c>
      <c r="M472" s="155" t="s">
        <v>2567</v>
      </c>
      <c r="N472" s="155" t="s">
        <v>2668</v>
      </c>
      <c r="O472" s="155" t="s">
        <v>2105</v>
      </c>
      <c r="P472" s="140" t="s">
        <v>2105</v>
      </c>
      <c r="Q472" s="140" t="s">
        <v>2387</v>
      </c>
      <c r="R472" s="155" t="s">
        <v>2713</v>
      </c>
      <c r="S472" s="149">
        <f t="shared" si="22"/>
        <v>1.1999999999999999E-3</v>
      </c>
      <c r="T472" s="149">
        <v>0</v>
      </c>
      <c r="U472" s="157">
        <v>1.1999999999999999E-3</v>
      </c>
      <c r="V472" s="157">
        <v>1.623</v>
      </c>
      <c r="W472" s="157">
        <f>3.088+1.286+1.236+1.53</f>
        <v>7.1400000000000006</v>
      </c>
      <c r="X472" s="149">
        <f t="shared" si="23"/>
        <v>11.588220000000002</v>
      </c>
      <c r="Y472" s="149"/>
    </row>
    <row r="473" spans="1:25" ht="16">
      <c r="A473" s="149" t="s">
        <v>12</v>
      </c>
      <c r="B473" s="150" t="s">
        <v>712</v>
      </c>
      <c r="C473" s="149" t="s">
        <v>1744</v>
      </c>
      <c r="D473" s="149" t="s">
        <v>3555</v>
      </c>
      <c r="E473" s="149" t="s">
        <v>593</v>
      </c>
      <c r="F473" s="149">
        <v>-26.365555560000001</v>
      </c>
      <c r="G473" s="149">
        <v>135.79</v>
      </c>
      <c r="H473" s="149">
        <v>201</v>
      </c>
      <c r="I473" s="151">
        <v>42816</v>
      </c>
      <c r="J473" s="149" t="s">
        <v>36</v>
      </c>
      <c r="K473" s="149" t="s">
        <v>419</v>
      </c>
      <c r="L473" s="155" t="s">
        <v>2566</v>
      </c>
      <c r="M473" s="155" t="s">
        <v>2567</v>
      </c>
      <c r="N473" s="155" t="s">
        <v>2668</v>
      </c>
      <c r="O473" s="155" t="s">
        <v>2105</v>
      </c>
      <c r="P473" s="140" t="s">
        <v>2105</v>
      </c>
      <c r="Q473" s="140" t="s">
        <v>2387</v>
      </c>
      <c r="R473" s="155" t="s">
        <v>2713</v>
      </c>
      <c r="S473" s="149">
        <f t="shared" si="22"/>
        <v>6.9999999999999999E-4</v>
      </c>
      <c r="T473" s="149">
        <v>0</v>
      </c>
      <c r="U473" s="157">
        <v>6.9999999999999999E-4</v>
      </c>
      <c r="V473" s="157">
        <v>1.508</v>
      </c>
      <c r="W473" s="157">
        <f>2.92+0.716+1.401+1.26</f>
        <v>6.2969999999999997</v>
      </c>
      <c r="X473" s="149">
        <f t="shared" si="23"/>
        <v>9.4958759999999991</v>
      </c>
      <c r="Y473" s="149"/>
    </row>
    <row r="474" spans="1:25" ht="16">
      <c r="A474" s="149" t="s">
        <v>12</v>
      </c>
      <c r="B474" s="150" t="s">
        <v>713</v>
      </c>
      <c r="C474" s="149" t="s">
        <v>1744</v>
      </c>
      <c r="D474" s="149" t="s">
        <v>3555</v>
      </c>
      <c r="E474" s="149" t="s">
        <v>593</v>
      </c>
      <c r="F474" s="149">
        <v>-26.365555560000001</v>
      </c>
      <c r="G474" s="149">
        <v>135.79</v>
      </c>
      <c r="H474" s="149">
        <v>201</v>
      </c>
      <c r="I474" s="151">
        <v>42816</v>
      </c>
      <c r="J474" s="149" t="s">
        <v>36</v>
      </c>
      <c r="K474" s="149" t="s">
        <v>419</v>
      </c>
      <c r="L474" s="155" t="s">
        <v>2566</v>
      </c>
      <c r="M474" s="155" t="s">
        <v>2567</v>
      </c>
      <c r="N474" s="155" t="s">
        <v>2668</v>
      </c>
      <c r="O474" s="155" t="s">
        <v>2105</v>
      </c>
      <c r="P474" s="140" t="s">
        <v>2105</v>
      </c>
      <c r="Q474" s="140" t="s">
        <v>2387</v>
      </c>
      <c r="R474" s="155" t="s">
        <v>2713</v>
      </c>
      <c r="S474" s="149">
        <f t="shared" si="22"/>
        <v>8.9999999999999998E-4</v>
      </c>
      <c r="T474" s="149">
        <v>0</v>
      </c>
      <c r="U474" s="157">
        <v>8.9999999999999998E-4</v>
      </c>
      <c r="V474" s="157">
        <v>1.5289999999999999</v>
      </c>
      <c r="W474" s="157">
        <f>2.863+1.243+0.626+1.285</f>
        <v>6.0170000000000003</v>
      </c>
      <c r="X474" s="149">
        <f t="shared" si="23"/>
        <v>9.1999929999999992</v>
      </c>
      <c r="Y474" s="149"/>
    </row>
    <row r="475" spans="1:25" ht="16">
      <c r="A475" s="149" t="s">
        <v>12</v>
      </c>
      <c r="B475" s="150" t="s">
        <v>714</v>
      </c>
      <c r="C475" s="149" t="s">
        <v>1744</v>
      </c>
      <c r="D475" s="149" t="s">
        <v>3555</v>
      </c>
      <c r="E475" s="149" t="s">
        <v>593</v>
      </c>
      <c r="F475" s="149">
        <v>-26.365555560000001</v>
      </c>
      <c r="G475" s="149">
        <v>135.79</v>
      </c>
      <c r="H475" s="149">
        <v>201</v>
      </c>
      <c r="I475" s="151">
        <v>42816</v>
      </c>
      <c r="J475" s="149" t="s">
        <v>36</v>
      </c>
      <c r="K475" s="149" t="s">
        <v>419</v>
      </c>
      <c r="L475" s="155" t="s">
        <v>2566</v>
      </c>
      <c r="M475" s="155" t="s">
        <v>2567</v>
      </c>
      <c r="N475" s="155" t="s">
        <v>2668</v>
      </c>
      <c r="O475" s="155" t="s">
        <v>2105</v>
      </c>
      <c r="P475" s="140" t="s">
        <v>2105</v>
      </c>
      <c r="Q475" s="140" t="s">
        <v>2387</v>
      </c>
      <c r="R475" s="155" t="s">
        <v>2713</v>
      </c>
      <c r="S475" s="149">
        <f t="shared" si="22"/>
        <v>6.9999999999999999E-4</v>
      </c>
      <c r="T475" s="149">
        <v>0</v>
      </c>
      <c r="U475" s="157">
        <v>6.9999999999999999E-4</v>
      </c>
      <c r="V475" s="157">
        <v>1.5629999999999999</v>
      </c>
      <c r="W475" s="157">
        <f>3.445+3.049</f>
        <v>6.4939999999999998</v>
      </c>
      <c r="X475" s="149">
        <f t="shared" si="23"/>
        <v>10.150122</v>
      </c>
      <c r="Y475" s="149"/>
    </row>
    <row r="476" spans="1:25" ht="16">
      <c r="A476" s="149" t="s">
        <v>12</v>
      </c>
      <c r="B476" s="150" t="s">
        <v>715</v>
      </c>
      <c r="C476" s="149" t="s">
        <v>1744</v>
      </c>
      <c r="D476" s="149" t="s">
        <v>3555</v>
      </c>
      <c r="E476" s="149" t="s">
        <v>593</v>
      </c>
      <c r="F476" s="149">
        <v>-26.365555560000001</v>
      </c>
      <c r="G476" s="149">
        <v>135.79</v>
      </c>
      <c r="H476" s="149">
        <v>201</v>
      </c>
      <c r="I476" s="151">
        <v>42816</v>
      </c>
      <c r="J476" s="149" t="s">
        <v>36</v>
      </c>
      <c r="K476" s="149" t="s">
        <v>419</v>
      </c>
      <c r="L476" s="155" t="s">
        <v>2566</v>
      </c>
      <c r="M476" s="155" t="s">
        <v>2567</v>
      </c>
      <c r="N476" s="155" t="s">
        <v>2668</v>
      </c>
      <c r="O476" s="155" t="s">
        <v>2105</v>
      </c>
      <c r="P476" s="140" t="s">
        <v>2105</v>
      </c>
      <c r="Q476" s="140" t="s">
        <v>2387</v>
      </c>
      <c r="R476" s="155" t="s">
        <v>2713</v>
      </c>
      <c r="S476" s="149">
        <f t="shared" si="22"/>
        <v>8.0000000000000004E-4</v>
      </c>
      <c r="T476" s="149">
        <v>0</v>
      </c>
      <c r="U476" s="157">
        <v>8.0000000000000004E-4</v>
      </c>
      <c r="V476" s="157">
        <v>1.575</v>
      </c>
      <c r="W476" s="157">
        <f>0.958+1.104+1.198+3.035</f>
        <v>6.2949999999999999</v>
      </c>
      <c r="X476" s="149">
        <f t="shared" si="23"/>
        <v>9.9146249999999991</v>
      </c>
      <c r="Y476" s="149"/>
    </row>
    <row r="477" spans="1:25" ht="16">
      <c r="A477" s="149" t="s">
        <v>12</v>
      </c>
      <c r="B477" s="150" t="s">
        <v>716</v>
      </c>
      <c r="C477" s="149" t="s">
        <v>1744</v>
      </c>
      <c r="D477" s="149" t="s">
        <v>3555</v>
      </c>
      <c r="E477" s="149" t="s">
        <v>593</v>
      </c>
      <c r="F477" s="149">
        <v>-26.365555560000001</v>
      </c>
      <c r="G477" s="149">
        <v>135.79</v>
      </c>
      <c r="H477" s="149">
        <v>201</v>
      </c>
      <c r="I477" s="151">
        <v>42816</v>
      </c>
      <c r="J477" s="149" t="s">
        <v>36</v>
      </c>
      <c r="K477" s="149" t="s">
        <v>419</v>
      </c>
      <c r="L477" s="155" t="s">
        <v>2566</v>
      </c>
      <c r="M477" s="155" t="s">
        <v>2567</v>
      </c>
      <c r="N477" s="155" t="s">
        <v>2668</v>
      </c>
      <c r="O477" s="155" t="s">
        <v>2105</v>
      </c>
      <c r="P477" s="140" t="s">
        <v>2105</v>
      </c>
      <c r="Q477" s="140" t="s">
        <v>2387</v>
      </c>
      <c r="R477" s="155" t="s">
        <v>2713</v>
      </c>
      <c r="S477" s="149">
        <f t="shared" si="22"/>
        <v>8.9999999999999998E-4</v>
      </c>
      <c r="T477" s="149">
        <v>0</v>
      </c>
      <c r="U477" s="157">
        <v>8.9999999999999998E-4</v>
      </c>
      <c r="V477" s="157">
        <v>1.706</v>
      </c>
      <c r="W477" s="157">
        <f>3.293+1.975+0.979+1.021</f>
        <v>7.2680000000000007</v>
      </c>
      <c r="X477" s="149">
        <f t="shared" si="23"/>
        <v>12.399208000000002</v>
      </c>
      <c r="Y477" s="149"/>
    </row>
    <row r="478" spans="1:25" ht="16">
      <c r="A478" s="149" t="s">
        <v>12</v>
      </c>
      <c r="B478" s="150" t="s">
        <v>717</v>
      </c>
      <c r="C478" s="149" t="s">
        <v>1744</v>
      </c>
      <c r="D478" s="149" t="s">
        <v>3555</v>
      </c>
      <c r="E478" s="149" t="s">
        <v>593</v>
      </c>
      <c r="F478" s="149">
        <v>-26.365555560000001</v>
      </c>
      <c r="G478" s="149">
        <v>135.79</v>
      </c>
      <c r="H478" s="149">
        <v>201</v>
      </c>
      <c r="I478" s="151">
        <v>42816</v>
      </c>
      <c r="J478" s="149" t="s">
        <v>36</v>
      </c>
      <c r="K478" s="149" t="s">
        <v>419</v>
      </c>
      <c r="L478" s="155" t="s">
        <v>2566</v>
      </c>
      <c r="M478" s="155" t="s">
        <v>2567</v>
      </c>
      <c r="N478" s="155" t="s">
        <v>2668</v>
      </c>
      <c r="O478" s="155" t="s">
        <v>2105</v>
      </c>
      <c r="P478" s="140" t="s">
        <v>2105</v>
      </c>
      <c r="Q478" s="140" t="s">
        <v>2387</v>
      </c>
      <c r="R478" s="155" t="s">
        <v>2713</v>
      </c>
      <c r="S478" s="149">
        <f t="shared" si="22"/>
        <v>6.9999999999999999E-4</v>
      </c>
      <c r="T478" s="149">
        <v>0</v>
      </c>
      <c r="U478" s="157">
        <v>6.9999999999999999E-4</v>
      </c>
      <c r="V478" s="157">
        <v>1.488</v>
      </c>
      <c r="W478" s="157">
        <f>1.239+1.336+1.136+2.869</f>
        <v>6.58</v>
      </c>
      <c r="X478" s="149">
        <f t="shared" si="23"/>
        <v>9.7910400000000006</v>
      </c>
      <c r="Y478" s="149"/>
    </row>
    <row r="479" spans="1:25" ht="16">
      <c r="A479" s="149" t="s">
        <v>12</v>
      </c>
      <c r="B479" s="150" t="s">
        <v>718</v>
      </c>
      <c r="C479" s="149" t="s">
        <v>1744</v>
      </c>
      <c r="D479" s="149" t="s">
        <v>3555</v>
      </c>
      <c r="E479" s="149" t="s">
        <v>593</v>
      </c>
      <c r="F479" s="149">
        <v>-26.365555560000001</v>
      </c>
      <c r="G479" s="149">
        <v>135.79</v>
      </c>
      <c r="H479" s="149">
        <v>201</v>
      </c>
      <c r="I479" s="151">
        <v>42816</v>
      </c>
      <c r="J479" s="149" t="s">
        <v>36</v>
      </c>
      <c r="K479" s="149" t="s">
        <v>419</v>
      </c>
      <c r="L479" s="155" t="s">
        <v>2566</v>
      </c>
      <c r="M479" s="155" t="s">
        <v>2567</v>
      </c>
      <c r="N479" s="155" t="s">
        <v>2668</v>
      </c>
      <c r="O479" s="155" t="s">
        <v>2105</v>
      </c>
      <c r="P479" s="140" t="s">
        <v>2105</v>
      </c>
      <c r="Q479" s="140" t="s">
        <v>2387</v>
      </c>
      <c r="R479" s="155" t="s">
        <v>2713</v>
      </c>
      <c r="S479" s="149">
        <f t="shared" si="22"/>
        <v>6.9999999999999999E-4</v>
      </c>
      <c r="T479" s="149">
        <v>0</v>
      </c>
      <c r="U479" s="157">
        <v>6.9999999999999999E-4</v>
      </c>
      <c r="V479" s="157">
        <v>1.6279999999999999</v>
      </c>
      <c r="W479" s="157">
        <f>2.814+0.91+2.202</f>
        <v>5.9260000000000002</v>
      </c>
      <c r="X479" s="149">
        <f t="shared" si="23"/>
        <v>9.6475279999999994</v>
      </c>
      <c r="Y479" s="149"/>
    </row>
    <row r="480" spans="1:25" ht="16">
      <c r="A480" s="149" t="s">
        <v>12</v>
      </c>
      <c r="B480" s="150" t="s">
        <v>719</v>
      </c>
      <c r="C480" s="149" t="s">
        <v>1744</v>
      </c>
      <c r="D480" s="149" t="s">
        <v>3555</v>
      </c>
      <c r="E480" s="149" t="s">
        <v>593</v>
      </c>
      <c r="F480" s="149">
        <v>-26.365555560000001</v>
      </c>
      <c r="G480" s="149">
        <v>135.79</v>
      </c>
      <c r="H480" s="149">
        <v>201</v>
      </c>
      <c r="I480" s="151">
        <v>42816</v>
      </c>
      <c r="J480" s="149" t="s">
        <v>36</v>
      </c>
      <c r="K480" s="149" t="s">
        <v>419</v>
      </c>
      <c r="L480" s="155" t="s">
        <v>2566</v>
      </c>
      <c r="M480" s="155" t="s">
        <v>2567</v>
      </c>
      <c r="N480" s="155" t="s">
        <v>2668</v>
      </c>
      <c r="O480" s="155" t="s">
        <v>2105</v>
      </c>
      <c r="P480" s="140" t="s">
        <v>2105</v>
      </c>
      <c r="Q480" s="140" t="s">
        <v>2387</v>
      </c>
      <c r="R480" s="155" t="s">
        <v>2713</v>
      </c>
      <c r="S480" s="149">
        <f t="shared" si="22"/>
        <v>1.1000000000000001E-3</v>
      </c>
      <c r="T480" s="149">
        <v>0</v>
      </c>
      <c r="U480" s="157">
        <v>1.1000000000000001E-3</v>
      </c>
      <c r="V480" s="157">
        <v>1.587</v>
      </c>
      <c r="W480" s="157">
        <f>3.107+0.86+1.413+1.043</f>
        <v>6.423</v>
      </c>
      <c r="X480" s="149">
        <f t="shared" si="23"/>
        <v>10.193301</v>
      </c>
      <c r="Y480" s="149"/>
    </row>
    <row r="481" spans="1:25" ht="16">
      <c r="A481" s="149" t="s">
        <v>12</v>
      </c>
      <c r="B481" s="150" t="s">
        <v>423</v>
      </c>
      <c r="C481" s="149" t="s">
        <v>1744</v>
      </c>
      <c r="D481" s="149" t="s">
        <v>3555</v>
      </c>
      <c r="E481" s="149" t="s">
        <v>418</v>
      </c>
      <c r="F481" s="149">
        <v>-26.284722200000001</v>
      </c>
      <c r="G481" s="149">
        <v>136.09805556000001</v>
      </c>
      <c r="H481" s="149">
        <v>201</v>
      </c>
      <c r="I481" s="151">
        <v>42816</v>
      </c>
      <c r="J481" s="149" t="s">
        <v>36</v>
      </c>
      <c r="K481" s="149" t="s">
        <v>419</v>
      </c>
      <c r="L481" s="140" t="s">
        <v>2566</v>
      </c>
      <c r="M481" s="140" t="s">
        <v>2574</v>
      </c>
      <c r="N481" s="140" t="s">
        <v>3191</v>
      </c>
      <c r="O481" s="149" t="s">
        <v>2111</v>
      </c>
      <c r="P481" s="149" t="s">
        <v>2739</v>
      </c>
      <c r="Q481" s="140" t="s">
        <v>2692</v>
      </c>
      <c r="R481" s="140" t="s">
        <v>2713</v>
      </c>
      <c r="S481" s="149">
        <f t="shared" si="22"/>
        <v>4.1700000000000001E-2</v>
      </c>
      <c r="T481" s="140">
        <v>3.8671999999999998E-2</v>
      </c>
      <c r="U481" s="157">
        <v>3.0280000000000029E-3</v>
      </c>
      <c r="V481" s="157">
        <v>2.1949999999999998</v>
      </c>
      <c r="W481" s="157">
        <v>9.6440000000000001</v>
      </c>
      <c r="X481" s="149">
        <f t="shared" si="23"/>
        <v>21.168579999999999</v>
      </c>
      <c r="Y481" s="149"/>
    </row>
    <row r="482" spans="1:25" ht="16">
      <c r="A482" s="149" t="s">
        <v>12</v>
      </c>
      <c r="B482" s="150" t="s">
        <v>453</v>
      </c>
      <c r="C482" s="149" t="s">
        <v>1744</v>
      </c>
      <c r="D482" s="149" t="s">
        <v>3555</v>
      </c>
      <c r="E482" s="149" t="s">
        <v>418</v>
      </c>
      <c r="F482" s="149">
        <v>-26.284722200000001</v>
      </c>
      <c r="G482" s="149">
        <v>136.09805556000001</v>
      </c>
      <c r="H482" s="149">
        <v>201</v>
      </c>
      <c r="I482" s="151">
        <v>42816</v>
      </c>
      <c r="J482" s="149" t="s">
        <v>36</v>
      </c>
      <c r="K482" s="149" t="s">
        <v>419</v>
      </c>
      <c r="L482" s="140" t="s">
        <v>2566</v>
      </c>
      <c r="M482" s="140" t="s">
        <v>2567</v>
      </c>
      <c r="N482" s="140" t="s">
        <v>2668</v>
      </c>
      <c r="O482" s="140" t="s">
        <v>2105</v>
      </c>
      <c r="P482" s="140" t="s">
        <v>2105</v>
      </c>
      <c r="Q482" s="140" t="s">
        <v>2387</v>
      </c>
      <c r="R482" s="140" t="s">
        <v>2712</v>
      </c>
      <c r="S482" s="149">
        <f t="shared" si="22"/>
        <v>5.9999999999999995E-4</v>
      </c>
      <c r="T482" s="149">
        <v>0</v>
      </c>
      <c r="U482" s="157">
        <v>5.9999999999999995E-4</v>
      </c>
      <c r="V482" s="157">
        <v>1.244</v>
      </c>
      <c r="W482" s="157">
        <v>5.17</v>
      </c>
      <c r="X482" s="149">
        <f t="shared" si="23"/>
        <v>6.4314799999999996</v>
      </c>
      <c r="Y482" s="149"/>
    </row>
    <row r="483" spans="1:25" ht="16">
      <c r="A483" s="149" t="s">
        <v>12</v>
      </c>
      <c r="B483" s="150" t="s">
        <v>720</v>
      </c>
      <c r="C483" s="149" t="s">
        <v>1744</v>
      </c>
      <c r="D483" s="149" t="s">
        <v>3555</v>
      </c>
      <c r="E483" s="149" t="s">
        <v>593</v>
      </c>
      <c r="F483" s="149">
        <v>-26.365555560000001</v>
      </c>
      <c r="G483" s="149">
        <v>135.79</v>
      </c>
      <c r="H483" s="149">
        <v>201</v>
      </c>
      <c r="I483" s="151">
        <v>42816</v>
      </c>
      <c r="J483" s="149" t="s">
        <v>36</v>
      </c>
      <c r="K483" s="149" t="s">
        <v>419</v>
      </c>
      <c r="L483" s="155" t="s">
        <v>2566</v>
      </c>
      <c r="M483" s="155" t="s">
        <v>2567</v>
      </c>
      <c r="N483" s="155" t="s">
        <v>2668</v>
      </c>
      <c r="O483" s="155" t="s">
        <v>2105</v>
      </c>
      <c r="P483" s="140" t="s">
        <v>2105</v>
      </c>
      <c r="Q483" s="140" t="s">
        <v>2387</v>
      </c>
      <c r="R483" s="155" t="s">
        <v>2713</v>
      </c>
      <c r="S483" s="149">
        <f t="shared" si="22"/>
        <v>8.9999999999999998E-4</v>
      </c>
      <c r="T483" s="149">
        <v>0</v>
      </c>
      <c r="U483" s="157">
        <v>8.9999999999999998E-4</v>
      </c>
      <c r="V483" s="157">
        <v>1.6020000000000001</v>
      </c>
      <c r="W483" s="157">
        <f>2.757+0.895+2.629</f>
        <v>6.2810000000000006</v>
      </c>
      <c r="X483" s="149">
        <f t="shared" si="23"/>
        <v>10.062162000000001</v>
      </c>
      <c r="Y483" s="149"/>
    </row>
    <row r="484" spans="1:25" ht="16">
      <c r="A484" s="149" t="s">
        <v>12</v>
      </c>
      <c r="B484" s="150" t="s">
        <v>721</v>
      </c>
      <c r="C484" s="149" t="s">
        <v>1744</v>
      </c>
      <c r="D484" s="149" t="s">
        <v>3555</v>
      </c>
      <c r="E484" s="149" t="s">
        <v>593</v>
      </c>
      <c r="F484" s="149">
        <v>-26.365555560000001</v>
      </c>
      <c r="G484" s="149">
        <v>135.79</v>
      </c>
      <c r="H484" s="149">
        <v>201</v>
      </c>
      <c r="I484" s="151">
        <v>42816</v>
      </c>
      <c r="J484" s="149" t="s">
        <v>36</v>
      </c>
      <c r="K484" s="149" t="s">
        <v>419</v>
      </c>
      <c r="L484" s="155" t="s">
        <v>2566</v>
      </c>
      <c r="M484" s="155" t="s">
        <v>2567</v>
      </c>
      <c r="N484" s="155" t="s">
        <v>2668</v>
      </c>
      <c r="O484" s="155" t="s">
        <v>2105</v>
      </c>
      <c r="P484" s="140" t="s">
        <v>2105</v>
      </c>
      <c r="Q484" s="140" t="s">
        <v>2387</v>
      </c>
      <c r="R484" s="155" t="s">
        <v>2713</v>
      </c>
      <c r="S484" s="149">
        <f t="shared" si="22"/>
        <v>8.0000000000000004E-4</v>
      </c>
      <c r="T484" s="149">
        <v>0</v>
      </c>
      <c r="U484" s="157">
        <v>8.0000000000000004E-4</v>
      </c>
      <c r="V484" s="157">
        <v>1.5740000000000001</v>
      </c>
      <c r="W484" s="157">
        <f>3.057+1.059+2.265</f>
        <v>6.3810000000000002</v>
      </c>
      <c r="X484" s="149">
        <f t="shared" si="23"/>
        <v>10.043694</v>
      </c>
      <c r="Y484" s="149"/>
    </row>
    <row r="485" spans="1:25" ht="16">
      <c r="A485" s="149" t="s">
        <v>12</v>
      </c>
      <c r="B485" s="150" t="s">
        <v>722</v>
      </c>
      <c r="C485" s="149" t="s">
        <v>1744</v>
      </c>
      <c r="D485" s="149" t="s">
        <v>3555</v>
      </c>
      <c r="E485" s="149" t="s">
        <v>593</v>
      </c>
      <c r="F485" s="149">
        <v>-26.365555560000001</v>
      </c>
      <c r="G485" s="149">
        <v>135.79</v>
      </c>
      <c r="H485" s="149">
        <v>201</v>
      </c>
      <c r="I485" s="151">
        <v>42816</v>
      </c>
      <c r="J485" s="149" t="s">
        <v>36</v>
      </c>
      <c r="K485" s="149" t="s">
        <v>419</v>
      </c>
      <c r="L485" s="155" t="s">
        <v>2566</v>
      </c>
      <c r="M485" s="155" t="s">
        <v>2567</v>
      </c>
      <c r="N485" s="155" t="s">
        <v>2668</v>
      </c>
      <c r="O485" s="140" t="s">
        <v>2600</v>
      </c>
      <c r="P485" s="149" t="s">
        <v>2735</v>
      </c>
      <c r="Q485" s="140" t="s">
        <v>2709</v>
      </c>
      <c r="R485" s="155" t="s">
        <v>2712</v>
      </c>
      <c r="S485" s="149">
        <f t="shared" si="22"/>
        <v>4.0000000000000002E-4</v>
      </c>
      <c r="T485" s="149">
        <v>0</v>
      </c>
      <c r="U485" s="157">
        <v>4.0000000000000002E-4</v>
      </c>
      <c r="V485" s="157">
        <v>1.3440000000000001</v>
      </c>
      <c r="W485" s="157">
        <f>2.691+1.105+0.652+0.869</f>
        <v>5.3169999999999993</v>
      </c>
      <c r="X485" s="149">
        <f t="shared" si="23"/>
        <v>7.1460479999999995</v>
      </c>
      <c r="Y485" s="149"/>
    </row>
    <row r="486" spans="1:25" ht="16">
      <c r="A486" s="149" t="s">
        <v>12</v>
      </c>
      <c r="B486" s="150" t="s">
        <v>723</v>
      </c>
      <c r="C486" s="149" t="s">
        <v>1744</v>
      </c>
      <c r="D486" s="149" t="s">
        <v>3555</v>
      </c>
      <c r="E486" s="149" t="s">
        <v>593</v>
      </c>
      <c r="F486" s="149">
        <v>-26.365555560000001</v>
      </c>
      <c r="G486" s="149">
        <v>135.79</v>
      </c>
      <c r="H486" s="149">
        <v>201</v>
      </c>
      <c r="I486" s="151">
        <v>42816</v>
      </c>
      <c r="J486" s="149" t="s">
        <v>36</v>
      </c>
      <c r="K486" s="149" t="s">
        <v>419</v>
      </c>
      <c r="L486" s="155" t="s">
        <v>2566</v>
      </c>
      <c r="M486" s="155" t="s">
        <v>2567</v>
      </c>
      <c r="N486" s="155" t="s">
        <v>2668</v>
      </c>
      <c r="O486" s="155" t="s">
        <v>2105</v>
      </c>
      <c r="P486" s="140" t="s">
        <v>2105</v>
      </c>
      <c r="Q486" s="140" t="s">
        <v>2387</v>
      </c>
      <c r="R486" s="155" t="s">
        <v>2713</v>
      </c>
      <c r="S486" s="149">
        <f t="shared" si="22"/>
        <v>8.0000000000000004E-4</v>
      </c>
      <c r="T486" s="149">
        <v>0</v>
      </c>
      <c r="U486" s="157">
        <v>8.0000000000000004E-4</v>
      </c>
      <c r="V486" s="157">
        <v>1.66</v>
      </c>
      <c r="W486" s="157">
        <f>2.86+0.887+0.814+2.13</f>
        <v>6.6909999999999998</v>
      </c>
      <c r="X486" s="149">
        <f t="shared" si="23"/>
        <v>11.107059999999999</v>
      </c>
      <c r="Y486" s="149"/>
    </row>
    <row r="487" spans="1:25" ht="16">
      <c r="A487" s="149" t="s">
        <v>12</v>
      </c>
      <c r="B487" s="150" t="s">
        <v>724</v>
      </c>
      <c r="C487" s="149" t="s">
        <v>1744</v>
      </c>
      <c r="D487" s="149" t="s">
        <v>3555</v>
      </c>
      <c r="E487" s="149" t="s">
        <v>593</v>
      </c>
      <c r="F487" s="149">
        <v>-26.365555560000001</v>
      </c>
      <c r="G487" s="149">
        <v>135.79</v>
      </c>
      <c r="H487" s="149">
        <v>201</v>
      </c>
      <c r="I487" s="151">
        <v>42816</v>
      </c>
      <c r="J487" s="149" t="s">
        <v>36</v>
      </c>
      <c r="K487" s="149" t="s">
        <v>419</v>
      </c>
      <c r="L487" s="155" t="s">
        <v>2566</v>
      </c>
      <c r="M487" s="155" t="s">
        <v>2567</v>
      </c>
      <c r="N487" s="155" t="s">
        <v>2668</v>
      </c>
      <c r="O487" s="155" t="s">
        <v>2105</v>
      </c>
      <c r="P487" s="140" t="s">
        <v>2105</v>
      </c>
      <c r="Q487" s="140" t="s">
        <v>2387</v>
      </c>
      <c r="R487" s="155" t="s">
        <v>2712</v>
      </c>
      <c r="S487" s="149">
        <f t="shared" si="22"/>
        <v>2.9999999999999997E-4</v>
      </c>
      <c r="T487" s="149">
        <v>0</v>
      </c>
      <c r="U487" s="157">
        <v>2.9999999999999997E-4</v>
      </c>
      <c r="V487" s="157">
        <v>1.071</v>
      </c>
      <c r="W487" s="157">
        <f>2.224+1.348+0.633+0.734</f>
        <v>4.9390000000000001</v>
      </c>
      <c r="X487" s="149">
        <f t="shared" si="23"/>
        <v>5.289669</v>
      </c>
      <c r="Y487" s="149"/>
    </row>
    <row r="488" spans="1:25" ht="16">
      <c r="A488" s="149" t="s">
        <v>12</v>
      </c>
      <c r="B488" s="150" t="s">
        <v>725</v>
      </c>
      <c r="C488" s="149" t="s">
        <v>1744</v>
      </c>
      <c r="D488" s="149" t="s">
        <v>3555</v>
      </c>
      <c r="E488" s="149" t="s">
        <v>593</v>
      </c>
      <c r="F488" s="149">
        <v>-26.365555560000001</v>
      </c>
      <c r="G488" s="149">
        <v>135.79</v>
      </c>
      <c r="H488" s="149">
        <v>201</v>
      </c>
      <c r="I488" s="151">
        <v>42816</v>
      </c>
      <c r="J488" s="149" t="s">
        <v>36</v>
      </c>
      <c r="K488" s="149" t="s">
        <v>419</v>
      </c>
      <c r="L488" s="155" t="s">
        <v>2566</v>
      </c>
      <c r="M488" s="155" t="s">
        <v>2567</v>
      </c>
      <c r="N488" s="155" t="s">
        <v>2668</v>
      </c>
      <c r="O488" s="155" t="s">
        <v>2105</v>
      </c>
      <c r="P488" s="140" t="s">
        <v>2105</v>
      </c>
      <c r="Q488" s="140" t="s">
        <v>2387</v>
      </c>
      <c r="R488" s="155" t="s">
        <v>2713</v>
      </c>
      <c r="S488" s="149">
        <f t="shared" ref="S488:S551" si="24">T488+U488</f>
        <v>8.0000000000000004E-4</v>
      </c>
      <c r="T488" s="149">
        <v>0</v>
      </c>
      <c r="U488" s="157">
        <v>8.0000000000000004E-4</v>
      </c>
      <c r="V488" s="157">
        <f>0.848*2</f>
        <v>1.696</v>
      </c>
      <c r="W488" s="157">
        <f>3.064+0.982+2.562</f>
        <v>6.6080000000000005</v>
      </c>
      <c r="X488" s="149">
        <f t="shared" si="23"/>
        <v>11.207168000000001</v>
      </c>
      <c r="Y488" s="149"/>
    </row>
    <row r="489" spans="1:25" ht="16">
      <c r="A489" s="149" t="s">
        <v>12</v>
      </c>
      <c r="B489" s="150" t="s">
        <v>726</v>
      </c>
      <c r="C489" s="149" t="s">
        <v>1744</v>
      </c>
      <c r="D489" s="149" t="s">
        <v>3555</v>
      </c>
      <c r="E489" s="149" t="s">
        <v>593</v>
      </c>
      <c r="F489" s="149">
        <v>-26.365555560000001</v>
      </c>
      <c r="G489" s="149">
        <v>135.79</v>
      </c>
      <c r="H489" s="149">
        <v>201</v>
      </c>
      <c r="I489" s="151">
        <v>42816</v>
      </c>
      <c r="J489" s="149" t="s">
        <v>36</v>
      </c>
      <c r="K489" s="149" t="s">
        <v>419</v>
      </c>
      <c r="L489" s="155" t="s">
        <v>2566</v>
      </c>
      <c r="M489" s="155" t="s">
        <v>2567</v>
      </c>
      <c r="N489" s="155" t="s">
        <v>2668</v>
      </c>
      <c r="O489" s="155" t="s">
        <v>2105</v>
      </c>
      <c r="P489" s="140" t="s">
        <v>2105</v>
      </c>
      <c r="Q489" s="140" t="s">
        <v>2387</v>
      </c>
      <c r="R489" s="155" t="s">
        <v>2713</v>
      </c>
      <c r="S489" s="149">
        <f t="shared" si="24"/>
        <v>8.0000000000000004E-4</v>
      </c>
      <c r="T489" s="149">
        <v>0</v>
      </c>
      <c r="U489" s="157">
        <v>8.0000000000000004E-4</v>
      </c>
      <c r="V489" s="157">
        <v>1.5840000000000001</v>
      </c>
      <c r="W489" s="157">
        <f>3.306+0.704+2.444</f>
        <v>6.4539999999999997</v>
      </c>
      <c r="X489" s="149">
        <f t="shared" si="23"/>
        <v>10.223136</v>
      </c>
      <c r="Y489" s="149"/>
    </row>
    <row r="490" spans="1:25" ht="16">
      <c r="A490" s="149" t="s">
        <v>12</v>
      </c>
      <c r="B490" s="150" t="s">
        <v>727</v>
      </c>
      <c r="C490" s="149" t="s">
        <v>1744</v>
      </c>
      <c r="D490" s="149" t="s">
        <v>3555</v>
      </c>
      <c r="E490" s="149" t="s">
        <v>593</v>
      </c>
      <c r="F490" s="149">
        <v>-26.365555560000001</v>
      </c>
      <c r="G490" s="149">
        <v>135.79</v>
      </c>
      <c r="H490" s="149">
        <v>201</v>
      </c>
      <c r="I490" s="151">
        <v>42816</v>
      </c>
      <c r="J490" s="149" t="s">
        <v>36</v>
      </c>
      <c r="K490" s="149" t="s">
        <v>419</v>
      </c>
      <c r="L490" s="155" t="s">
        <v>2566</v>
      </c>
      <c r="M490" s="155" t="s">
        <v>2567</v>
      </c>
      <c r="N490" s="155" t="s">
        <v>2668</v>
      </c>
      <c r="O490" s="155" t="s">
        <v>2105</v>
      </c>
      <c r="P490" s="140" t="s">
        <v>2105</v>
      </c>
      <c r="Q490" s="140" t="s">
        <v>2387</v>
      </c>
      <c r="R490" s="155" t="s">
        <v>2713</v>
      </c>
      <c r="S490" s="149">
        <f t="shared" si="24"/>
        <v>8.9999999999999998E-4</v>
      </c>
      <c r="T490" s="149">
        <v>0</v>
      </c>
      <c r="U490" s="157">
        <v>8.9999999999999998E-4</v>
      </c>
      <c r="V490" s="157">
        <v>1.627</v>
      </c>
      <c r="W490" s="157">
        <f>1.476+2.142+2.952</f>
        <v>6.57</v>
      </c>
      <c r="X490" s="149">
        <f t="shared" si="23"/>
        <v>10.689390000000001</v>
      </c>
      <c r="Y490" s="149"/>
    </row>
    <row r="491" spans="1:25" ht="16">
      <c r="A491" s="149" t="s">
        <v>12</v>
      </c>
      <c r="B491" s="150" t="s">
        <v>728</v>
      </c>
      <c r="C491" s="149" t="s">
        <v>1744</v>
      </c>
      <c r="D491" s="149" t="s">
        <v>3555</v>
      </c>
      <c r="E491" s="149" t="s">
        <v>593</v>
      </c>
      <c r="F491" s="149">
        <v>-26.365555560000001</v>
      </c>
      <c r="G491" s="149">
        <v>135.79</v>
      </c>
      <c r="H491" s="149">
        <v>201</v>
      </c>
      <c r="I491" s="151">
        <v>42816</v>
      </c>
      <c r="J491" s="149" t="s">
        <v>36</v>
      </c>
      <c r="K491" s="149" t="s">
        <v>419</v>
      </c>
      <c r="L491" s="155" t="s">
        <v>2566</v>
      </c>
      <c r="M491" s="155" t="s">
        <v>2567</v>
      </c>
      <c r="N491" s="155" t="s">
        <v>2668</v>
      </c>
      <c r="O491" s="155" t="s">
        <v>2105</v>
      </c>
      <c r="P491" s="140" t="s">
        <v>2105</v>
      </c>
      <c r="Q491" s="140" t="s">
        <v>2387</v>
      </c>
      <c r="R491" s="155" t="s">
        <v>2713</v>
      </c>
      <c r="S491" s="149">
        <f t="shared" si="24"/>
        <v>8.9999999999999998E-4</v>
      </c>
      <c r="T491" s="149">
        <v>0</v>
      </c>
      <c r="U491" s="157">
        <v>8.9999999999999998E-4</v>
      </c>
      <c r="V491" s="157">
        <v>1.6020000000000001</v>
      </c>
      <c r="W491" s="157">
        <f>3.041+2.724+0.678</f>
        <v>6.4430000000000005</v>
      </c>
      <c r="X491" s="149">
        <f t="shared" si="23"/>
        <v>10.321686000000001</v>
      </c>
      <c r="Y491" s="149"/>
    </row>
    <row r="492" spans="1:25" ht="16">
      <c r="A492" s="149" t="s">
        <v>12</v>
      </c>
      <c r="B492" s="150" t="s">
        <v>729</v>
      </c>
      <c r="C492" s="149" t="s">
        <v>1744</v>
      </c>
      <c r="D492" s="149" t="s">
        <v>3555</v>
      </c>
      <c r="E492" s="149" t="s">
        <v>593</v>
      </c>
      <c r="F492" s="149">
        <v>-26.365555560000001</v>
      </c>
      <c r="G492" s="149">
        <v>135.79</v>
      </c>
      <c r="H492" s="149">
        <v>201</v>
      </c>
      <c r="I492" s="151">
        <v>42816</v>
      </c>
      <c r="J492" s="149" t="s">
        <v>36</v>
      </c>
      <c r="K492" s="149" t="s">
        <v>419</v>
      </c>
      <c r="L492" s="155" t="s">
        <v>2566</v>
      </c>
      <c r="M492" s="155" t="s">
        <v>2567</v>
      </c>
      <c r="N492" s="155" t="s">
        <v>2668</v>
      </c>
      <c r="O492" s="140" t="s">
        <v>2600</v>
      </c>
      <c r="P492" s="149" t="s">
        <v>2735</v>
      </c>
      <c r="Q492" s="140" t="s">
        <v>2709</v>
      </c>
      <c r="R492" s="155" t="s">
        <v>2712</v>
      </c>
      <c r="S492" s="149">
        <f t="shared" si="24"/>
        <v>5.9999999999999995E-4</v>
      </c>
      <c r="T492" s="149">
        <v>0</v>
      </c>
      <c r="U492" s="157">
        <v>5.9999999999999995E-4</v>
      </c>
      <c r="V492" s="157">
        <v>1.3839999999999999</v>
      </c>
      <c r="W492" s="157">
        <f>2.918+0.923+1.009+1.207</f>
        <v>6.0569999999999995</v>
      </c>
      <c r="X492" s="149">
        <f t="shared" si="23"/>
        <v>8.3828879999999995</v>
      </c>
      <c r="Y492" s="149"/>
    </row>
    <row r="493" spans="1:25" ht="16">
      <c r="A493" s="149" t="s">
        <v>12</v>
      </c>
      <c r="B493" s="150" t="s">
        <v>454</v>
      </c>
      <c r="C493" s="149" t="s">
        <v>1744</v>
      </c>
      <c r="D493" s="149" t="s">
        <v>3555</v>
      </c>
      <c r="E493" s="149" t="s">
        <v>418</v>
      </c>
      <c r="F493" s="149">
        <v>-26.284722200000001</v>
      </c>
      <c r="G493" s="149">
        <v>136.09805556000001</v>
      </c>
      <c r="H493" s="149">
        <v>201</v>
      </c>
      <c r="I493" s="151">
        <v>42816</v>
      </c>
      <c r="J493" s="149" t="s">
        <v>36</v>
      </c>
      <c r="K493" s="149" t="s">
        <v>419</v>
      </c>
      <c r="L493" s="140" t="s">
        <v>2566</v>
      </c>
      <c r="M493" s="140" t="s">
        <v>2567</v>
      </c>
      <c r="N493" s="140" t="s">
        <v>2668</v>
      </c>
      <c r="O493" s="140" t="s">
        <v>2105</v>
      </c>
      <c r="P493" s="140" t="s">
        <v>2105</v>
      </c>
      <c r="Q493" s="140" t="s">
        <v>2387</v>
      </c>
      <c r="R493" s="140" t="s">
        <v>2712</v>
      </c>
      <c r="S493" s="149">
        <f t="shared" si="24"/>
        <v>5.9999999999999995E-4</v>
      </c>
      <c r="T493" s="149">
        <v>0</v>
      </c>
      <c r="U493" s="157">
        <v>5.9999999999999995E-4</v>
      </c>
      <c r="V493" s="157">
        <v>1.268</v>
      </c>
      <c r="W493" s="157">
        <v>5.4459999999999997</v>
      </c>
      <c r="X493" s="149">
        <f t="shared" si="23"/>
        <v>6.9055279999999994</v>
      </c>
      <c r="Y493" s="149"/>
    </row>
    <row r="494" spans="1:25" ht="16">
      <c r="A494" s="149" t="s">
        <v>12</v>
      </c>
      <c r="B494" s="150" t="s">
        <v>731</v>
      </c>
      <c r="C494" s="149" t="s">
        <v>1744</v>
      </c>
      <c r="D494" s="149" t="s">
        <v>3555</v>
      </c>
      <c r="E494" s="149" t="s">
        <v>593</v>
      </c>
      <c r="F494" s="149">
        <v>-26.365555560000001</v>
      </c>
      <c r="G494" s="149">
        <v>135.79</v>
      </c>
      <c r="H494" s="149">
        <v>201</v>
      </c>
      <c r="I494" s="151">
        <v>42816</v>
      </c>
      <c r="J494" s="149" t="s">
        <v>36</v>
      </c>
      <c r="K494" s="149" t="s">
        <v>419</v>
      </c>
      <c r="L494" s="155" t="s">
        <v>2566</v>
      </c>
      <c r="M494" s="155" t="s">
        <v>2567</v>
      </c>
      <c r="N494" s="155" t="s">
        <v>2668</v>
      </c>
      <c r="O494" s="155" t="s">
        <v>2105</v>
      </c>
      <c r="P494" s="140" t="s">
        <v>2105</v>
      </c>
      <c r="Q494" s="140" t="s">
        <v>2387</v>
      </c>
      <c r="R494" s="155" t="s">
        <v>2712</v>
      </c>
      <c r="S494" s="149">
        <f t="shared" si="24"/>
        <v>4.0000000000000002E-4</v>
      </c>
      <c r="T494" s="149">
        <v>0</v>
      </c>
      <c r="U494" s="157">
        <v>4.0000000000000002E-4</v>
      </c>
      <c r="V494" s="157">
        <v>1.2470000000000001</v>
      </c>
      <c r="W494" s="157">
        <f>2.253+0.666+0.622+0.622+0.835</f>
        <v>4.9980000000000002</v>
      </c>
      <c r="X494" s="149">
        <f t="shared" si="23"/>
        <v>6.2325060000000008</v>
      </c>
      <c r="Y494" s="149"/>
    </row>
    <row r="495" spans="1:25" ht="16">
      <c r="A495" s="149" t="s">
        <v>12</v>
      </c>
      <c r="B495" s="150" t="s">
        <v>732</v>
      </c>
      <c r="C495" s="149" t="s">
        <v>1744</v>
      </c>
      <c r="D495" s="149" t="s">
        <v>3555</v>
      </c>
      <c r="E495" s="149" t="s">
        <v>593</v>
      </c>
      <c r="F495" s="149">
        <v>-26.365555560000001</v>
      </c>
      <c r="G495" s="149">
        <v>135.79</v>
      </c>
      <c r="H495" s="149">
        <v>201</v>
      </c>
      <c r="I495" s="151">
        <v>42816</v>
      </c>
      <c r="J495" s="149" t="s">
        <v>36</v>
      </c>
      <c r="K495" s="149" t="s">
        <v>419</v>
      </c>
      <c r="L495" s="155" t="s">
        <v>2566</v>
      </c>
      <c r="M495" s="155" t="s">
        <v>2567</v>
      </c>
      <c r="N495" s="155" t="s">
        <v>2668</v>
      </c>
      <c r="O495" s="155" t="s">
        <v>2105</v>
      </c>
      <c r="P495" s="140" t="s">
        <v>2105</v>
      </c>
      <c r="Q495" s="140" t="s">
        <v>2387</v>
      </c>
      <c r="R495" s="155" t="s">
        <v>2713</v>
      </c>
      <c r="S495" s="149">
        <f t="shared" si="24"/>
        <v>8.0000000000000004E-4</v>
      </c>
      <c r="T495" s="149">
        <v>0</v>
      </c>
      <c r="U495" s="157">
        <v>8.0000000000000004E-4</v>
      </c>
      <c r="V495" s="157">
        <v>1.605</v>
      </c>
      <c r="W495" s="157">
        <f>2.86+1.703+1.085+0.695</f>
        <v>6.343</v>
      </c>
      <c r="X495" s="149">
        <f t="shared" si="23"/>
        <v>10.180515</v>
      </c>
      <c r="Y495" s="149"/>
    </row>
    <row r="496" spans="1:25" ht="16">
      <c r="A496" s="149" t="s">
        <v>12</v>
      </c>
      <c r="B496" s="150" t="s">
        <v>733</v>
      </c>
      <c r="C496" s="149" t="s">
        <v>1744</v>
      </c>
      <c r="D496" s="149" t="s">
        <v>3555</v>
      </c>
      <c r="E496" s="149" t="s">
        <v>593</v>
      </c>
      <c r="F496" s="149">
        <v>-26.365555560000001</v>
      </c>
      <c r="G496" s="149">
        <v>135.79</v>
      </c>
      <c r="H496" s="149">
        <v>201</v>
      </c>
      <c r="I496" s="151">
        <v>42816</v>
      </c>
      <c r="J496" s="149" t="s">
        <v>36</v>
      </c>
      <c r="K496" s="149" t="s">
        <v>419</v>
      </c>
      <c r="L496" s="155" t="s">
        <v>2566</v>
      </c>
      <c r="M496" s="155" t="s">
        <v>2567</v>
      </c>
      <c r="N496" s="155" t="s">
        <v>2668</v>
      </c>
      <c r="O496" s="155" t="s">
        <v>2105</v>
      </c>
      <c r="P496" s="140" t="s">
        <v>2105</v>
      </c>
      <c r="Q496" s="140" t="s">
        <v>2387</v>
      </c>
      <c r="R496" s="155" t="s">
        <v>2712</v>
      </c>
      <c r="S496" s="149">
        <f t="shared" si="24"/>
        <v>2.9999999999999997E-4</v>
      </c>
      <c r="T496" s="149">
        <v>0</v>
      </c>
      <c r="U496" s="157">
        <v>2.9999999999999997E-4</v>
      </c>
      <c r="V496" s="157">
        <v>1.0880000000000001</v>
      </c>
      <c r="W496" s="157">
        <f>2.179+0.594+1.181+0.552</f>
        <v>4.5060000000000002</v>
      </c>
      <c r="X496" s="149">
        <f t="shared" si="23"/>
        <v>4.9025280000000002</v>
      </c>
      <c r="Y496" s="149"/>
    </row>
    <row r="497" spans="1:25" ht="16">
      <c r="A497" s="149" t="s">
        <v>12</v>
      </c>
      <c r="B497" s="150" t="s">
        <v>734</v>
      </c>
      <c r="C497" s="149" t="s">
        <v>1744</v>
      </c>
      <c r="D497" s="149" t="s">
        <v>3555</v>
      </c>
      <c r="E497" s="149" t="s">
        <v>593</v>
      </c>
      <c r="F497" s="149">
        <v>-26.365555560000001</v>
      </c>
      <c r="G497" s="149">
        <v>135.79</v>
      </c>
      <c r="H497" s="149">
        <v>201</v>
      </c>
      <c r="I497" s="151">
        <v>42816</v>
      </c>
      <c r="J497" s="149" t="s">
        <v>36</v>
      </c>
      <c r="K497" s="149" t="s">
        <v>419</v>
      </c>
      <c r="L497" s="155" t="s">
        <v>2566</v>
      </c>
      <c r="M497" s="155" t="s">
        <v>2567</v>
      </c>
      <c r="N497" s="155" t="s">
        <v>2668</v>
      </c>
      <c r="O497" s="155" t="s">
        <v>2105</v>
      </c>
      <c r="P497" s="140" t="s">
        <v>2105</v>
      </c>
      <c r="Q497" s="140" t="s">
        <v>2387</v>
      </c>
      <c r="R497" s="155" t="s">
        <v>2713</v>
      </c>
      <c r="S497" s="149">
        <f t="shared" si="24"/>
        <v>5.0000000000000001E-4</v>
      </c>
      <c r="T497" s="149">
        <v>0</v>
      </c>
      <c r="U497" s="157">
        <v>5.0000000000000001E-4</v>
      </c>
      <c r="V497" s="157">
        <v>1.464</v>
      </c>
      <c r="W497" s="157">
        <f>2.796+0.64+0.711+1.55</f>
        <v>5.6970000000000001</v>
      </c>
      <c r="X497" s="149">
        <f t="shared" si="23"/>
        <v>8.340408</v>
      </c>
      <c r="Y497" s="149"/>
    </row>
    <row r="498" spans="1:25" ht="16">
      <c r="A498" s="149" t="s">
        <v>12</v>
      </c>
      <c r="B498" s="150" t="s">
        <v>735</v>
      </c>
      <c r="C498" s="149" t="s">
        <v>1744</v>
      </c>
      <c r="D498" s="149" t="s">
        <v>3555</v>
      </c>
      <c r="E498" s="149" t="s">
        <v>593</v>
      </c>
      <c r="F498" s="149">
        <v>-26.365555560000001</v>
      </c>
      <c r="G498" s="149">
        <v>135.79</v>
      </c>
      <c r="H498" s="149">
        <v>201</v>
      </c>
      <c r="I498" s="151">
        <v>42816</v>
      </c>
      <c r="J498" s="149" t="s">
        <v>36</v>
      </c>
      <c r="K498" s="149" t="s">
        <v>419</v>
      </c>
      <c r="L498" s="155" t="s">
        <v>2566</v>
      </c>
      <c r="M498" s="155" t="s">
        <v>2567</v>
      </c>
      <c r="N498" s="155" t="s">
        <v>2668</v>
      </c>
      <c r="O498" s="155" t="s">
        <v>2105</v>
      </c>
      <c r="P498" s="140" t="s">
        <v>2105</v>
      </c>
      <c r="Q498" s="140" t="s">
        <v>2387</v>
      </c>
      <c r="R498" s="155" t="s">
        <v>2713</v>
      </c>
      <c r="S498" s="149">
        <f t="shared" si="24"/>
        <v>8.0000000000000004E-4</v>
      </c>
      <c r="T498" s="149">
        <v>0</v>
      </c>
      <c r="U498" s="157">
        <v>8.0000000000000004E-4</v>
      </c>
      <c r="V498" s="157">
        <v>1.6020000000000001</v>
      </c>
      <c r="W498" s="157">
        <f>3.09+1.041+0.885+1.047</f>
        <v>6.0629999999999997</v>
      </c>
      <c r="X498" s="149">
        <f t="shared" si="23"/>
        <v>9.7129259999999995</v>
      </c>
      <c r="Y498" s="149"/>
    </row>
    <row r="499" spans="1:25" ht="16">
      <c r="A499" s="149" t="s">
        <v>12</v>
      </c>
      <c r="B499" s="150" t="s">
        <v>736</v>
      </c>
      <c r="C499" s="149" t="s">
        <v>1744</v>
      </c>
      <c r="D499" s="149" t="s">
        <v>3555</v>
      </c>
      <c r="E499" s="149" t="s">
        <v>593</v>
      </c>
      <c r="F499" s="149">
        <v>-26.365555560000001</v>
      </c>
      <c r="G499" s="149">
        <v>135.79</v>
      </c>
      <c r="H499" s="149">
        <v>201</v>
      </c>
      <c r="I499" s="151">
        <v>42816</v>
      </c>
      <c r="J499" s="149" t="s">
        <v>36</v>
      </c>
      <c r="K499" s="149" t="s">
        <v>419</v>
      </c>
      <c r="L499" s="155" t="s">
        <v>2566</v>
      </c>
      <c r="M499" s="155" t="s">
        <v>2567</v>
      </c>
      <c r="N499" s="155" t="s">
        <v>2668</v>
      </c>
      <c r="O499" s="155" t="s">
        <v>2105</v>
      </c>
      <c r="P499" s="140" t="s">
        <v>2105</v>
      </c>
      <c r="Q499" s="140" t="s">
        <v>2387</v>
      </c>
      <c r="R499" s="155" t="s">
        <v>2713</v>
      </c>
      <c r="S499" s="149">
        <f t="shared" si="24"/>
        <v>1E-3</v>
      </c>
      <c r="T499" s="149">
        <v>0</v>
      </c>
      <c r="U499" s="157">
        <v>1E-3</v>
      </c>
      <c r="V499" s="157">
        <v>1.6850000000000001</v>
      </c>
      <c r="W499" s="157">
        <f>3.151+0.897+1.318+1.43</f>
        <v>6.7959999999999994</v>
      </c>
      <c r="X499" s="149">
        <f t="shared" si="23"/>
        <v>11.45126</v>
      </c>
      <c r="Y499" s="149"/>
    </row>
    <row r="500" spans="1:25" ht="16">
      <c r="A500" s="149" t="s">
        <v>12</v>
      </c>
      <c r="B500" s="150" t="s">
        <v>737</v>
      </c>
      <c r="C500" s="149" t="s">
        <v>1744</v>
      </c>
      <c r="D500" s="149" t="s">
        <v>3555</v>
      </c>
      <c r="E500" s="149" t="s">
        <v>593</v>
      </c>
      <c r="F500" s="149">
        <v>-26.365555560000001</v>
      </c>
      <c r="G500" s="149">
        <v>135.79</v>
      </c>
      <c r="H500" s="149">
        <v>201</v>
      </c>
      <c r="I500" s="151">
        <v>42816</v>
      </c>
      <c r="J500" s="149" t="s">
        <v>36</v>
      </c>
      <c r="K500" s="149" t="s">
        <v>419</v>
      </c>
      <c r="L500" s="155" t="s">
        <v>2566</v>
      </c>
      <c r="M500" s="155" t="s">
        <v>2567</v>
      </c>
      <c r="N500" s="155" t="s">
        <v>2668</v>
      </c>
      <c r="O500" s="155" t="s">
        <v>2105</v>
      </c>
      <c r="P500" s="140" t="s">
        <v>2105</v>
      </c>
      <c r="Q500" s="140" t="s">
        <v>2387</v>
      </c>
      <c r="R500" s="155" t="s">
        <v>2712</v>
      </c>
      <c r="S500" s="149">
        <f t="shared" si="24"/>
        <v>4.0000000000000002E-4</v>
      </c>
      <c r="T500" s="149">
        <v>0</v>
      </c>
      <c r="U500" s="157">
        <v>4.0000000000000002E-4</v>
      </c>
      <c r="V500" s="157">
        <v>1.175</v>
      </c>
      <c r="W500" s="157">
        <f>2.58+0.806+1.667</f>
        <v>5.0529999999999999</v>
      </c>
      <c r="X500" s="149">
        <f t="shared" si="23"/>
        <v>5.9372750000000005</v>
      </c>
      <c r="Y500" s="149"/>
    </row>
    <row r="501" spans="1:25" ht="16">
      <c r="A501" s="149" t="s">
        <v>12</v>
      </c>
      <c r="B501" s="150" t="s">
        <v>738</v>
      </c>
      <c r="C501" s="149" t="s">
        <v>1744</v>
      </c>
      <c r="D501" s="149" t="s">
        <v>3555</v>
      </c>
      <c r="E501" s="149" t="s">
        <v>593</v>
      </c>
      <c r="F501" s="149">
        <v>-26.365555560000001</v>
      </c>
      <c r="G501" s="149">
        <v>135.79</v>
      </c>
      <c r="H501" s="149">
        <v>201</v>
      </c>
      <c r="I501" s="151">
        <v>42816</v>
      </c>
      <c r="J501" s="149" t="s">
        <v>36</v>
      </c>
      <c r="K501" s="149" t="s">
        <v>419</v>
      </c>
      <c r="L501" s="155" t="s">
        <v>2566</v>
      </c>
      <c r="M501" s="155" t="s">
        <v>2567</v>
      </c>
      <c r="N501" s="155" t="s">
        <v>2668</v>
      </c>
      <c r="O501" s="155" t="s">
        <v>2105</v>
      </c>
      <c r="P501" s="140" t="s">
        <v>2105</v>
      </c>
      <c r="Q501" s="140" t="s">
        <v>2387</v>
      </c>
      <c r="R501" s="155" t="s">
        <v>2713</v>
      </c>
      <c r="S501" s="149">
        <f t="shared" si="24"/>
        <v>8.0000000000000004E-4</v>
      </c>
      <c r="T501" s="149">
        <v>0</v>
      </c>
      <c r="U501" s="157">
        <v>8.0000000000000004E-4</v>
      </c>
      <c r="V501" s="157">
        <v>1.5309999999999999</v>
      </c>
      <c r="W501" s="157">
        <f>2.163+0.934+0.833+3.059</f>
        <v>6.9889999999999999</v>
      </c>
      <c r="X501" s="149">
        <f t="shared" si="23"/>
        <v>10.700158999999999</v>
      </c>
      <c r="Y501" s="149"/>
    </row>
    <row r="502" spans="1:25" ht="16">
      <c r="A502" s="149" t="s">
        <v>12</v>
      </c>
      <c r="B502" s="150" t="s">
        <v>739</v>
      </c>
      <c r="C502" s="149" t="s">
        <v>1744</v>
      </c>
      <c r="D502" s="149" t="s">
        <v>3555</v>
      </c>
      <c r="E502" s="149" t="s">
        <v>593</v>
      </c>
      <c r="F502" s="149">
        <v>-26.365555560000001</v>
      </c>
      <c r="G502" s="149">
        <v>135.79</v>
      </c>
      <c r="H502" s="149">
        <v>201</v>
      </c>
      <c r="I502" s="151">
        <v>42816</v>
      </c>
      <c r="J502" s="149" t="s">
        <v>36</v>
      </c>
      <c r="K502" s="149" t="s">
        <v>419</v>
      </c>
      <c r="L502" s="155" t="s">
        <v>2566</v>
      </c>
      <c r="M502" s="155" t="s">
        <v>2567</v>
      </c>
      <c r="N502" s="155" t="s">
        <v>2668</v>
      </c>
      <c r="O502" s="155" t="s">
        <v>2105</v>
      </c>
      <c r="P502" s="140" t="s">
        <v>2105</v>
      </c>
      <c r="Q502" s="140" t="s">
        <v>2387</v>
      </c>
      <c r="R502" s="155" t="s">
        <v>2713</v>
      </c>
      <c r="S502" s="149">
        <f t="shared" si="24"/>
        <v>8.0000000000000004E-4</v>
      </c>
      <c r="T502" s="149">
        <v>0</v>
      </c>
      <c r="U502" s="157">
        <v>8.0000000000000004E-4</v>
      </c>
      <c r="V502" s="157">
        <v>1.577</v>
      </c>
      <c r="W502" s="157">
        <f>2.916+1.454+2.286</f>
        <v>6.6560000000000006</v>
      </c>
      <c r="X502" s="149">
        <f t="shared" si="23"/>
        <v>10.496512000000001</v>
      </c>
      <c r="Y502" s="149"/>
    </row>
    <row r="503" spans="1:25" ht="16">
      <c r="A503" s="149" t="s">
        <v>12</v>
      </c>
      <c r="B503" s="150" t="s">
        <v>455</v>
      </c>
      <c r="C503" s="149" t="s">
        <v>1744</v>
      </c>
      <c r="D503" s="149" t="s">
        <v>3555</v>
      </c>
      <c r="E503" s="149" t="s">
        <v>418</v>
      </c>
      <c r="F503" s="149">
        <v>-26.284722200000001</v>
      </c>
      <c r="G503" s="149">
        <v>136.09805556000001</v>
      </c>
      <c r="H503" s="149">
        <v>201</v>
      </c>
      <c r="I503" s="151">
        <v>42816</v>
      </c>
      <c r="J503" s="149" t="s">
        <v>36</v>
      </c>
      <c r="K503" s="149" t="s">
        <v>419</v>
      </c>
      <c r="L503" s="140" t="s">
        <v>2569</v>
      </c>
      <c r="M503" s="140" t="s">
        <v>2570</v>
      </c>
      <c r="N503" s="140" t="s">
        <v>2571</v>
      </c>
      <c r="O503" s="140" t="s">
        <v>2369</v>
      </c>
      <c r="P503" s="140" t="s">
        <v>3556</v>
      </c>
      <c r="Q503" s="140" t="s">
        <v>2678</v>
      </c>
      <c r="R503" s="140" t="s">
        <v>2712</v>
      </c>
      <c r="S503" s="149">
        <f t="shared" si="24"/>
        <v>3.3E-3</v>
      </c>
      <c r="T503" s="149">
        <v>0</v>
      </c>
      <c r="U503" s="157">
        <v>3.3E-3</v>
      </c>
      <c r="V503" s="157">
        <v>2.4710000000000001</v>
      </c>
      <c r="W503" s="157">
        <v>8.0830000000000002</v>
      </c>
      <c r="X503" s="149">
        <f t="shared" si="23"/>
        <v>19.973093000000002</v>
      </c>
      <c r="Y503" s="149"/>
    </row>
    <row r="504" spans="1:25" ht="16">
      <c r="A504" s="149" t="s">
        <v>12</v>
      </c>
      <c r="B504" s="150" t="s">
        <v>740</v>
      </c>
      <c r="C504" s="149" t="s">
        <v>1744</v>
      </c>
      <c r="D504" s="149" t="s">
        <v>3555</v>
      </c>
      <c r="E504" s="149" t="s">
        <v>593</v>
      </c>
      <c r="F504" s="149">
        <v>-26.365555560000001</v>
      </c>
      <c r="G504" s="149">
        <v>135.79</v>
      </c>
      <c r="H504" s="149">
        <v>201</v>
      </c>
      <c r="I504" s="151">
        <v>42816</v>
      </c>
      <c r="J504" s="149" t="s">
        <v>36</v>
      </c>
      <c r="K504" s="149" t="s">
        <v>419</v>
      </c>
      <c r="L504" s="155" t="s">
        <v>2566</v>
      </c>
      <c r="M504" s="155" t="s">
        <v>2567</v>
      </c>
      <c r="N504" s="155" t="s">
        <v>2668</v>
      </c>
      <c r="O504" s="155" t="s">
        <v>2105</v>
      </c>
      <c r="P504" s="140" t="s">
        <v>2105</v>
      </c>
      <c r="Q504" s="140" t="s">
        <v>2387</v>
      </c>
      <c r="R504" s="155" t="s">
        <v>2713</v>
      </c>
      <c r="S504" s="149">
        <f t="shared" si="24"/>
        <v>6.9999999999999999E-4</v>
      </c>
      <c r="T504" s="149">
        <v>0</v>
      </c>
      <c r="U504" s="157">
        <v>6.9999999999999999E-4</v>
      </c>
      <c r="V504" s="157">
        <v>1.583</v>
      </c>
      <c r="W504" s="157">
        <f>2.942+0.935+2.205</f>
        <v>6.0820000000000007</v>
      </c>
      <c r="X504" s="149">
        <f t="shared" si="23"/>
        <v>9.6278060000000014</v>
      </c>
      <c r="Y504" s="149"/>
    </row>
    <row r="505" spans="1:25" ht="16">
      <c r="A505" s="149" t="s">
        <v>12</v>
      </c>
      <c r="B505" s="150" t="s">
        <v>741</v>
      </c>
      <c r="C505" s="149" t="s">
        <v>1744</v>
      </c>
      <c r="D505" s="149" t="s">
        <v>3555</v>
      </c>
      <c r="E505" s="149" t="s">
        <v>593</v>
      </c>
      <c r="F505" s="149">
        <v>-26.365555560000001</v>
      </c>
      <c r="G505" s="149">
        <v>135.79</v>
      </c>
      <c r="H505" s="149">
        <v>201</v>
      </c>
      <c r="I505" s="151">
        <v>42816</v>
      </c>
      <c r="J505" s="149" t="s">
        <v>36</v>
      </c>
      <c r="K505" s="149" t="s">
        <v>419</v>
      </c>
      <c r="L505" s="155" t="s">
        <v>2566</v>
      </c>
      <c r="M505" s="155" t="s">
        <v>2567</v>
      </c>
      <c r="N505" s="155" t="s">
        <v>2668</v>
      </c>
      <c r="O505" s="155" t="s">
        <v>2105</v>
      </c>
      <c r="P505" s="140" t="s">
        <v>2105</v>
      </c>
      <c r="Q505" s="140" t="s">
        <v>2387</v>
      </c>
      <c r="R505" s="155" t="s">
        <v>2713</v>
      </c>
      <c r="S505" s="149">
        <f t="shared" si="24"/>
        <v>8.9999999999999998E-4</v>
      </c>
      <c r="T505" s="149">
        <v>0</v>
      </c>
      <c r="U505" s="157">
        <v>8.9999999999999998E-4</v>
      </c>
      <c r="V505" s="157">
        <v>1.607</v>
      </c>
      <c r="W505" s="157">
        <f>3.125+1.053+1.403+1.3767</f>
        <v>6.9576999999999991</v>
      </c>
      <c r="X505" s="149">
        <f t="shared" si="23"/>
        <v>11.181023899999998</v>
      </c>
      <c r="Y505" s="149"/>
    </row>
    <row r="506" spans="1:25" ht="16">
      <c r="A506" s="149" t="s">
        <v>12</v>
      </c>
      <c r="B506" s="150" t="s">
        <v>742</v>
      </c>
      <c r="C506" s="149" t="s">
        <v>1744</v>
      </c>
      <c r="D506" s="149" t="s">
        <v>3555</v>
      </c>
      <c r="E506" s="149" t="s">
        <v>593</v>
      </c>
      <c r="F506" s="149">
        <v>-26.365555560000001</v>
      </c>
      <c r="G506" s="149">
        <v>135.79</v>
      </c>
      <c r="H506" s="149">
        <v>201</v>
      </c>
      <c r="I506" s="151">
        <v>42816</v>
      </c>
      <c r="J506" s="149" t="s">
        <v>36</v>
      </c>
      <c r="K506" s="149" t="s">
        <v>419</v>
      </c>
      <c r="L506" s="155" t="s">
        <v>2566</v>
      </c>
      <c r="M506" s="155" t="s">
        <v>2567</v>
      </c>
      <c r="N506" s="155" t="s">
        <v>2668</v>
      </c>
      <c r="O506" s="155" t="s">
        <v>2105</v>
      </c>
      <c r="P506" s="140" t="s">
        <v>2105</v>
      </c>
      <c r="Q506" s="140" t="s">
        <v>2387</v>
      </c>
      <c r="R506" s="155" t="s">
        <v>2713</v>
      </c>
      <c r="S506" s="149">
        <f t="shared" si="24"/>
        <v>1E-3</v>
      </c>
      <c r="T506" s="149">
        <v>0</v>
      </c>
      <c r="U506" s="157">
        <v>1E-3</v>
      </c>
      <c r="V506" s="157">
        <v>1.696</v>
      </c>
      <c r="W506" s="140">
        <f>2.926+1.779+0.989+1.101</f>
        <v>6.7949999999999999</v>
      </c>
      <c r="X506" s="149">
        <f t="shared" si="23"/>
        <v>11.524319999999999</v>
      </c>
      <c r="Y506" s="149"/>
    </row>
    <row r="507" spans="1:25" ht="16">
      <c r="A507" s="149" t="s">
        <v>12</v>
      </c>
      <c r="B507" s="150" t="s">
        <v>743</v>
      </c>
      <c r="C507" s="149" t="s">
        <v>1744</v>
      </c>
      <c r="D507" s="149" t="s">
        <v>3555</v>
      </c>
      <c r="E507" s="149" t="s">
        <v>593</v>
      </c>
      <c r="F507" s="149">
        <v>-26.365555560000001</v>
      </c>
      <c r="G507" s="149">
        <v>135.79</v>
      </c>
      <c r="H507" s="149">
        <v>201</v>
      </c>
      <c r="I507" s="151">
        <v>42816</v>
      </c>
      <c r="J507" s="149" t="s">
        <v>36</v>
      </c>
      <c r="K507" s="149" t="s">
        <v>419</v>
      </c>
      <c r="L507" s="140" t="s">
        <v>2572</v>
      </c>
      <c r="M507" s="140" t="s">
        <v>2407</v>
      </c>
      <c r="N507" s="140" t="s">
        <v>36</v>
      </c>
      <c r="O507" s="140" t="s">
        <v>2215</v>
      </c>
      <c r="P507" s="140" t="s">
        <v>2215</v>
      </c>
      <c r="Q507" s="140" t="s">
        <v>2702</v>
      </c>
      <c r="R507" s="140" t="s">
        <v>2712</v>
      </c>
      <c r="S507" s="149">
        <f t="shared" si="24"/>
        <v>5.9999999999999995E-4</v>
      </c>
      <c r="T507" s="149">
        <v>0</v>
      </c>
      <c r="U507" s="157">
        <v>5.9999999999999995E-4</v>
      </c>
      <c r="V507" s="157">
        <v>1.331</v>
      </c>
      <c r="W507" s="157">
        <f>2.847+0.935+1.55+1.034</f>
        <v>6.3659999999999997</v>
      </c>
      <c r="X507" s="149">
        <f t="shared" si="23"/>
        <v>8.4731459999999998</v>
      </c>
      <c r="Y507" s="149"/>
    </row>
    <row r="508" spans="1:25" ht="16">
      <c r="A508" s="149" t="s">
        <v>12</v>
      </c>
      <c r="B508" s="150" t="s">
        <v>744</v>
      </c>
      <c r="C508" s="149" t="s">
        <v>1744</v>
      </c>
      <c r="D508" s="149" t="s">
        <v>3555</v>
      </c>
      <c r="E508" s="149" t="s">
        <v>593</v>
      </c>
      <c r="F508" s="149">
        <v>-26.365555560000001</v>
      </c>
      <c r="G508" s="149">
        <v>135.79</v>
      </c>
      <c r="H508" s="149">
        <v>201</v>
      </c>
      <c r="I508" s="151">
        <v>42816</v>
      </c>
      <c r="J508" s="149" t="s">
        <v>36</v>
      </c>
      <c r="K508" s="149" t="s">
        <v>419</v>
      </c>
      <c r="L508" s="155" t="s">
        <v>2566</v>
      </c>
      <c r="M508" s="155" t="s">
        <v>2567</v>
      </c>
      <c r="N508" s="155" t="s">
        <v>2668</v>
      </c>
      <c r="O508" s="155" t="s">
        <v>2105</v>
      </c>
      <c r="P508" s="140" t="s">
        <v>2105</v>
      </c>
      <c r="Q508" s="140" t="s">
        <v>2387</v>
      </c>
      <c r="R508" s="155" t="s">
        <v>2713</v>
      </c>
      <c r="S508" s="149">
        <f t="shared" si="24"/>
        <v>8.9999999999999998E-4</v>
      </c>
      <c r="T508" s="149">
        <v>0</v>
      </c>
      <c r="U508" s="157">
        <v>8.9999999999999998E-4</v>
      </c>
      <c r="V508" s="157">
        <v>1.554</v>
      </c>
      <c r="W508" s="157">
        <f>3.002+1.208+1.066+1.177</f>
        <v>6.4529999999999994</v>
      </c>
      <c r="X508" s="149">
        <f t="shared" si="23"/>
        <v>10.027961999999999</v>
      </c>
      <c r="Y508" s="149"/>
    </row>
    <row r="509" spans="1:25" ht="16">
      <c r="A509" s="149" t="s">
        <v>12</v>
      </c>
      <c r="B509" s="150" t="s">
        <v>745</v>
      </c>
      <c r="C509" s="149" t="s">
        <v>1744</v>
      </c>
      <c r="D509" s="149" t="s">
        <v>3555</v>
      </c>
      <c r="E509" s="149" t="s">
        <v>593</v>
      </c>
      <c r="F509" s="149">
        <v>-26.365555560000001</v>
      </c>
      <c r="G509" s="149">
        <v>135.79</v>
      </c>
      <c r="H509" s="149">
        <v>201</v>
      </c>
      <c r="I509" s="151">
        <v>42816</v>
      </c>
      <c r="J509" s="149" t="s">
        <v>36</v>
      </c>
      <c r="K509" s="149" t="s">
        <v>419</v>
      </c>
      <c r="L509" s="155" t="s">
        <v>2566</v>
      </c>
      <c r="M509" s="155" t="s">
        <v>2567</v>
      </c>
      <c r="N509" s="155" t="s">
        <v>2668</v>
      </c>
      <c r="O509" s="155" t="s">
        <v>2105</v>
      </c>
      <c r="P509" s="140" t="s">
        <v>2105</v>
      </c>
      <c r="Q509" s="140" t="s">
        <v>2387</v>
      </c>
      <c r="R509" s="155" t="s">
        <v>2713</v>
      </c>
      <c r="S509" s="149">
        <f t="shared" si="24"/>
        <v>5.9999999999999995E-4</v>
      </c>
      <c r="T509" s="149">
        <v>0</v>
      </c>
      <c r="U509" s="157">
        <v>5.9999999999999995E-4</v>
      </c>
      <c r="V509" s="157">
        <v>1.47</v>
      </c>
      <c r="W509" s="157">
        <f>2.863+1.06+1.07+1.201</f>
        <v>6.1940000000000008</v>
      </c>
      <c r="X509" s="149">
        <f t="shared" si="23"/>
        <v>9.1051800000000007</v>
      </c>
      <c r="Y509" s="149"/>
    </row>
    <row r="510" spans="1:25" ht="16">
      <c r="A510" s="149" t="s">
        <v>12</v>
      </c>
      <c r="B510" s="150" t="s">
        <v>746</v>
      </c>
      <c r="C510" s="149" t="s">
        <v>1744</v>
      </c>
      <c r="D510" s="149" t="s">
        <v>3555</v>
      </c>
      <c r="E510" s="149" t="s">
        <v>593</v>
      </c>
      <c r="F510" s="149">
        <v>-26.365555560000001</v>
      </c>
      <c r="G510" s="149">
        <v>135.79</v>
      </c>
      <c r="H510" s="149">
        <v>201</v>
      </c>
      <c r="I510" s="151">
        <v>42816</v>
      </c>
      <c r="J510" s="149" t="s">
        <v>36</v>
      </c>
      <c r="K510" s="149" t="s">
        <v>419</v>
      </c>
      <c r="L510" s="155" t="s">
        <v>2566</v>
      </c>
      <c r="M510" s="155" t="s">
        <v>2567</v>
      </c>
      <c r="N510" s="155" t="s">
        <v>2668</v>
      </c>
      <c r="O510" s="155" t="s">
        <v>2105</v>
      </c>
      <c r="P510" s="140" t="s">
        <v>2105</v>
      </c>
      <c r="Q510" s="140" t="s">
        <v>2387</v>
      </c>
      <c r="R510" s="155" t="s">
        <v>2713</v>
      </c>
      <c r="S510" s="149">
        <f t="shared" si="24"/>
        <v>5.9999999999999995E-4</v>
      </c>
      <c r="T510" s="149">
        <v>0</v>
      </c>
      <c r="U510" s="157">
        <v>5.9999999999999995E-4</v>
      </c>
      <c r="V510" s="157">
        <v>1.3740000000000001</v>
      </c>
      <c r="W510" s="157">
        <f>2.945+0.999+2.54</f>
        <v>6.484</v>
      </c>
      <c r="X510" s="149">
        <f t="shared" si="23"/>
        <v>8.9090160000000012</v>
      </c>
      <c r="Y510" s="149"/>
    </row>
    <row r="511" spans="1:25" ht="16">
      <c r="A511" s="149" t="s">
        <v>12</v>
      </c>
      <c r="B511" s="150" t="s">
        <v>747</v>
      </c>
      <c r="C511" s="149" t="s">
        <v>1744</v>
      </c>
      <c r="D511" s="149" t="s">
        <v>3555</v>
      </c>
      <c r="E511" s="149" t="s">
        <v>593</v>
      </c>
      <c r="F511" s="149">
        <v>-26.365555560000001</v>
      </c>
      <c r="G511" s="149">
        <v>135.79</v>
      </c>
      <c r="H511" s="149">
        <v>201</v>
      </c>
      <c r="I511" s="151">
        <v>42816</v>
      </c>
      <c r="J511" s="149" t="s">
        <v>36</v>
      </c>
      <c r="K511" s="149" t="s">
        <v>419</v>
      </c>
      <c r="L511" s="155" t="s">
        <v>2566</v>
      </c>
      <c r="M511" s="155" t="s">
        <v>2567</v>
      </c>
      <c r="N511" s="155" t="s">
        <v>2668</v>
      </c>
      <c r="O511" s="140" t="s">
        <v>2600</v>
      </c>
      <c r="P511" s="149" t="s">
        <v>2735</v>
      </c>
      <c r="Q511" s="140" t="s">
        <v>2709</v>
      </c>
      <c r="R511" s="155" t="s">
        <v>2712</v>
      </c>
      <c r="S511" s="149">
        <f t="shared" si="24"/>
        <v>5.0000000000000001E-4</v>
      </c>
      <c r="T511" s="149">
        <v>0</v>
      </c>
      <c r="U511" s="157">
        <v>5.0000000000000001E-4</v>
      </c>
      <c r="V511" s="157">
        <v>1.345</v>
      </c>
      <c r="W511" s="157">
        <f>2.749+1.348+1.133</f>
        <v>5.23</v>
      </c>
      <c r="X511" s="149">
        <f t="shared" si="23"/>
        <v>7.0343500000000008</v>
      </c>
      <c r="Y511" s="149"/>
    </row>
    <row r="512" spans="1:25" ht="16">
      <c r="A512" s="149" t="s">
        <v>12</v>
      </c>
      <c r="B512" s="150" t="s">
        <v>748</v>
      </c>
      <c r="C512" s="149" t="s">
        <v>1744</v>
      </c>
      <c r="D512" s="149" t="s">
        <v>3555</v>
      </c>
      <c r="E512" s="149" t="s">
        <v>593</v>
      </c>
      <c r="F512" s="149">
        <v>-26.365555560000001</v>
      </c>
      <c r="G512" s="149">
        <v>135.79</v>
      </c>
      <c r="H512" s="149">
        <v>201</v>
      </c>
      <c r="I512" s="151">
        <v>42816</v>
      </c>
      <c r="J512" s="149" t="s">
        <v>36</v>
      </c>
      <c r="K512" s="149" t="s">
        <v>419</v>
      </c>
      <c r="L512" s="155" t="s">
        <v>2566</v>
      </c>
      <c r="M512" s="155" t="s">
        <v>2567</v>
      </c>
      <c r="N512" s="155" t="s">
        <v>2668</v>
      </c>
      <c r="O512" s="155" t="s">
        <v>2105</v>
      </c>
      <c r="P512" s="140" t="s">
        <v>2105</v>
      </c>
      <c r="Q512" s="140" t="s">
        <v>2387</v>
      </c>
      <c r="R512" s="155" t="s">
        <v>2712</v>
      </c>
      <c r="S512" s="149">
        <f t="shared" si="24"/>
        <v>4.0000000000000002E-4</v>
      </c>
      <c r="T512" s="149">
        <v>0</v>
      </c>
      <c r="U512" s="157">
        <v>4.0000000000000002E-4</v>
      </c>
      <c r="V512" s="157">
        <v>1.2410000000000001</v>
      </c>
      <c r="W512" s="157">
        <f>2.526+0.951+0.874+0.976</f>
        <v>5.327</v>
      </c>
      <c r="X512" s="149">
        <f t="shared" ref="X512:X575" si="25">V512*W512</f>
        <v>6.6108070000000003</v>
      </c>
      <c r="Y512" s="149"/>
    </row>
    <row r="513" spans="1:25" ht="16">
      <c r="A513" s="149" t="s">
        <v>12</v>
      </c>
      <c r="B513" s="150" t="s">
        <v>749</v>
      </c>
      <c r="C513" s="149" t="s">
        <v>1744</v>
      </c>
      <c r="D513" s="149" t="s">
        <v>3555</v>
      </c>
      <c r="E513" s="149" t="s">
        <v>593</v>
      </c>
      <c r="F513" s="149">
        <v>-26.365555560000001</v>
      </c>
      <c r="G513" s="149">
        <v>135.79</v>
      </c>
      <c r="H513" s="149">
        <v>201</v>
      </c>
      <c r="I513" s="151">
        <v>42816</v>
      </c>
      <c r="J513" s="149" t="s">
        <v>36</v>
      </c>
      <c r="K513" s="149" t="s">
        <v>419</v>
      </c>
      <c r="L513" s="155" t="s">
        <v>2566</v>
      </c>
      <c r="M513" s="155" t="s">
        <v>2567</v>
      </c>
      <c r="N513" s="155" t="s">
        <v>2668</v>
      </c>
      <c r="O513" s="155" t="s">
        <v>2105</v>
      </c>
      <c r="P513" s="140" t="s">
        <v>2105</v>
      </c>
      <c r="Q513" s="140" t="s">
        <v>2387</v>
      </c>
      <c r="R513" s="155" t="s">
        <v>2712</v>
      </c>
      <c r="S513" s="149">
        <f t="shared" si="24"/>
        <v>4.0000000000000002E-4</v>
      </c>
      <c r="T513" s="149">
        <v>0</v>
      </c>
      <c r="U513" s="157">
        <v>4.0000000000000002E-4</v>
      </c>
      <c r="V513" s="157">
        <v>1.2430000000000001</v>
      </c>
      <c r="W513" s="157">
        <f>2.354+1.246+1.239</f>
        <v>4.8390000000000004</v>
      </c>
      <c r="X513" s="149">
        <f t="shared" si="25"/>
        <v>6.0148770000000011</v>
      </c>
      <c r="Y513" s="149"/>
    </row>
    <row r="514" spans="1:25" ht="16">
      <c r="A514" s="149" t="s">
        <v>12</v>
      </c>
      <c r="B514" s="150" t="s">
        <v>456</v>
      </c>
      <c r="C514" s="149" t="s">
        <v>1744</v>
      </c>
      <c r="D514" s="149" t="s">
        <v>3555</v>
      </c>
      <c r="E514" s="149" t="s">
        <v>418</v>
      </c>
      <c r="F514" s="149">
        <v>-26.284722200000001</v>
      </c>
      <c r="G514" s="149">
        <v>136.09805556000001</v>
      </c>
      <c r="H514" s="149">
        <v>201</v>
      </c>
      <c r="I514" s="151">
        <v>42816</v>
      </c>
      <c r="J514" s="149" t="s">
        <v>36</v>
      </c>
      <c r="K514" s="149" t="s">
        <v>419</v>
      </c>
      <c r="L514" s="140" t="s">
        <v>2569</v>
      </c>
      <c r="M514" s="140" t="s">
        <v>2570</v>
      </c>
      <c r="N514" s="140" t="s">
        <v>2571</v>
      </c>
      <c r="O514" s="140" t="s">
        <v>2369</v>
      </c>
      <c r="P514" s="140" t="s">
        <v>3556</v>
      </c>
      <c r="Q514" s="140" t="s">
        <v>2669</v>
      </c>
      <c r="R514" s="140" t="s">
        <v>2712</v>
      </c>
      <c r="S514" s="149">
        <f t="shared" si="24"/>
        <v>3.0999999999999999E-3</v>
      </c>
      <c r="T514" s="149">
        <v>0</v>
      </c>
      <c r="U514" s="157">
        <v>3.0999999999999999E-3</v>
      </c>
      <c r="V514" s="157">
        <v>2.1680000000000001</v>
      </c>
      <c r="W514" s="157">
        <v>8.4830000000000005</v>
      </c>
      <c r="X514" s="149">
        <f t="shared" si="25"/>
        <v>18.391144000000004</v>
      </c>
      <c r="Y514" s="149"/>
    </row>
    <row r="515" spans="1:25" ht="16">
      <c r="A515" s="149" t="s">
        <v>12</v>
      </c>
      <c r="B515" s="150" t="s">
        <v>750</v>
      </c>
      <c r="C515" s="149" t="s">
        <v>1744</v>
      </c>
      <c r="D515" s="149" t="s">
        <v>3555</v>
      </c>
      <c r="E515" s="149" t="s">
        <v>593</v>
      </c>
      <c r="F515" s="149">
        <v>-26.365555560000001</v>
      </c>
      <c r="G515" s="149">
        <v>135.79</v>
      </c>
      <c r="H515" s="149">
        <v>201</v>
      </c>
      <c r="I515" s="151">
        <v>42816</v>
      </c>
      <c r="J515" s="149" t="s">
        <v>36</v>
      </c>
      <c r="K515" s="149" t="s">
        <v>419</v>
      </c>
      <c r="L515" s="155" t="s">
        <v>2566</v>
      </c>
      <c r="M515" s="155" t="s">
        <v>2567</v>
      </c>
      <c r="N515" s="155" t="s">
        <v>2668</v>
      </c>
      <c r="O515" s="155" t="s">
        <v>2105</v>
      </c>
      <c r="P515" s="140" t="s">
        <v>2105</v>
      </c>
      <c r="Q515" s="140" t="s">
        <v>2387</v>
      </c>
      <c r="R515" s="155" t="s">
        <v>2713</v>
      </c>
      <c r="S515" s="149">
        <f t="shared" si="24"/>
        <v>5.9999999999999995E-4</v>
      </c>
      <c r="T515" s="149">
        <v>0</v>
      </c>
      <c r="U515" s="157">
        <v>5.9999999999999995E-4</v>
      </c>
      <c r="V515" s="157">
        <v>1.4339999999999999</v>
      </c>
      <c r="W515" s="157">
        <f>3.058+0.83+2.856</f>
        <v>6.7439999999999998</v>
      </c>
      <c r="X515" s="149">
        <f t="shared" si="25"/>
        <v>9.670895999999999</v>
      </c>
      <c r="Y515" s="149"/>
    </row>
    <row r="516" spans="1:25" ht="16">
      <c r="A516" s="149" t="s">
        <v>12</v>
      </c>
      <c r="B516" s="150" t="s">
        <v>751</v>
      </c>
      <c r="C516" s="149" t="s">
        <v>1744</v>
      </c>
      <c r="D516" s="149" t="s">
        <v>3555</v>
      </c>
      <c r="E516" s="149" t="s">
        <v>593</v>
      </c>
      <c r="F516" s="149">
        <v>-26.365555560000001</v>
      </c>
      <c r="G516" s="149">
        <v>135.79</v>
      </c>
      <c r="H516" s="149">
        <v>201</v>
      </c>
      <c r="I516" s="151">
        <v>42816</v>
      </c>
      <c r="J516" s="149" t="s">
        <v>36</v>
      </c>
      <c r="K516" s="149" t="s">
        <v>419</v>
      </c>
      <c r="L516" s="155" t="s">
        <v>2566</v>
      </c>
      <c r="M516" s="155" t="s">
        <v>2567</v>
      </c>
      <c r="N516" s="155" t="s">
        <v>2668</v>
      </c>
      <c r="O516" s="155" t="s">
        <v>2105</v>
      </c>
      <c r="P516" s="140" t="s">
        <v>2105</v>
      </c>
      <c r="Q516" s="140" t="s">
        <v>2387</v>
      </c>
      <c r="R516" s="155" t="s">
        <v>2712</v>
      </c>
      <c r="S516" s="149">
        <f t="shared" si="24"/>
        <v>4.0000000000000002E-4</v>
      </c>
      <c r="T516" s="149">
        <v>0</v>
      </c>
      <c r="U516" s="157">
        <v>4.0000000000000002E-4</v>
      </c>
      <c r="V516" s="157">
        <v>1.3520000000000001</v>
      </c>
      <c r="W516" s="157">
        <f>2.745+0.967+0.928+1.544</f>
        <v>6.1840000000000011</v>
      </c>
      <c r="X516" s="149">
        <f t="shared" si="25"/>
        <v>8.360768000000002</v>
      </c>
      <c r="Y516" s="149"/>
    </row>
    <row r="517" spans="1:25" ht="16">
      <c r="A517" s="149" t="s">
        <v>12</v>
      </c>
      <c r="B517" s="150" t="s">
        <v>752</v>
      </c>
      <c r="C517" s="149" t="s">
        <v>1744</v>
      </c>
      <c r="D517" s="149" t="s">
        <v>3555</v>
      </c>
      <c r="E517" s="149" t="s">
        <v>593</v>
      </c>
      <c r="F517" s="149">
        <v>-26.365555560000001</v>
      </c>
      <c r="G517" s="149">
        <v>135.79</v>
      </c>
      <c r="H517" s="149">
        <v>201</v>
      </c>
      <c r="I517" s="151">
        <v>42816</v>
      </c>
      <c r="J517" s="149" t="s">
        <v>36</v>
      </c>
      <c r="K517" s="149" t="s">
        <v>419</v>
      </c>
      <c r="L517" s="155" t="s">
        <v>2566</v>
      </c>
      <c r="M517" s="155" t="s">
        <v>2567</v>
      </c>
      <c r="N517" s="155" t="s">
        <v>2668</v>
      </c>
      <c r="O517" s="155" t="s">
        <v>2105</v>
      </c>
      <c r="P517" s="140" t="s">
        <v>2105</v>
      </c>
      <c r="Q517" s="140" t="s">
        <v>2387</v>
      </c>
      <c r="R517" s="155" t="s">
        <v>2713</v>
      </c>
      <c r="S517" s="149">
        <f t="shared" si="24"/>
        <v>8.9999999999999998E-4</v>
      </c>
      <c r="T517" s="149">
        <v>0</v>
      </c>
      <c r="U517" s="157">
        <v>8.9999999999999998E-4</v>
      </c>
      <c r="V517" s="157">
        <v>1.5589999999999999</v>
      </c>
      <c r="W517" s="157">
        <f>2.949+0.741+2.968</f>
        <v>6.6579999999999995</v>
      </c>
      <c r="X517" s="149">
        <f t="shared" si="25"/>
        <v>10.379821999999999</v>
      </c>
      <c r="Y517" s="149"/>
    </row>
    <row r="518" spans="1:25" ht="16">
      <c r="A518" s="149" t="s">
        <v>12</v>
      </c>
      <c r="B518" s="150" t="s">
        <v>753</v>
      </c>
      <c r="C518" s="149" t="s">
        <v>1744</v>
      </c>
      <c r="D518" s="149" t="s">
        <v>3555</v>
      </c>
      <c r="E518" s="149" t="s">
        <v>593</v>
      </c>
      <c r="F518" s="149">
        <v>-26.365555560000001</v>
      </c>
      <c r="G518" s="149">
        <v>135.79</v>
      </c>
      <c r="H518" s="149">
        <v>201</v>
      </c>
      <c r="I518" s="151">
        <v>42816</v>
      </c>
      <c r="J518" s="149" t="s">
        <v>36</v>
      </c>
      <c r="K518" s="149" t="s">
        <v>419</v>
      </c>
      <c r="L518" s="155" t="s">
        <v>2566</v>
      </c>
      <c r="M518" s="155" t="s">
        <v>2567</v>
      </c>
      <c r="N518" s="155" t="s">
        <v>2668</v>
      </c>
      <c r="O518" s="155" t="s">
        <v>2105</v>
      </c>
      <c r="P518" s="140" t="s">
        <v>2105</v>
      </c>
      <c r="Q518" s="140" t="s">
        <v>2387</v>
      </c>
      <c r="R518" s="155" t="s">
        <v>2713</v>
      </c>
      <c r="S518" s="149">
        <f t="shared" si="24"/>
        <v>8.0000000000000004E-4</v>
      </c>
      <c r="T518" s="149">
        <v>0</v>
      </c>
      <c r="U518" s="157">
        <v>8.0000000000000004E-4</v>
      </c>
      <c r="V518" s="157">
        <v>1.667</v>
      </c>
      <c r="W518" s="157">
        <f>2.88+1.325+2.476</f>
        <v>6.681</v>
      </c>
      <c r="X518" s="149">
        <f t="shared" si="25"/>
        <v>11.137227000000001</v>
      </c>
      <c r="Y518" s="149"/>
    </row>
    <row r="519" spans="1:25" ht="16">
      <c r="A519" s="149" t="s">
        <v>12</v>
      </c>
      <c r="B519" s="150" t="s">
        <v>754</v>
      </c>
      <c r="C519" s="149" t="s">
        <v>1744</v>
      </c>
      <c r="D519" s="149" t="s">
        <v>3555</v>
      </c>
      <c r="E519" s="149" t="s">
        <v>593</v>
      </c>
      <c r="F519" s="149">
        <v>-26.365555560000001</v>
      </c>
      <c r="G519" s="149">
        <v>135.79</v>
      </c>
      <c r="H519" s="149">
        <v>201</v>
      </c>
      <c r="I519" s="151">
        <v>42816</v>
      </c>
      <c r="J519" s="149" t="s">
        <v>36</v>
      </c>
      <c r="K519" s="149" t="s">
        <v>419</v>
      </c>
      <c r="L519" s="155" t="s">
        <v>2566</v>
      </c>
      <c r="M519" s="155" t="s">
        <v>2567</v>
      </c>
      <c r="N519" s="155" t="s">
        <v>2668</v>
      </c>
      <c r="O519" s="155" t="s">
        <v>2105</v>
      </c>
      <c r="P519" s="140" t="s">
        <v>2105</v>
      </c>
      <c r="Q519" s="140" t="s">
        <v>2387</v>
      </c>
      <c r="R519" s="155" t="s">
        <v>2713</v>
      </c>
      <c r="S519" s="149">
        <f t="shared" si="24"/>
        <v>8.0000000000000004E-4</v>
      </c>
      <c r="T519" s="149">
        <v>0</v>
      </c>
      <c r="U519" s="157">
        <v>8.0000000000000004E-4</v>
      </c>
      <c r="V519" s="157">
        <v>1.5840000000000001</v>
      </c>
      <c r="W519" s="157">
        <f>3.051+1.345+0.887+0.992</f>
        <v>6.2749999999999995</v>
      </c>
      <c r="X519" s="149">
        <f t="shared" si="25"/>
        <v>9.9396000000000004</v>
      </c>
      <c r="Y519" s="149"/>
    </row>
    <row r="520" spans="1:25" ht="16">
      <c r="A520" s="149" t="s">
        <v>12</v>
      </c>
      <c r="B520" s="150" t="s">
        <v>756</v>
      </c>
      <c r="C520" s="149" t="s">
        <v>1744</v>
      </c>
      <c r="D520" s="149" t="s">
        <v>3555</v>
      </c>
      <c r="E520" s="149" t="s">
        <v>593</v>
      </c>
      <c r="F520" s="149">
        <v>-26.365555560000001</v>
      </c>
      <c r="G520" s="149">
        <v>135.79</v>
      </c>
      <c r="H520" s="149">
        <v>201</v>
      </c>
      <c r="I520" s="151">
        <v>42816</v>
      </c>
      <c r="J520" s="149" t="s">
        <v>36</v>
      </c>
      <c r="K520" s="149" t="s">
        <v>419</v>
      </c>
      <c r="L520" s="155" t="s">
        <v>2566</v>
      </c>
      <c r="M520" s="155" t="s">
        <v>2567</v>
      </c>
      <c r="N520" s="155" t="s">
        <v>2668</v>
      </c>
      <c r="O520" s="155" t="s">
        <v>2105</v>
      </c>
      <c r="P520" s="140" t="s">
        <v>2105</v>
      </c>
      <c r="Q520" s="140" t="s">
        <v>2387</v>
      </c>
      <c r="R520" s="155" t="s">
        <v>2712</v>
      </c>
      <c r="S520" s="149">
        <f t="shared" si="24"/>
        <v>5.9999999999999995E-4</v>
      </c>
      <c r="T520" s="149">
        <v>0</v>
      </c>
      <c r="U520" s="157">
        <v>5.9999999999999995E-4</v>
      </c>
      <c r="V520" s="157">
        <v>1.4339999999999999</v>
      </c>
      <c r="W520" s="157">
        <f>2.756+1.095+2.159</f>
        <v>6.01</v>
      </c>
      <c r="X520" s="149">
        <f t="shared" si="25"/>
        <v>8.6183399999999999</v>
      </c>
      <c r="Y520" s="149"/>
    </row>
    <row r="521" spans="1:25" ht="16">
      <c r="A521" s="149" t="s">
        <v>12</v>
      </c>
      <c r="B521" s="150" t="s">
        <v>757</v>
      </c>
      <c r="C521" s="149" t="s">
        <v>1744</v>
      </c>
      <c r="D521" s="149" t="s">
        <v>3555</v>
      </c>
      <c r="E521" s="149" t="s">
        <v>593</v>
      </c>
      <c r="F521" s="149">
        <v>-26.365555560000001</v>
      </c>
      <c r="G521" s="149">
        <v>135.79</v>
      </c>
      <c r="H521" s="149">
        <v>201</v>
      </c>
      <c r="I521" s="151">
        <v>42816</v>
      </c>
      <c r="J521" s="149" t="s">
        <v>36</v>
      </c>
      <c r="K521" s="149" t="s">
        <v>419</v>
      </c>
      <c r="L521" s="155" t="s">
        <v>2566</v>
      </c>
      <c r="M521" s="155" t="s">
        <v>2567</v>
      </c>
      <c r="N521" s="155" t="s">
        <v>2668</v>
      </c>
      <c r="O521" s="155" t="s">
        <v>2105</v>
      </c>
      <c r="P521" s="140" t="s">
        <v>2105</v>
      </c>
      <c r="Q521" s="140" t="s">
        <v>2387</v>
      </c>
      <c r="R521" s="155" t="s">
        <v>2713</v>
      </c>
      <c r="S521" s="149">
        <f t="shared" si="24"/>
        <v>6.9999999999999999E-4</v>
      </c>
      <c r="T521" s="149">
        <v>0</v>
      </c>
      <c r="U521" s="157">
        <v>6.9999999999999999E-4</v>
      </c>
      <c r="V521" s="157">
        <v>1.4319999999999999</v>
      </c>
      <c r="W521" s="157">
        <f>2.742+1.041+2.664</f>
        <v>6.4470000000000001</v>
      </c>
      <c r="X521" s="149">
        <f t="shared" si="25"/>
        <v>9.2321039999999996</v>
      </c>
      <c r="Y521" s="149"/>
    </row>
    <row r="522" spans="1:25" ht="16">
      <c r="A522" s="149" t="s">
        <v>12</v>
      </c>
      <c r="B522" s="150" t="s">
        <v>758</v>
      </c>
      <c r="C522" s="149" t="s">
        <v>1744</v>
      </c>
      <c r="D522" s="149" t="s">
        <v>3555</v>
      </c>
      <c r="E522" s="149" t="s">
        <v>593</v>
      </c>
      <c r="F522" s="149">
        <v>-26.365555560000001</v>
      </c>
      <c r="G522" s="149">
        <v>135.79</v>
      </c>
      <c r="H522" s="149">
        <v>201</v>
      </c>
      <c r="I522" s="151">
        <v>42816</v>
      </c>
      <c r="J522" s="149" t="s">
        <v>36</v>
      </c>
      <c r="K522" s="149" t="s">
        <v>419</v>
      </c>
      <c r="L522" s="155" t="s">
        <v>2566</v>
      </c>
      <c r="M522" s="155" t="s">
        <v>2567</v>
      </c>
      <c r="N522" s="155" t="s">
        <v>2668</v>
      </c>
      <c r="O522" s="155" t="s">
        <v>2105</v>
      </c>
      <c r="P522" s="140" t="s">
        <v>2105</v>
      </c>
      <c r="Q522" s="140" t="s">
        <v>2387</v>
      </c>
      <c r="R522" s="155" t="s">
        <v>2713</v>
      </c>
      <c r="S522" s="149">
        <f t="shared" si="24"/>
        <v>8.9999999999999998E-4</v>
      </c>
      <c r="T522" s="149">
        <v>0</v>
      </c>
      <c r="U522" s="157">
        <v>8.9999999999999998E-4</v>
      </c>
      <c r="V522" s="157">
        <v>1.6020000000000001</v>
      </c>
      <c r="W522" s="157">
        <f>2.906+1.445+1.588</f>
        <v>5.9390000000000001</v>
      </c>
      <c r="X522" s="149">
        <f t="shared" si="25"/>
        <v>9.5142780000000009</v>
      </c>
      <c r="Y522" s="149"/>
    </row>
    <row r="523" spans="1:25" ht="16">
      <c r="A523" s="149" t="s">
        <v>12</v>
      </c>
      <c r="B523" s="150" t="s">
        <v>457</v>
      </c>
      <c r="C523" s="149" t="s">
        <v>1744</v>
      </c>
      <c r="D523" s="149" t="s">
        <v>3555</v>
      </c>
      <c r="E523" s="149" t="s">
        <v>459</v>
      </c>
      <c r="F523" s="149">
        <v>-26.12194444</v>
      </c>
      <c r="G523" s="149">
        <v>135.20888889</v>
      </c>
      <c r="H523" s="149">
        <v>208</v>
      </c>
      <c r="I523" s="151">
        <v>42809</v>
      </c>
      <c r="J523" s="149" t="s">
        <v>36</v>
      </c>
      <c r="K523" s="149" t="s">
        <v>419</v>
      </c>
      <c r="L523" s="140" t="s">
        <v>2566</v>
      </c>
      <c r="M523" s="140" t="s">
        <v>2574</v>
      </c>
      <c r="N523" s="140" t="s">
        <v>3191</v>
      </c>
      <c r="O523" s="149" t="s">
        <v>2111</v>
      </c>
      <c r="P523" s="149" t="s">
        <v>2739</v>
      </c>
      <c r="Q523" s="140" t="s">
        <v>2694</v>
      </c>
      <c r="R523" s="140" t="s">
        <v>2713</v>
      </c>
      <c r="S523" s="149">
        <f t="shared" si="24"/>
        <v>4.7300000000000002E-2</v>
      </c>
      <c r="T523" s="140">
        <v>3.8671999999999998E-2</v>
      </c>
      <c r="U523" s="157">
        <v>8.6280000000000037E-3</v>
      </c>
      <c r="V523" s="157">
        <v>3.1040000000000001</v>
      </c>
      <c r="W523" s="157">
        <v>14.101000000000001</v>
      </c>
      <c r="X523" s="149">
        <f t="shared" si="25"/>
        <v>43.769504000000005</v>
      </c>
      <c r="Y523" s="149"/>
    </row>
    <row r="524" spans="1:25" ht="16">
      <c r="A524" s="149" t="s">
        <v>12</v>
      </c>
      <c r="B524" s="150" t="s">
        <v>759</v>
      </c>
      <c r="C524" s="149" t="s">
        <v>1744</v>
      </c>
      <c r="D524" s="149" t="s">
        <v>3555</v>
      </c>
      <c r="E524" s="149" t="s">
        <v>593</v>
      </c>
      <c r="F524" s="149">
        <v>-26.365555560000001</v>
      </c>
      <c r="G524" s="149">
        <v>135.79</v>
      </c>
      <c r="H524" s="149">
        <v>201</v>
      </c>
      <c r="I524" s="151">
        <v>42816</v>
      </c>
      <c r="J524" s="149" t="s">
        <v>36</v>
      </c>
      <c r="K524" s="149" t="s">
        <v>419</v>
      </c>
      <c r="L524" s="155" t="s">
        <v>2566</v>
      </c>
      <c r="M524" s="155" t="s">
        <v>2567</v>
      </c>
      <c r="N524" s="155" t="s">
        <v>2668</v>
      </c>
      <c r="O524" s="155" t="s">
        <v>2105</v>
      </c>
      <c r="P524" s="140" t="s">
        <v>2105</v>
      </c>
      <c r="Q524" s="140" t="s">
        <v>2387</v>
      </c>
      <c r="R524" s="155" t="s">
        <v>2713</v>
      </c>
      <c r="S524" s="149">
        <f t="shared" si="24"/>
        <v>1.1000000000000001E-3</v>
      </c>
      <c r="T524" s="149">
        <v>0</v>
      </c>
      <c r="U524" s="157">
        <v>1.1000000000000001E-3</v>
      </c>
      <c r="V524" s="157">
        <v>1.625</v>
      </c>
      <c r="W524" s="157">
        <f>1.061+0.695+1.188+2.785</f>
        <v>5.7290000000000001</v>
      </c>
      <c r="X524" s="149">
        <f t="shared" si="25"/>
        <v>9.3096250000000005</v>
      </c>
      <c r="Y524" s="149"/>
    </row>
    <row r="525" spans="1:25" ht="16">
      <c r="A525" s="149" t="s">
        <v>12</v>
      </c>
      <c r="B525" s="150" t="s">
        <v>760</v>
      </c>
      <c r="C525" s="149" t="s">
        <v>1744</v>
      </c>
      <c r="D525" s="149" t="s">
        <v>3555</v>
      </c>
      <c r="E525" s="149" t="s">
        <v>593</v>
      </c>
      <c r="F525" s="149">
        <v>-26.365555560000001</v>
      </c>
      <c r="G525" s="149">
        <v>135.79</v>
      </c>
      <c r="H525" s="149">
        <v>201</v>
      </c>
      <c r="I525" s="151">
        <v>42816</v>
      </c>
      <c r="J525" s="149" t="s">
        <v>36</v>
      </c>
      <c r="K525" s="149" t="s">
        <v>419</v>
      </c>
      <c r="L525" s="155" t="s">
        <v>2566</v>
      </c>
      <c r="M525" s="155" t="s">
        <v>2567</v>
      </c>
      <c r="N525" s="155" t="s">
        <v>2668</v>
      </c>
      <c r="O525" s="155" t="s">
        <v>2105</v>
      </c>
      <c r="P525" s="140" t="s">
        <v>2105</v>
      </c>
      <c r="Q525" s="140" t="s">
        <v>2387</v>
      </c>
      <c r="R525" s="155" t="s">
        <v>2713</v>
      </c>
      <c r="S525" s="149">
        <f t="shared" si="24"/>
        <v>5.9999999999999995E-4</v>
      </c>
      <c r="T525" s="149">
        <v>0</v>
      </c>
      <c r="U525" s="157">
        <v>5.9999999999999995E-4</v>
      </c>
      <c r="V525" s="157">
        <v>1.46</v>
      </c>
      <c r="W525" s="157">
        <f>2.727+1.033+2.727</f>
        <v>6.4870000000000001</v>
      </c>
      <c r="X525" s="149">
        <f t="shared" si="25"/>
        <v>9.4710199999999993</v>
      </c>
      <c r="Y525" s="149"/>
    </row>
    <row r="526" spans="1:25" ht="16">
      <c r="A526" s="149" t="s">
        <v>12</v>
      </c>
      <c r="B526" s="150" t="s">
        <v>761</v>
      </c>
      <c r="C526" s="149" t="s">
        <v>1744</v>
      </c>
      <c r="D526" s="149" t="s">
        <v>3555</v>
      </c>
      <c r="E526" s="149" t="s">
        <v>593</v>
      </c>
      <c r="F526" s="149">
        <v>-26.365555560000001</v>
      </c>
      <c r="G526" s="149">
        <v>135.79</v>
      </c>
      <c r="H526" s="149">
        <v>201</v>
      </c>
      <c r="I526" s="151">
        <v>42816</v>
      </c>
      <c r="J526" s="149" t="s">
        <v>36</v>
      </c>
      <c r="K526" s="149" t="s">
        <v>419</v>
      </c>
      <c r="L526" s="155" t="s">
        <v>2566</v>
      </c>
      <c r="M526" s="155" t="s">
        <v>2567</v>
      </c>
      <c r="N526" s="155" t="s">
        <v>2668</v>
      </c>
      <c r="O526" s="155" t="s">
        <v>2105</v>
      </c>
      <c r="P526" s="140" t="s">
        <v>2105</v>
      </c>
      <c r="Q526" s="140" t="s">
        <v>2387</v>
      </c>
      <c r="R526" s="155" t="s">
        <v>2713</v>
      </c>
      <c r="S526" s="149">
        <f t="shared" si="24"/>
        <v>4.0000000000000002E-4</v>
      </c>
      <c r="T526" s="149">
        <v>0</v>
      </c>
      <c r="U526" s="157">
        <v>4.0000000000000002E-4</v>
      </c>
      <c r="V526" s="157">
        <v>1.3979999999999999</v>
      </c>
      <c r="W526" s="157">
        <f>2.521+0.821+1.724</f>
        <v>5.0659999999999998</v>
      </c>
      <c r="X526" s="149">
        <f t="shared" si="25"/>
        <v>7.0822679999999991</v>
      </c>
      <c r="Y526" s="149"/>
    </row>
    <row r="527" spans="1:25" ht="16">
      <c r="A527" s="149" t="s">
        <v>12</v>
      </c>
      <c r="B527" s="150" t="s">
        <v>764</v>
      </c>
      <c r="C527" s="149" t="s">
        <v>1744</v>
      </c>
      <c r="D527" s="149" t="s">
        <v>3555</v>
      </c>
      <c r="E527" s="149" t="s">
        <v>593</v>
      </c>
      <c r="F527" s="149">
        <v>-26.365555560000001</v>
      </c>
      <c r="G527" s="149">
        <v>135.79</v>
      </c>
      <c r="H527" s="149">
        <v>201</v>
      </c>
      <c r="I527" s="151">
        <v>42816</v>
      </c>
      <c r="J527" s="149" t="s">
        <v>36</v>
      </c>
      <c r="K527" s="149" t="s">
        <v>419</v>
      </c>
      <c r="L527" s="155" t="s">
        <v>2566</v>
      </c>
      <c r="M527" s="155" t="s">
        <v>2567</v>
      </c>
      <c r="N527" s="155" t="s">
        <v>2668</v>
      </c>
      <c r="O527" s="140" t="s">
        <v>2600</v>
      </c>
      <c r="P527" s="149" t="s">
        <v>2735</v>
      </c>
      <c r="Q527" s="140" t="s">
        <v>2709</v>
      </c>
      <c r="R527" s="155" t="s">
        <v>2712</v>
      </c>
      <c r="S527" s="149">
        <f t="shared" si="24"/>
        <v>8.0000000000000004E-4</v>
      </c>
      <c r="T527" s="149">
        <v>0</v>
      </c>
      <c r="U527" s="157">
        <v>8.0000000000000004E-4</v>
      </c>
      <c r="V527" s="157">
        <v>1.474</v>
      </c>
      <c r="W527" s="157">
        <f>1.515+1.949+2.845</f>
        <v>6.3090000000000002</v>
      </c>
      <c r="X527" s="149">
        <f t="shared" si="25"/>
        <v>9.2994660000000007</v>
      </c>
      <c r="Y527" s="149"/>
    </row>
    <row r="528" spans="1:25" ht="16">
      <c r="A528" s="149" t="s">
        <v>12</v>
      </c>
      <c r="B528" s="150" t="s">
        <v>765</v>
      </c>
      <c r="C528" s="149" t="s">
        <v>1744</v>
      </c>
      <c r="D528" s="149" t="s">
        <v>3555</v>
      </c>
      <c r="E528" s="149" t="s">
        <v>593</v>
      </c>
      <c r="F528" s="149">
        <v>-26.365555560000001</v>
      </c>
      <c r="G528" s="149">
        <v>135.79</v>
      </c>
      <c r="H528" s="149">
        <v>201</v>
      </c>
      <c r="I528" s="151">
        <v>42816</v>
      </c>
      <c r="J528" s="149" t="s">
        <v>36</v>
      </c>
      <c r="K528" s="149" t="s">
        <v>419</v>
      </c>
      <c r="L528" s="155" t="s">
        <v>2566</v>
      </c>
      <c r="M528" s="155" t="s">
        <v>2567</v>
      </c>
      <c r="N528" s="155" t="s">
        <v>2668</v>
      </c>
      <c r="O528" s="140" t="s">
        <v>2600</v>
      </c>
      <c r="P528" s="149" t="s">
        <v>2735</v>
      </c>
      <c r="Q528" s="140" t="s">
        <v>2709</v>
      </c>
      <c r="R528" s="155" t="s">
        <v>2712</v>
      </c>
      <c r="S528" s="149">
        <f t="shared" si="24"/>
        <v>5.9999999999999995E-4</v>
      </c>
      <c r="T528" s="149">
        <v>0</v>
      </c>
      <c r="U528" s="157">
        <v>5.9999999999999995E-4</v>
      </c>
      <c r="V528" s="157">
        <v>1.335</v>
      </c>
      <c r="W528" s="157">
        <f>2.852+0.431+2.462</f>
        <v>5.7450000000000001</v>
      </c>
      <c r="X528" s="149">
        <f t="shared" si="25"/>
        <v>7.669575</v>
      </c>
      <c r="Y528" s="149"/>
    </row>
    <row r="529" spans="1:25" ht="16">
      <c r="A529" s="149" t="s">
        <v>12</v>
      </c>
      <c r="B529" s="150" t="s">
        <v>766</v>
      </c>
      <c r="C529" s="149" t="s">
        <v>1744</v>
      </c>
      <c r="D529" s="149" t="s">
        <v>3555</v>
      </c>
      <c r="E529" s="149" t="s">
        <v>593</v>
      </c>
      <c r="F529" s="149">
        <v>-26.365555560000001</v>
      </c>
      <c r="G529" s="149">
        <v>135.79</v>
      </c>
      <c r="H529" s="149">
        <v>201</v>
      </c>
      <c r="I529" s="151">
        <v>42816</v>
      </c>
      <c r="J529" s="149" t="s">
        <v>36</v>
      </c>
      <c r="K529" s="149" t="s">
        <v>419</v>
      </c>
      <c r="L529" s="155" t="s">
        <v>2566</v>
      </c>
      <c r="M529" s="155" t="s">
        <v>2567</v>
      </c>
      <c r="N529" s="155" t="s">
        <v>2668</v>
      </c>
      <c r="O529" s="155" t="s">
        <v>2105</v>
      </c>
      <c r="P529" s="140" t="s">
        <v>2105</v>
      </c>
      <c r="Q529" s="140" t="s">
        <v>2387</v>
      </c>
      <c r="R529" s="155" t="s">
        <v>2712</v>
      </c>
      <c r="S529" s="149">
        <f t="shared" si="24"/>
        <v>6.9999999999999999E-4</v>
      </c>
      <c r="T529" s="149">
        <v>0</v>
      </c>
      <c r="U529" s="157">
        <v>6.9999999999999999E-4</v>
      </c>
      <c r="V529" s="157">
        <v>1.381</v>
      </c>
      <c r="W529" s="157">
        <f>2.242+0.676+2.883</f>
        <v>5.8010000000000002</v>
      </c>
      <c r="X529" s="149">
        <f t="shared" si="25"/>
        <v>8.0111810000000006</v>
      </c>
      <c r="Y529" s="149"/>
    </row>
    <row r="530" spans="1:25" ht="18" customHeight="1">
      <c r="A530" s="149" t="s">
        <v>12</v>
      </c>
      <c r="B530" s="150" t="s">
        <v>767</v>
      </c>
      <c r="C530" s="149" t="s">
        <v>1744</v>
      </c>
      <c r="D530" s="149" t="s">
        <v>3555</v>
      </c>
      <c r="E530" s="149" t="s">
        <v>593</v>
      </c>
      <c r="F530" s="149">
        <v>-26.365555560000001</v>
      </c>
      <c r="G530" s="149">
        <v>135.79</v>
      </c>
      <c r="H530" s="149">
        <v>201</v>
      </c>
      <c r="I530" s="151">
        <v>42816</v>
      </c>
      <c r="J530" s="149" t="s">
        <v>36</v>
      </c>
      <c r="K530" s="149" t="s">
        <v>419</v>
      </c>
      <c r="L530" s="155" t="s">
        <v>2566</v>
      </c>
      <c r="M530" s="155" t="s">
        <v>2567</v>
      </c>
      <c r="N530" s="155" t="s">
        <v>2668</v>
      </c>
      <c r="O530" s="140" t="s">
        <v>2600</v>
      </c>
      <c r="P530" s="149" t="s">
        <v>2735</v>
      </c>
      <c r="Q530" s="140" t="s">
        <v>2709</v>
      </c>
      <c r="R530" s="155" t="s">
        <v>2712</v>
      </c>
      <c r="S530" s="149">
        <f t="shared" si="24"/>
        <v>4.0000000000000002E-4</v>
      </c>
      <c r="T530" s="149">
        <v>0</v>
      </c>
      <c r="U530" s="157">
        <v>4.0000000000000002E-4</v>
      </c>
      <c r="V530" s="157">
        <v>1.248</v>
      </c>
      <c r="W530" s="157">
        <f>2.605+0.774+1.8781</f>
        <v>5.2571000000000003</v>
      </c>
      <c r="X530" s="149">
        <f t="shared" si="25"/>
        <v>6.5608608000000004</v>
      </c>
      <c r="Y530" s="149"/>
    </row>
    <row r="531" spans="1:25" ht="16">
      <c r="A531" s="149" t="s">
        <v>12</v>
      </c>
      <c r="B531" s="150" t="s">
        <v>768</v>
      </c>
      <c r="C531" s="149" t="s">
        <v>1744</v>
      </c>
      <c r="D531" s="149" t="s">
        <v>3555</v>
      </c>
      <c r="E531" s="149" t="s">
        <v>593</v>
      </c>
      <c r="F531" s="149">
        <v>-26.365555560000001</v>
      </c>
      <c r="G531" s="149">
        <v>135.79</v>
      </c>
      <c r="H531" s="149">
        <v>201</v>
      </c>
      <c r="I531" s="151">
        <v>42816</v>
      </c>
      <c r="J531" s="149" t="s">
        <v>36</v>
      </c>
      <c r="K531" s="149" t="s">
        <v>419</v>
      </c>
      <c r="L531" s="155" t="s">
        <v>2566</v>
      </c>
      <c r="M531" s="155" t="s">
        <v>2567</v>
      </c>
      <c r="N531" s="155" t="s">
        <v>2668</v>
      </c>
      <c r="O531" s="140" t="s">
        <v>2600</v>
      </c>
      <c r="P531" s="149" t="s">
        <v>2735</v>
      </c>
      <c r="Q531" s="140" t="s">
        <v>2709</v>
      </c>
      <c r="R531" s="155" t="s">
        <v>2712</v>
      </c>
      <c r="S531" s="149">
        <f t="shared" si="24"/>
        <v>1E-3</v>
      </c>
      <c r="T531" s="149">
        <v>0</v>
      </c>
      <c r="U531" s="157">
        <v>1E-3</v>
      </c>
      <c r="V531" s="157">
        <v>1.5649999999999999</v>
      </c>
      <c r="W531" s="157">
        <f>2.829+1.62+1.752</f>
        <v>6.2009999999999996</v>
      </c>
      <c r="X531" s="149">
        <f t="shared" si="25"/>
        <v>9.7045649999999988</v>
      </c>
      <c r="Y531" s="149"/>
    </row>
    <row r="532" spans="1:25" ht="16">
      <c r="A532" s="149" t="s">
        <v>12</v>
      </c>
      <c r="B532" s="150" t="s">
        <v>460</v>
      </c>
      <c r="C532" s="149" t="s">
        <v>1744</v>
      </c>
      <c r="D532" s="149" t="s">
        <v>3555</v>
      </c>
      <c r="E532" s="149" t="s">
        <v>463</v>
      </c>
      <c r="F532" s="149">
        <v>-25.754722220000001</v>
      </c>
      <c r="G532" s="149">
        <v>135.26305556</v>
      </c>
      <c r="H532" s="149">
        <v>202</v>
      </c>
      <c r="I532" s="151">
        <v>42815</v>
      </c>
      <c r="J532" s="149" t="s">
        <v>36</v>
      </c>
      <c r="K532" s="149" t="s">
        <v>419</v>
      </c>
      <c r="L532" s="140" t="s">
        <v>2569</v>
      </c>
      <c r="M532" s="140" t="s">
        <v>2570</v>
      </c>
      <c r="N532" s="140" t="s">
        <v>2571</v>
      </c>
      <c r="O532" s="140" t="s">
        <v>2369</v>
      </c>
      <c r="P532" s="140" t="s">
        <v>3556</v>
      </c>
      <c r="Q532" s="140" t="s">
        <v>2676</v>
      </c>
      <c r="R532" s="140" t="s">
        <v>2712</v>
      </c>
      <c r="S532" s="149">
        <f t="shared" si="24"/>
        <v>4.4000000000000003E-3</v>
      </c>
      <c r="T532" s="149">
        <v>0</v>
      </c>
      <c r="U532" s="157">
        <v>4.4000000000000003E-3</v>
      </c>
      <c r="V532" s="157">
        <v>2.2669999999999999</v>
      </c>
      <c r="W532" s="157">
        <v>9.5879999999999992</v>
      </c>
      <c r="X532" s="149">
        <f t="shared" si="25"/>
        <v>21.735995999999997</v>
      </c>
      <c r="Y532" s="149"/>
    </row>
    <row r="533" spans="1:25" ht="16">
      <c r="A533" s="149" t="s">
        <v>12</v>
      </c>
      <c r="B533" s="150" t="s">
        <v>769</v>
      </c>
      <c r="C533" s="149" t="s">
        <v>1744</v>
      </c>
      <c r="D533" s="149" t="s">
        <v>3555</v>
      </c>
      <c r="E533" s="149" t="s">
        <v>593</v>
      </c>
      <c r="F533" s="149">
        <v>-26.365555560000001</v>
      </c>
      <c r="G533" s="149">
        <v>135.79</v>
      </c>
      <c r="H533" s="149">
        <v>201</v>
      </c>
      <c r="I533" s="151">
        <v>42816</v>
      </c>
      <c r="J533" s="149" t="s">
        <v>36</v>
      </c>
      <c r="K533" s="149" t="s">
        <v>419</v>
      </c>
      <c r="L533" s="155" t="s">
        <v>2566</v>
      </c>
      <c r="M533" s="155" t="s">
        <v>2567</v>
      </c>
      <c r="N533" s="155" t="s">
        <v>2668</v>
      </c>
      <c r="O533" s="155" t="s">
        <v>2105</v>
      </c>
      <c r="P533" s="140" t="s">
        <v>2105</v>
      </c>
      <c r="Q533" s="140" t="s">
        <v>2387</v>
      </c>
      <c r="R533" s="155" t="s">
        <v>2713</v>
      </c>
      <c r="S533" s="149">
        <f t="shared" si="24"/>
        <v>6.9999999999999999E-4</v>
      </c>
      <c r="T533" s="149">
        <v>0</v>
      </c>
      <c r="U533" s="157">
        <v>6.9999999999999999E-4</v>
      </c>
      <c r="V533" s="157">
        <v>1.5349999999999999</v>
      </c>
      <c r="W533" s="157">
        <f>3.027+2.007+1.003</f>
        <v>6.0370000000000008</v>
      </c>
      <c r="X533" s="149">
        <f t="shared" si="25"/>
        <v>9.2667950000000001</v>
      </c>
      <c r="Y533" s="149"/>
    </row>
    <row r="534" spans="1:25" ht="16">
      <c r="A534" s="149" t="s">
        <v>12</v>
      </c>
      <c r="B534" s="150" t="s">
        <v>770</v>
      </c>
      <c r="C534" s="149" t="s">
        <v>1744</v>
      </c>
      <c r="D534" s="149" t="s">
        <v>3555</v>
      </c>
      <c r="E534" s="149" t="s">
        <v>593</v>
      </c>
      <c r="F534" s="149">
        <v>-26.365555560000001</v>
      </c>
      <c r="G534" s="149">
        <v>135.79</v>
      </c>
      <c r="H534" s="149">
        <v>201</v>
      </c>
      <c r="I534" s="151">
        <v>42816</v>
      </c>
      <c r="J534" s="149" t="s">
        <v>36</v>
      </c>
      <c r="K534" s="149" t="s">
        <v>419</v>
      </c>
      <c r="L534" s="140" t="s">
        <v>2572</v>
      </c>
      <c r="M534" s="140" t="s">
        <v>2407</v>
      </c>
      <c r="N534" s="140" t="s">
        <v>36</v>
      </c>
      <c r="O534" s="140" t="s">
        <v>2215</v>
      </c>
      <c r="P534" s="140" t="s">
        <v>2215</v>
      </c>
      <c r="Q534" s="140" t="s">
        <v>2702</v>
      </c>
      <c r="R534" s="140" t="s">
        <v>2712</v>
      </c>
      <c r="S534" s="149">
        <f t="shared" si="24"/>
        <v>5.9999999999999995E-4</v>
      </c>
      <c r="T534" s="149">
        <v>0</v>
      </c>
      <c r="U534" s="157">
        <v>5.9999999999999995E-4</v>
      </c>
      <c r="V534" s="157">
        <v>1.1539999999999999</v>
      </c>
      <c r="W534" s="157">
        <f>2.42+1.215+1.11</f>
        <v>4.7450000000000001</v>
      </c>
      <c r="X534" s="149">
        <f t="shared" si="25"/>
        <v>5.4757299999999995</v>
      </c>
      <c r="Y534" s="149"/>
    </row>
    <row r="535" spans="1:25" ht="16">
      <c r="A535" s="149" t="s">
        <v>12</v>
      </c>
      <c r="B535" s="150" t="s">
        <v>771</v>
      </c>
      <c r="C535" s="149" t="s">
        <v>1744</v>
      </c>
      <c r="D535" s="149" t="s">
        <v>3555</v>
      </c>
      <c r="E535" s="149" t="s">
        <v>593</v>
      </c>
      <c r="F535" s="149">
        <v>-26.365555560000001</v>
      </c>
      <c r="G535" s="149">
        <v>135.79</v>
      </c>
      <c r="H535" s="149">
        <v>201</v>
      </c>
      <c r="I535" s="151">
        <v>42816</v>
      </c>
      <c r="J535" s="149" t="s">
        <v>36</v>
      </c>
      <c r="K535" s="149" t="s">
        <v>419</v>
      </c>
      <c r="L535" s="155" t="s">
        <v>2566</v>
      </c>
      <c r="M535" s="155" t="s">
        <v>2567</v>
      </c>
      <c r="N535" s="155" t="s">
        <v>2668</v>
      </c>
      <c r="O535" s="155" t="s">
        <v>2105</v>
      </c>
      <c r="P535" s="140" t="s">
        <v>2105</v>
      </c>
      <c r="Q535" s="140" t="s">
        <v>2387</v>
      </c>
      <c r="R535" s="155" t="s">
        <v>2712</v>
      </c>
      <c r="S535" s="149">
        <f t="shared" si="24"/>
        <v>4.0000000000000002E-4</v>
      </c>
      <c r="T535" s="149">
        <v>0</v>
      </c>
      <c r="U535" s="157">
        <v>4.0000000000000002E-4</v>
      </c>
      <c r="V535" s="157">
        <v>1.2270000000000001</v>
      </c>
      <c r="W535" s="157">
        <v>5.2969999999999997</v>
      </c>
      <c r="X535" s="149">
        <f t="shared" si="25"/>
        <v>6.4994190000000005</v>
      </c>
      <c r="Y535" s="149"/>
    </row>
    <row r="536" spans="1:25" ht="16">
      <c r="A536" s="149" t="s">
        <v>12</v>
      </c>
      <c r="B536" s="150" t="s">
        <v>772</v>
      </c>
      <c r="C536" s="149" t="s">
        <v>1744</v>
      </c>
      <c r="D536" s="149" t="s">
        <v>3555</v>
      </c>
      <c r="E536" s="149" t="s">
        <v>593</v>
      </c>
      <c r="F536" s="149">
        <v>-26.365555560000001</v>
      </c>
      <c r="G536" s="149">
        <v>135.79</v>
      </c>
      <c r="H536" s="149">
        <v>201</v>
      </c>
      <c r="I536" s="151">
        <v>42816</v>
      </c>
      <c r="J536" s="149" t="s">
        <v>36</v>
      </c>
      <c r="K536" s="149" t="s">
        <v>419</v>
      </c>
      <c r="L536" s="155" t="s">
        <v>2566</v>
      </c>
      <c r="M536" s="155" t="s">
        <v>2567</v>
      </c>
      <c r="N536" s="155" t="s">
        <v>2668</v>
      </c>
      <c r="O536" s="140" t="s">
        <v>2600</v>
      </c>
      <c r="P536" s="149" t="s">
        <v>2735</v>
      </c>
      <c r="Q536" s="140" t="s">
        <v>2709</v>
      </c>
      <c r="R536" s="155" t="s">
        <v>2712</v>
      </c>
      <c r="S536" s="149">
        <f t="shared" si="24"/>
        <v>4.0000000000000002E-4</v>
      </c>
      <c r="T536" s="149">
        <v>0</v>
      </c>
      <c r="U536" s="157">
        <v>4.0000000000000002E-4</v>
      </c>
      <c r="V536" s="157">
        <v>1.2090000000000001</v>
      </c>
      <c r="W536" s="157">
        <v>6.0359999999999996</v>
      </c>
      <c r="X536" s="149">
        <f t="shared" si="25"/>
        <v>7.2975240000000001</v>
      </c>
      <c r="Y536" s="149"/>
    </row>
    <row r="537" spans="1:25" ht="16">
      <c r="A537" s="149" t="s">
        <v>12</v>
      </c>
      <c r="B537" s="150" t="s">
        <v>774</v>
      </c>
      <c r="C537" s="149" t="s">
        <v>1744</v>
      </c>
      <c r="D537" s="149" t="s">
        <v>3555</v>
      </c>
      <c r="E537" s="149" t="s">
        <v>593</v>
      </c>
      <c r="F537" s="149">
        <v>-26.365555560000001</v>
      </c>
      <c r="G537" s="149">
        <v>135.79</v>
      </c>
      <c r="H537" s="149">
        <v>201</v>
      </c>
      <c r="I537" s="151">
        <v>42816</v>
      </c>
      <c r="J537" s="149" t="s">
        <v>36</v>
      </c>
      <c r="K537" s="149" t="s">
        <v>419</v>
      </c>
      <c r="L537" s="155" t="s">
        <v>2566</v>
      </c>
      <c r="M537" s="155" t="s">
        <v>2567</v>
      </c>
      <c r="N537" s="155" t="s">
        <v>2668</v>
      </c>
      <c r="O537" s="155" t="s">
        <v>2105</v>
      </c>
      <c r="P537" s="140" t="s">
        <v>2105</v>
      </c>
      <c r="Q537" s="140" t="s">
        <v>2387</v>
      </c>
      <c r="R537" s="155" t="s">
        <v>2712</v>
      </c>
      <c r="S537" s="149">
        <f t="shared" si="24"/>
        <v>4.0000000000000002E-4</v>
      </c>
      <c r="T537" s="149">
        <v>0</v>
      </c>
      <c r="U537" s="157">
        <v>4.0000000000000002E-4</v>
      </c>
      <c r="V537" s="157">
        <v>1.286</v>
      </c>
      <c r="W537" s="157">
        <v>6.1710000000000003</v>
      </c>
      <c r="X537" s="149">
        <f t="shared" si="25"/>
        <v>7.9359060000000001</v>
      </c>
      <c r="Y537" s="149"/>
    </row>
    <row r="538" spans="1:25" ht="16">
      <c r="A538" s="149" t="s">
        <v>12</v>
      </c>
      <c r="B538" s="150" t="s">
        <v>776</v>
      </c>
      <c r="C538" s="149" t="s">
        <v>1744</v>
      </c>
      <c r="D538" s="149" t="s">
        <v>3555</v>
      </c>
      <c r="E538" s="149" t="s">
        <v>593</v>
      </c>
      <c r="F538" s="149">
        <v>-26.365555560000001</v>
      </c>
      <c r="G538" s="149">
        <v>135.79</v>
      </c>
      <c r="H538" s="149">
        <v>201</v>
      </c>
      <c r="I538" s="151">
        <v>42816</v>
      </c>
      <c r="J538" s="149" t="s">
        <v>36</v>
      </c>
      <c r="K538" s="149" t="s">
        <v>419</v>
      </c>
      <c r="L538" s="155" t="s">
        <v>2566</v>
      </c>
      <c r="M538" s="155" t="s">
        <v>2567</v>
      </c>
      <c r="N538" s="155" t="s">
        <v>2668</v>
      </c>
      <c r="O538" s="155" t="s">
        <v>2105</v>
      </c>
      <c r="P538" s="140" t="s">
        <v>2105</v>
      </c>
      <c r="Q538" s="140" t="s">
        <v>2387</v>
      </c>
      <c r="R538" s="155" t="s">
        <v>2713</v>
      </c>
      <c r="S538" s="149">
        <f t="shared" si="24"/>
        <v>8.9999999999999998E-4</v>
      </c>
      <c r="T538" s="149">
        <v>0</v>
      </c>
      <c r="U538" s="157">
        <v>8.9999999999999998E-4</v>
      </c>
      <c r="V538" s="157">
        <v>1.6439999999999999</v>
      </c>
      <c r="W538" s="157">
        <v>6.6879999999999997</v>
      </c>
      <c r="X538" s="149">
        <f t="shared" si="25"/>
        <v>10.995071999999999</v>
      </c>
      <c r="Y538" s="149"/>
    </row>
    <row r="539" spans="1:25" ht="16">
      <c r="A539" s="149" t="s">
        <v>12</v>
      </c>
      <c r="B539" s="150" t="s">
        <v>777</v>
      </c>
      <c r="C539" s="149" t="s">
        <v>1744</v>
      </c>
      <c r="D539" s="149" t="s">
        <v>3555</v>
      </c>
      <c r="E539" s="149" t="s">
        <v>593</v>
      </c>
      <c r="F539" s="149">
        <v>-26.365555560000001</v>
      </c>
      <c r="G539" s="149">
        <v>135.79</v>
      </c>
      <c r="H539" s="149">
        <v>201</v>
      </c>
      <c r="I539" s="151">
        <v>42816</v>
      </c>
      <c r="J539" s="149" t="s">
        <v>36</v>
      </c>
      <c r="K539" s="149" t="s">
        <v>419</v>
      </c>
      <c r="L539" s="155" t="s">
        <v>2566</v>
      </c>
      <c r="M539" s="155" t="s">
        <v>2567</v>
      </c>
      <c r="N539" s="155" t="s">
        <v>2668</v>
      </c>
      <c r="O539" s="155" t="s">
        <v>2105</v>
      </c>
      <c r="P539" s="140" t="s">
        <v>2105</v>
      </c>
      <c r="Q539" s="140" t="s">
        <v>2387</v>
      </c>
      <c r="R539" s="155" t="s">
        <v>2713</v>
      </c>
      <c r="S539" s="149">
        <f t="shared" si="24"/>
        <v>5.0000000000000001E-4</v>
      </c>
      <c r="T539" s="149">
        <v>0</v>
      </c>
      <c r="U539" s="157">
        <v>5.0000000000000001E-4</v>
      </c>
      <c r="V539" s="157">
        <v>1.58</v>
      </c>
      <c r="W539" s="157">
        <f>1.62+0.964+1.036+2.779</f>
        <v>6.399</v>
      </c>
      <c r="X539" s="149">
        <f t="shared" si="25"/>
        <v>10.110420000000001</v>
      </c>
      <c r="Y539" s="149"/>
    </row>
    <row r="540" spans="1:25" ht="16">
      <c r="A540" s="149" t="s">
        <v>12</v>
      </c>
      <c r="B540" s="150" t="s">
        <v>778</v>
      </c>
      <c r="C540" s="149" t="s">
        <v>1744</v>
      </c>
      <c r="D540" s="149" t="s">
        <v>3555</v>
      </c>
      <c r="E540" s="149" t="s">
        <v>593</v>
      </c>
      <c r="F540" s="149">
        <v>-26.365555560000001</v>
      </c>
      <c r="G540" s="149">
        <v>135.79</v>
      </c>
      <c r="H540" s="149">
        <v>201</v>
      </c>
      <c r="I540" s="151">
        <v>42816</v>
      </c>
      <c r="J540" s="149" t="s">
        <v>36</v>
      </c>
      <c r="K540" s="149" t="s">
        <v>419</v>
      </c>
      <c r="L540" s="155" t="s">
        <v>2566</v>
      </c>
      <c r="M540" s="155" t="s">
        <v>2567</v>
      </c>
      <c r="N540" s="155" t="s">
        <v>2668</v>
      </c>
      <c r="O540" s="155" t="s">
        <v>2105</v>
      </c>
      <c r="P540" s="140" t="s">
        <v>2105</v>
      </c>
      <c r="Q540" s="140" t="s">
        <v>2387</v>
      </c>
      <c r="R540" s="155" t="s">
        <v>2713</v>
      </c>
      <c r="S540" s="149">
        <f t="shared" si="24"/>
        <v>8.9999999999999998E-4</v>
      </c>
      <c r="T540" s="149">
        <v>0</v>
      </c>
      <c r="U540" s="157">
        <v>8.9999999999999998E-4</v>
      </c>
      <c r="V540" s="157">
        <v>1.6020000000000001</v>
      </c>
      <c r="W540" s="157">
        <f>3.119+3.065</f>
        <v>6.1840000000000002</v>
      </c>
      <c r="X540" s="149">
        <f t="shared" si="25"/>
        <v>9.9067680000000014</v>
      </c>
      <c r="Y540" s="149"/>
    </row>
    <row r="541" spans="1:25" ht="16">
      <c r="A541" s="149" t="s">
        <v>12</v>
      </c>
      <c r="B541" s="150" t="s">
        <v>464</v>
      </c>
      <c r="C541" s="149" t="s">
        <v>1744</v>
      </c>
      <c r="D541" s="149" t="s">
        <v>3555</v>
      </c>
      <c r="E541" s="149" t="s">
        <v>466</v>
      </c>
      <c r="F541" s="149">
        <v>-26.423333299999999</v>
      </c>
      <c r="G541" s="149">
        <v>135.51333299999999</v>
      </c>
      <c r="H541" s="149">
        <v>201</v>
      </c>
      <c r="I541" s="151">
        <v>42816</v>
      </c>
      <c r="J541" s="149" t="s">
        <v>36</v>
      </c>
      <c r="K541" s="149" t="s">
        <v>419</v>
      </c>
      <c r="L541" s="149" t="s">
        <v>1687</v>
      </c>
      <c r="M541" s="149" t="s">
        <v>2563</v>
      </c>
      <c r="N541" s="149" t="s">
        <v>2568</v>
      </c>
      <c r="O541" s="149" t="s">
        <v>2734</v>
      </c>
      <c r="P541" s="149" t="s">
        <v>2782</v>
      </c>
      <c r="Q541" s="149" t="s">
        <v>2392</v>
      </c>
      <c r="R541" s="149" t="s">
        <v>2712</v>
      </c>
      <c r="S541" s="149">
        <f t="shared" si="24"/>
        <v>5.6599999999999998E-2</v>
      </c>
      <c r="T541" s="140">
        <v>3.8671999999999998E-2</v>
      </c>
      <c r="U541" s="157">
        <v>1.7927999999999999E-2</v>
      </c>
      <c r="V541" s="157">
        <v>4.3289999999999997</v>
      </c>
      <c r="W541" s="157">
        <v>19.385999999999999</v>
      </c>
      <c r="X541" s="149">
        <f t="shared" si="25"/>
        <v>83.921993999999998</v>
      </c>
      <c r="Y541" s="149"/>
    </row>
    <row r="542" spans="1:25" ht="16">
      <c r="A542" s="149" t="s">
        <v>12</v>
      </c>
      <c r="B542" s="150" t="s">
        <v>779</v>
      </c>
      <c r="C542" s="149" t="s">
        <v>1744</v>
      </c>
      <c r="D542" s="149" t="s">
        <v>3555</v>
      </c>
      <c r="E542" s="149" t="s">
        <v>593</v>
      </c>
      <c r="F542" s="149">
        <v>-26.365555560000001</v>
      </c>
      <c r="G542" s="149">
        <v>135.79</v>
      </c>
      <c r="H542" s="149">
        <v>201</v>
      </c>
      <c r="I542" s="151">
        <v>42816</v>
      </c>
      <c r="J542" s="149" t="s">
        <v>36</v>
      </c>
      <c r="K542" s="149" t="s">
        <v>419</v>
      </c>
      <c r="L542" s="155" t="s">
        <v>2566</v>
      </c>
      <c r="M542" s="155" t="s">
        <v>2567</v>
      </c>
      <c r="N542" s="155" t="s">
        <v>2668</v>
      </c>
      <c r="O542" s="155" t="s">
        <v>2105</v>
      </c>
      <c r="P542" s="140" t="s">
        <v>2105</v>
      </c>
      <c r="Q542" s="140" t="s">
        <v>2387</v>
      </c>
      <c r="R542" s="155" t="s">
        <v>2712</v>
      </c>
      <c r="S542" s="149">
        <f t="shared" si="24"/>
        <v>5.0000000000000001E-4</v>
      </c>
      <c r="T542" s="149">
        <v>0</v>
      </c>
      <c r="U542" s="157">
        <v>5.0000000000000001E-4</v>
      </c>
      <c r="V542" s="157">
        <v>1.357</v>
      </c>
      <c r="W542" s="157">
        <f>2.574+2.556</f>
        <v>5.13</v>
      </c>
      <c r="X542" s="149">
        <f t="shared" si="25"/>
        <v>6.9614099999999999</v>
      </c>
      <c r="Y542" s="149"/>
    </row>
    <row r="543" spans="1:25" ht="16">
      <c r="A543" s="149" t="s">
        <v>12</v>
      </c>
      <c r="B543" s="150" t="s">
        <v>780</v>
      </c>
      <c r="C543" s="149" t="s">
        <v>1744</v>
      </c>
      <c r="D543" s="149" t="s">
        <v>3555</v>
      </c>
      <c r="E543" s="149" t="s">
        <v>593</v>
      </c>
      <c r="F543" s="149">
        <v>-26.365555560000001</v>
      </c>
      <c r="G543" s="149">
        <v>135.79</v>
      </c>
      <c r="H543" s="149">
        <v>201</v>
      </c>
      <c r="I543" s="151">
        <v>42816</v>
      </c>
      <c r="J543" s="149" t="s">
        <v>36</v>
      </c>
      <c r="K543" s="149" t="s">
        <v>419</v>
      </c>
      <c r="L543" s="155" t="s">
        <v>2566</v>
      </c>
      <c r="M543" s="155" t="s">
        <v>2567</v>
      </c>
      <c r="N543" s="155" t="s">
        <v>2668</v>
      </c>
      <c r="O543" s="155" t="s">
        <v>2105</v>
      </c>
      <c r="P543" s="140" t="s">
        <v>2105</v>
      </c>
      <c r="Q543" s="140" t="s">
        <v>2387</v>
      </c>
      <c r="R543" s="155" t="s">
        <v>2713</v>
      </c>
      <c r="S543" s="149">
        <f t="shared" si="24"/>
        <v>8.0000000000000004E-4</v>
      </c>
      <c r="T543" s="149">
        <v>0</v>
      </c>
      <c r="U543" s="157">
        <v>8.0000000000000004E-4</v>
      </c>
      <c r="V543" s="157">
        <v>1.6879999999999999</v>
      </c>
      <c r="W543" s="157">
        <f>2.975+1.18+2.427</f>
        <v>6.5820000000000007</v>
      </c>
      <c r="X543" s="149">
        <f t="shared" si="25"/>
        <v>11.110416000000001</v>
      </c>
      <c r="Y543" s="149"/>
    </row>
    <row r="544" spans="1:25" ht="16">
      <c r="A544" s="149" t="s">
        <v>12</v>
      </c>
      <c r="B544" s="150" t="s">
        <v>781</v>
      </c>
      <c r="C544" s="149" t="s">
        <v>1744</v>
      </c>
      <c r="D544" s="149" t="s">
        <v>3555</v>
      </c>
      <c r="E544" s="149" t="s">
        <v>593</v>
      </c>
      <c r="F544" s="149">
        <v>-26.365555560000001</v>
      </c>
      <c r="G544" s="149">
        <v>135.79</v>
      </c>
      <c r="H544" s="149">
        <v>201</v>
      </c>
      <c r="I544" s="151">
        <v>42816</v>
      </c>
      <c r="J544" s="149" t="s">
        <v>36</v>
      </c>
      <c r="K544" s="149" t="s">
        <v>419</v>
      </c>
      <c r="L544" s="155" t="s">
        <v>2566</v>
      </c>
      <c r="M544" s="155" t="s">
        <v>2567</v>
      </c>
      <c r="N544" s="155" t="s">
        <v>2668</v>
      </c>
      <c r="O544" s="140" t="s">
        <v>2600</v>
      </c>
      <c r="P544" s="149" t="s">
        <v>2735</v>
      </c>
      <c r="Q544" s="140" t="s">
        <v>2709</v>
      </c>
      <c r="R544" s="155" t="s">
        <v>2712</v>
      </c>
      <c r="S544" s="149">
        <f t="shared" si="24"/>
        <v>5.0000000000000001E-4</v>
      </c>
      <c r="T544" s="149">
        <v>0</v>
      </c>
      <c r="U544" s="157">
        <v>5.0000000000000001E-4</v>
      </c>
      <c r="V544" s="157">
        <v>1.3180000000000001</v>
      </c>
      <c r="W544" s="157">
        <f>2.549+1.506+1.092</f>
        <v>5.1470000000000002</v>
      </c>
      <c r="X544" s="149">
        <f t="shared" si="25"/>
        <v>6.7837460000000007</v>
      </c>
      <c r="Y544" s="149"/>
    </row>
    <row r="545" spans="1:25" ht="16">
      <c r="A545" s="149" t="s">
        <v>12</v>
      </c>
      <c r="B545" s="150" t="s">
        <v>782</v>
      </c>
      <c r="C545" s="149" t="s">
        <v>1744</v>
      </c>
      <c r="D545" s="149" t="s">
        <v>3555</v>
      </c>
      <c r="E545" s="149" t="s">
        <v>593</v>
      </c>
      <c r="F545" s="149">
        <v>-26.365555560000001</v>
      </c>
      <c r="G545" s="149">
        <v>135.79</v>
      </c>
      <c r="H545" s="149">
        <v>201</v>
      </c>
      <c r="I545" s="151">
        <v>42816</v>
      </c>
      <c r="J545" s="149" t="s">
        <v>36</v>
      </c>
      <c r="K545" s="149" t="s">
        <v>419</v>
      </c>
      <c r="L545" s="155" t="s">
        <v>2566</v>
      </c>
      <c r="M545" s="155" t="s">
        <v>2567</v>
      </c>
      <c r="N545" s="155" t="s">
        <v>2668</v>
      </c>
      <c r="O545" s="155" t="s">
        <v>2105</v>
      </c>
      <c r="P545" s="140" t="s">
        <v>2105</v>
      </c>
      <c r="Q545" s="140" t="s">
        <v>2387</v>
      </c>
      <c r="R545" s="155" t="s">
        <v>2712</v>
      </c>
      <c r="S545" s="149">
        <f t="shared" si="24"/>
        <v>4.0000000000000002E-4</v>
      </c>
      <c r="T545" s="149">
        <v>0</v>
      </c>
      <c r="U545" s="157">
        <v>4.0000000000000002E-4</v>
      </c>
      <c r="V545" s="157">
        <v>1.173</v>
      </c>
      <c r="W545" s="157">
        <f>2.505+0.486+2.003</f>
        <v>4.9939999999999998</v>
      </c>
      <c r="X545" s="149">
        <f t="shared" si="25"/>
        <v>5.8579619999999997</v>
      </c>
      <c r="Y545" s="149"/>
    </row>
    <row r="546" spans="1:25" ht="16">
      <c r="A546" s="149" t="s">
        <v>12</v>
      </c>
      <c r="B546" s="150" t="s">
        <v>783</v>
      </c>
      <c r="C546" s="149" t="s">
        <v>1744</v>
      </c>
      <c r="D546" s="149" t="s">
        <v>3555</v>
      </c>
      <c r="E546" s="149" t="s">
        <v>593</v>
      </c>
      <c r="F546" s="149">
        <v>-26.365555560000001</v>
      </c>
      <c r="G546" s="149">
        <v>135.79</v>
      </c>
      <c r="H546" s="149">
        <v>201</v>
      </c>
      <c r="I546" s="151">
        <v>42816</v>
      </c>
      <c r="J546" s="149" t="s">
        <v>36</v>
      </c>
      <c r="K546" s="149" t="s">
        <v>419</v>
      </c>
      <c r="L546" s="155" t="s">
        <v>2566</v>
      </c>
      <c r="M546" s="155" t="s">
        <v>2567</v>
      </c>
      <c r="N546" s="155" t="s">
        <v>2668</v>
      </c>
      <c r="O546" s="155" t="s">
        <v>2105</v>
      </c>
      <c r="P546" s="140" t="s">
        <v>2105</v>
      </c>
      <c r="Q546" s="140" t="s">
        <v>2387</v>
      </c>
      <c r="R546" s="155" t="s">
        <v>2713</v>
      </c>
      <c r="S546" s="149">
        <f t="shared" si="24"/>
        <v>6.9999999999999999E-4</v>
      </c>
      <c r="T546" s="149">
        <v>0</v>
      </c>
      <c r="U546" s="157">
        <v>6.9999999999999999E-4</v>
      </c>
      <c r="V546" s="157">
        <v>1.456</v>
      </c>
      <c r="W546" s="157">
        <f>1.358+1.974+2.662</f>
        <v>5.9939999999999998</v>
      </c>
      <c r="X546" s="149">
        <f t="shared" si="25"/>
        <v>8.7272639999999999</v>
      </c>
      <c r="Y546" s="149"/>
    </row>
    <row r="547" spans="1:25" ht="16">
      <c r="A547" s="149" t="s">
        <v>12</v>
      </c>
      <c r="B547" s="150" t="s">
        <v>784</v>
      </c>
      <c r="C547" s="149" t="s">
        <v>1744</v>
      </c>
      <c r="D547" s="149" t="s">
        <v>3555</v>
      </c>
      <c r="E547" s="149" t="s">
        <v>593</v>
      </c>
      <c r="F547" s="149">
        <v>-26.365555560000001</v>
      </c>
      <c r="G547" s="149">
        <v>135.79</v>
      </c>
      <c r="H547" s="149">
        <v>201</v>
      </c>
      <c r="I547" s="151">
        <v>42816</v>
      </c>
      <c r="J547" s="149" t="s">
        <v>36</v>
      </c>
      <c r="K547" s="149" t="s">
        <v>419</v>
      </c>
      <c r="L547" s="155" t="s">
        <v>2566</v>
      </c>
      <c r="M547" s="155" t="s">
        <v>2567</v>
      </c>
      <c r="N547" s="155" t="s">
        <v>2668</v>
      </c>
      <c r="O547" s="155" t="s">
        <v>2105</v>
      </c>
      <c r="P547" s="140" t="s">
        <v>2105</v>
      </c>
      <c r="Q547" s="140" t="s">
        <v>2387</v>
      </c>
      <c r="R547" s="155" t="s">
        <v>2713</v>
      </c>
      <c r="S547" s="149">
        <f t="shared" si="24"/>
        <v>8.9999999999999998E-4</v>
      </c>
      <c r="T547" s="149">
        <v>0</v>
      </c>
      <c r="U547" s="157">
        <v>8.9999999999999998E-4</v>
      </c>
      <c r="V547" s="157">
        <v>1.5229999999999999</v>
      </c>
      <c r="W547" s="157">
        <v>5.8129999999999997</v>
      </c>
      <c r="X547" s="149">
        <f t="shared" si="25"/>
        <v>8.8531989999999983</v>
      </c>
      <c r="Y547" s="149"/>
    </row>
    <row r="548" spans="1:25" ht="16">
      <c r="A548" s="149" t="s">
        <v>12</v>
      </c>
      <c r="B548" s="150" t="s">
        <v>785</v>
      </c>
      <c r="C548" s="149" t="s">
        <v>1744</v>
      </c>
      <c r="D548" s="149" t="s">
        <v>3555</v>
      </c>
      <c r="E548" s="149" t="s">
        <v>593</v>
      </c>
      <c r="F548" s="149">
        <v>-26.365555560000001</v>
      </c>
      <c r="G548" s="149">
        <v>135.79</v>
      </c>
      <c r="H548" s="149">
        <v>201</v>
      </c>
      <c r="I548" s="151">
        <v>42816</v>
      </c>
      <c r="J548" s="149" t="s">
        <v>36</v>
      </c>
      <c r="K548" s="149" t="s">
        <v>419</v>
      </c>
      <c r="L548" s="155" t="s">
        <v>2566</v>
      </c>
      <c r="M548" s="155" t="s">
        <v>2567</v>
      </c>
      <c r="N548" s="155" t="s">
        <v>2668</v>
      </c>
      <c r="O548" s="155" t="s">
        <v>2105</v>
      </c>
      <c r="P548" s="140" t="s">
        <v>2105</v>
      </c>
      <c r="Q548" s="140" t="s">
        <v>2387</v>
      </c>
      <c r="R548" s="155" t="s">
        <v>2713</v>
      </c>
      <c r="S548" s="149">
        <f t="shared" si="24"/>
        <v>1E-3</v>
      </c>
      <c r="T548" s="149">
        <v>0</v>
      </c>
      <c r="U548" s="157">
        <v>1E-3</v>
      </c>
      <c r="V548" s="157">
        <v>1.484</v>
      </c>
      <c r="W548" s="157">
        <v>5.9550000000000001</v>
      </c>
      <c r="X548" s="149">
        <f t="shared" si="25"/>
        <v>8.8372200000000003</v>
      </c>
      <c r="Y548" s="149"/>
    </row>
    <row r="549" spans="1:25" ht="16">
      <c r="A549" s="149" t="s">
        <v>12</v>
      </c>
      <c r="B549" s="150" t="s">
        <v>786</v>
      </c>
      <c r="C549" s="149" t="s">
        <v>1744</v>
      </c>
      <c r="D549" s="149" t="s">
        <v>3555</v>
      </c>
      <c r="E549" s="149" t="s">
        <v>593</v>
      </c>
      <c r="F549" s="149">
        <v>-26.365555560000001</v>
      </c>
      <c r="G549" s="149">
        <v>135.79</v>
      </c>
      <c r="H549" s="149">
        <v>201</v>
      </c>
      <c r="I549" s="151">
        <v>42816</v>
      </c>
      <c r="J549" s="149" t="s">
        <v>36</v>
      </c>
      <c r="K549" s="149" t="s">
        <v>419</v>
      </c>
      <c r="L549" s="155" t="s">
        <v>2566</v>
      </c>
      <c r="M549" s="155" t="s">
        <v>2567</v>
      </c>
      <c r="N549" s="155" t="s">
        <v>2668</v>
      </c>
      <c r="O549" s="155" t="s">
        <v>2105</v>
      </c>
      <c r="P549" s="140" t="s">
        <v>2105</v>
      </c>
      <c r="Q549" s="140" t="s">
        <v>2387</v>
      </c>
      <c r="R549" s="155" t="s">
        <v>2713</v>
      </c>
      <c r="S549" s="149">
        <f t="shared" si="24"/>
        <v>5.0000000000000001E-4</v>
      </c>
      <c r="T549" s="149">
        <v>0</v>
      </c>
      <c r="U549" s="157">
        <v>5.0000000000000001E-4</v>
      </c>
      <c r="V549" s="157">
        <v>1.4410000000000001</v>
      </c>
      <c r="W549" s="157">
        <v>6.6849999999999996</v>
      </c>
      <c r="X549" s="149">
        <f t="shared" si="25"/>
        <v>9.6330849999999995</v>
      </c>
      <c r="Y549" s="149"/>
    </row>
    <row r="550" spans="1:25" ht="16">
      <c r="A550" s="149" t="s">
        <v>12</v>
      </c>
      <c r="B550" s="150" t="s">
        <v>787</v>
      </c>
      <c r="C550" s="149" t="s">
        <v>1744</v>
      </c>
      <c r="D550" s="149" t="s">
        <v>3555</v>
      </c>
      <c r="E550" s="149" t="s">
        <v>593</v>
      </c>
      <c r="F550" s="149">
        <v>-26.365555560000001</v>
      </c>
      <c r="G550" s="149">
        <v>135.79</v>
      </c>
      <c r="H550" s="149">
        <v>201</v>
      </c>
      <c r="I550" s="151">
        <v>42816</v>
      </c>
      <c r="J550" s="149" t="s">
        <v>36</v>
      </c>
      <c r="K550" s="149" t="s">
        <v>419</v>
      </c>
      <c r="L550" s="155" t="s">
        <v>2566</v>
      </c>
      <c r="M550" s="155" t="s">
        <v>2567</v>
      </c>
      <c r="N550" s="155" t="s">
        <v>2668</v>
      </c>
      <c r="O550" s="155" t="s">
        <v>2105</v>
      </c>
      <c r="P550" s="140" t="s">
        <v>2105</v>
      </c>
      <c r="Q550" s="140" t="s">
        <v>2387</v>
      </c>
      <c r="R550" s="155" t="s">
        <v>2713</v>
      </c>
      <c r="S550" s="149">
        <f t="shared" si="24"/>
        <v>8.0000000000000004E-4</v>
      </c>
      <c r="T550" s="149">
        <v>0</v>
      </c>
      <c r="U550" s="157">
        <v>8.0000000000000004E-4</v>
      </c>
      <c r="V550" s="157">
        <v>1.5289999999999999</v>
      </c>
      <c r="W550" s="157">
        <v>6.2519999999999998</v>
      </c>
      <c r="X550" s="149">
        <f t="shared" si="25"/>
        <v>9.5593079999999997</v>
      </c>
      <c r="Y550" s="149"/>
    </row>
    <row r="551" spans="1:25" ht="16">
      <c r="A551" s="149" t="s">
        <v>12</v>
      </c>
      <c r="B551" s="150" t="s">
        <v>467</v>
      </c>
      <c r="C551" s="149" t="s">
        <v>1744</v>
      </c>
      <c r="D551" s="149" t="s">
        <v>3555</v>
      </c>
      <c r="E551" s="149" t="s">
        <v>463</v>
      </c>
      <c r="F551" s="149">
        <v>-25.754722220000001</v>
      </c>
      <c r="G551" s="149">
        <v>135.26305556</v>
      </c>
      <c r="H551" s="149">
        <v>202</v>
      </c>
      <c r="I551" s="151">
        <v>42815</v>
      </c>
      <c r="J551" s="149" t="s">
        <v>36</v>
      </c>
      <c r="K551" s="149" t="s">
        <v>419</v>
      </c>
      <c r="L551" s="149" t="s">
        <v>1687</v>
      </c>
      <c r="M551" s="149" t="s">
        <v>2563</v>
      </c>
      <c r="N551" s="149" t="s">
        <v>2568</v>
      </c>
      <c r="O551" s="149" t="s">
        <v>2734</v>
      </c>
      <c r="P551" s="149" t="s">
        <v>2782</v>
      </c>
      <c r="Q551" s="149" t="s">
        <v>2392</v>
      </c>
      <c r="R551" s="149" t="s">
        <v>2712</v>
      </c>
      <c r="S551" s="149">
        <f t="shared" si="24"/>
        <v>7.2400000000000006E-2</v>
      </c>
      <c r="T551" s="140">
        <v>3.8671999999999998E-2</v>
      </c>
      <c r="U551" s="157">
        <v>3.3728000000000008E-2</v>
      </c>
      <c r="V551" s="157">
        <v>4.4130000000000003</v>
      </c>
      <c r="W551" s="157">
        <v>19.138999999999999</v>
      </c>
      <c r="X551" s="149">
        <f t="shared" si="25"/>
        <v>84.460407000000004</v>
      </c>
      <c r="Y551" s="149"/>
    </row>
    <row r="552" spans="1:25" ht="16">
      <c r="A552" s="149" t="s">
        <v>12</v>
      </c>
      <c r="B552" s="150" t="s">
        <v>789</v>
      </c>
      <c r="C552" s="149" t="s">
        <v>1744</v>
      </c>
      <c r="D552" s="149" t="s">
        <v>3555</v>
      </c>
      <c r="E552" s="149" t="s">
        <v>593</v>
      </c>
      <c r="F552" s="149">
        <v>-26.365555560000001</v>
      </c>
      <c r="G552" s="149">
        <v>135.79</v>
      </c>
      <c r="H552" s="149">
        <v>201</v>
      </c>
      <c r="I552" s="151">
        <v>42816</v>
      </c>
      <c r="J552" s="149" t="s">
        <v>36</v>
      </c>
      <c r="K552" s="149" t="s">
        <v>419</v>
      </c>
      <c r="L552" s="155" t="s">
        <v>2566</v>
      </c>
      <c r="M552" s="155" t="s">
        <v>2567</v>
      </c>
      <c r="N552" s="155" t="s">
        <v>2668</v>
      </c>
      <c r="O552" s="155" t="s">
        <v>2105</v>
      </c>
      <c r="P552" s="140" t="s">
        <v>2105</v>
      </c>
      <c r="Q552" s="140" t="s">
        <v>2387</v>
      </c>
      <c r="R552" s="155" t="s">
        <v>2712</v>
      </c>
      <c r="S552" s="149">
        <f t="shared" ref="S552:S615" si="26">T552+U552</f>
        <v>6.9999999999999999E-4</v>
      </c>
      <c r="T552" s="149">
        <v>0</v>
      </c>
      <c r="U552" s="157">
        <v>6.9999999999999999E-4</v>
      </c>
      <c r="V552" s="157">
        <v>1.2989999999999999</v>
      </c>
      <c r="W552" s="157">
        <v>5.5949999999999998</v>
      </c>
      <c r="X552" s="149">
        <f t="shared" si="25"/>
        <v>7.2679049999999989</v>
      </c>
      <c r="Y552" s="149"/>
    </row>
    <row r="553" spans="1:25" ht="16">
      <c r="A553" s="149" t="s">
        <v>12</v>
      </c>
      <c r="B553" s="150" t="s">
        <v>790</v>
      </c>
      <c r="C553" s="149" t="s">
        <v>1744</v>
      </c>
      <c r="D553" s="149" t="s">
        <v>3555</v>
      </c>
      <c r="E553" s="149" t="s">
        <v>593</v>
      </c>
      <c r="F553" s="149">
        <v>-26.365555560000001</v>
      </c>
      <c r="G553" s="149">
        <v>135.79</v>
      </c>
      <c r="H553" s="149">
        <v>201</v>
      </c>
      <c r="I553" s="151">
        <v>42816</v>
      </c>
      <c r="J553" s="149" t="s">
        <v>36</v>
      </c>
      <c r="K553" s="149" t="s">
        <v>419</v>
      </c>
      <c r="L553" s="155" t="s">
        <v>2566</v>
      </c>
      <c r="M553" s="155" t="s">
        <v>2567</v>
      </c>
      <c r="N553" s="155" t="s">
        <v>2668</v>
      </c>
      <c r="O553" s="155" t="s">
        <v>2105</v>
      </c>
      <c r="P553" s="140" t="s">
        <v>2105</v>
      </c>
      <c r="Q553" s="140" t="s">
        <v>2387</v>
      </c>
      <c r="R553" s="155" t="s">
        <v>2712</v>
      </c>
      <c r="S553" s="149">
        <f t="shared" si="26"/>
        <v>2.9999999999999997E-4</v>
      </c>
      <c r="T553" s="149">
        <v>0</v>
      </c>
      <c r="U553" s="157">
        <v>2.9999999999999997E-4</v>
      </c>
      <c r="V553" s="157">
        <v>1.323</v>
      </c>
      <c r="W553" s="157">
        <v>5.4489999999999998</v>
      </c>
      <c r="X553" s="149">
        <f t="shared" si="25"/>
        <v>7.2090269999999999</v>
      </c>
      <c r="Y553" s="149"/>
    </row>
    <row r="554" spans="1:25" ht="16">
      <c r="A554" s="149" t="s">
        <v>12</v>
      </c>
      <c r="B554" s="150" t="s">
        <v>791</v>
      </c>
      <c r="C554" s="149" t="s">
        <v>1744</v>
      </c>
      <c r="D554" s="149" t="s">
        <v>3555</v>
      </c>
      <c r="E554" s="149" t="s">
        <v>593</v>
      </c>
      <c r="F554" s="149">
        <v>-26.365555560000001</v>
      </c>
      <c r="G554" s="149">
        <v>135.79</v>
      </c>
      <c r="H554" s="149">
        <v>201</v>
      </c>
      <c r="I554" s="151">
        <v>42816</v>
      </c>
      <c r="J554" s="149" t="s">
        <v>36</v>
      </c>
      <c r="K554" s="149" t="s">
        <v>419</v>
      </c>
      <c r="L554" s="155" t="s">
        <v>2566</v>
      </c>
      <c r="M554" s="155" t="s">
        <v>2567</v>
      </c>
      <c r="N554" s="155" t="s">
        <v>2668</v>
      </c>
      <c r="O554" s="155" t="s">
        <v>2105</v>
      </c>
      <c r="P554" s="140" t="s">
        <v>2105</v>
      </c>
      <c r="Q554" s="140" t="s">
        <v>2387</v>
      </c>
      <c r="R554" s="155" t="s">
        <v>2713</v>
      </c>
      <c r="S554" s="149">
        <f t="shared" si="26"/>
        <v>5.9999999999999995E-4</v>
      </c>
      <c r="T554" s="149">
        <v>0</v>
      </c>
      <c r="U554" s="157">
        <v>5.9999999999999995E-4</v>
      </c>
      <c r="V554" s="157">
        <v>1.4330000000000001</v>
      </c>
      <c r="W554" s="157">
        <v>5.726</v>
      </c>
      <c r="X554" s="149">
        <f t="shared" si="25"/>
        <v>8.2053580000000004</v>
      </c>
      <c r="Y554" s="149"/>
    </row>
    <row r="555" spans="1:25" ht="16">
      <c r="A555" s="149" t="s">
        <v>12</v>
      </c>
      <c r="B555" s="150" t="s">
        <v>792</v>
      </c>
      <c r="C555" s="149" t="s">
        <v>1744</v>
      </c>
      <c r="D555" s="149" t="s">
        <v>3555</v>
      </c>
      <c r="E555" s="149" t="s">
        <v>593</v>
      </c>
      <c r="F555" s="149">
        <v>-26.365555560000001</v>
      </c>
      <c r="G555" s="149">
        <v>135.79</v>
      </c>
      <c r="H555" s="149">
        <v>201</v>
      </c>
      <c r="I555" s="151">
        <v>42816</v>
      </c>
      <c r="J555" s="149" t="s">
        <v>36</v>
      </c>
      <c r="K555" s="149" t="s">
        <v>419</v>
      </c>
      <c r="L555" s="140" t="s">
        <v>2566</v>
      </c>
      <c r="M555" s="140" t="s">
        <v>2567</v>
      </c>
      <c r="N555" s="140" t="s">
        <v>2668</v>
      </c>
      <c r="O555" s="140" t="s">
        <v>2105</v>
      </c>
      <c r="P555" s="140" t="s">
        <v>2105</v>
      </c>
      <c r="Q555" s="140" t="s">
        <v>2387</v>
      </c>
      <c r="R555" s="140" t="s">
        <v>2712</v>
      </c>
      <c r="S555" s="149">
        <f t="shared" si="26"/>
        <v>5.0000000000000001E-4</v>
      </c>
      <c r="T555" s="149">
        <v>0</v>
      </c>
      <c r="U555" s="157">
        <v>5.0000000000000001E-4</v>
      </c>
      <c r="V555" s="157">
        <v>1.194</v>
      </c>
      <c r="W555" s="157">
        <v>4.5979999999999999</v>
      </c>
      <c r="X555" s="149">
        <f t="shared" si="25"/>
        <v>5.4900119999999992</v>
      </c>
      <c r="Y555" s="149"/>
    </row>
    <row r="556" spans="1:25" ht="16">
      <c r="A556" s="149" t="s">
        <v>12</v>
      </c>
      <c r="B556" s="150" t="s">
        <v>793</v>
      </c>
      <c r="C556" s="149" t="s">
        <v>1744</v>
      </c>
      <c r="D556" s="149" t="s">
        <v>3555</v>
      </c>
      <c r="E556" s="149" t="s">
        <v>593</v>
      </c>
      <c r="F556" s="149">
        <v>-26.365555560000001</v>
      </c>
      <c r="G556" s="149">
        <v>135.79</v>
      </c>
      <c r="H556" s="149">
        <v>201</v>
      </c>
      <c r="I556" s="151">
        <v>42816</v>
      </c>
      <c r="J556" s="149" t="s">
        <v>36</v>
      </c>
      <c r="K556" s="149" t="s">
        <v>419</v>
      </c>
      <c r="L556" s="155" t="s">
        <v>2566</v>
      </c>
      <c r="M556" s="155" t="s">
        <v>2567</v>
      </c>
      <c r="N556" s="155" t="s">
        <v>2668</v>
      </c>
      <c r="O556" s="155" t="s">
        <v>2105</v>
      </c>
      <c r="P556" s="140" t="s">
        <v>2105</v>
      </c>
      <c r="Q556" s="140" t="s">
        <v>2387</v>
      </c>
      <c r="R556" s="155" t="s">
        <v>2713</v>
      </c>
      <c r="S556" s="149">
        <f t="shared" si="26"/>
        <v>5.0000000000000001E-4</v>
      </c>
      <c r="T556" s="149">
        <v>0</v>
      </c>
      <c r="U556" s="157">
        <v>5.0000000000000001E-4</v>
      </c>
      <c r="V556" s="157">
        <v>1.4650000000000001</v>
      </c>
      <c r="W556" s="157">
        <v>6.6929999999999996</v>
      </c>
      <c r="X556" s="149">
        <f t="shared" si="25"/>
        <v>9.8052449999999993</v>
      </c>
      <c r="Y556" s="149"/>
    </row>
    <row r="557" spans="1:25" ht="16">
      <c r="A557" s="149" t="s">
        <v>12</v>
      </c>
      <c r="B557" s="150" t="s">
        <v>794</v>
      </c>
      <c r="C557" s="149" t="s">
        <v>1744</v>
      </c>
      <c r="D557" s="149" t="s">
        <v>3555</v>
      </c>
      <c r="E557" s="149" t="s">
        <v>593</v>
      </c>
      <c r="F557" s="149">
        <v>-26.365555560000001</v>
      </c>
      <c r="G557" s="149">
        <v>135.79</v>
      </c>
      <c r="H557" s="149">
        <v>201</v>
      </c>
      <c r="I557" s="151">
        <v>42816</v>
      </c>
      <c r="J557" s="149" t="s">
        <v>36</v>
      </c>
      <c r="K557" s="149" t="s">
        <v>419</v>
      </c>
      <c r="L557" s="155" t="s">
        <v>2566</v>
      </c>
      <c r="M557" s="155" t="s">
        <v>2567</v>
      </c>
      <c r="N557" s="155" t="s">
        <v>2668</v>
      </c>
      <c r="O557" s="140" t="s">
        <v>2600</v>
      </c>
      <c r="P557" s="149" t="s">
        <v>2735</v>
      </c>
      <c r="Q557" s="140" t="s">
        <v>2709</v>
      </c>
      <c r="R557" s="155" t="s">
        <v>2712</v>
      </c>
      <c r="S557" s="149">
        <f t="shared" si="26"/>
        <v>4.0000000000000002E-4</v>
      </c>
      <c r="T557" s="149">
        <v>0</v>
      </c>
      <c r="U557" s="157">
        <v>4.0000000000000002E-4</v>
      </c>
      <c r="V557" s="157">
        <v>1.3680000000000001</v>
      </c>
      <c r="W557" s="157">
        <v>5.5949999999999998</v>
      </c>
      <c r="X557" s="149">
        <f t="shared" si="25"/>
        <v>7.6539600000000005</v>
      </c>
      <c r="Y557" s="149"/>
    </row>
    <row r="558" spans="1:25" ht="16">
      <c r="A558" s="149" t="s">
        <v>12</v>
      </c>
      <c r="B558" s="150" t="s">
        <v>795</v>
      </c>
      <c r="C558" s="149" t="s">
        <v>1744</v>
      </c>
      <c r="D558" s="149" t="s">
        <v>3555</v>
      </c>
      <c r="E558" s="149" t="s">
        <v>593</v>
      </c>
      <c r="F558" s="149">
        <v>-26.365555560000001</v>
      </c>
      <c r="G558" s="149">
        <v>135.79</v>
      </c>
      <c r="H558" s="149">
        <v>201</v>
      </c>
      <c r="I558" s="151">
        <v>42816</v>
      </c>
      <c r="J558" s="149" t="s">
        <v>36</v>
      </c>
      <c r="K558" s="149" t="s">
        <v>419</v>
      </c>
      <c r="L558" s="155" t="s">
        <v>2566</v>
      </c>
      <c r="M558" s="155" t="s">
        <v>2567</v>
      </c>
      <c r="N558" s="155" t="s">
        <v>2668</v>
      </c>
      <c r="O558" s="155" t="s">
        <v>2105</v>
      </c>
      <c r="P558" s="140" t="s">
        <v>2105</v>
      </c>
      <c r="Q558" s="140" t="s">
        <v>2387</v>
      </c>
      <c r="R558" s="155" t="s">
        <v>2713</v>
      </c>
      <c r="S558" s="149">
        <f t="shared" si="26"/>
        <v>8.9999999999999998E-4</v>
      </c>
      <c r="T558" s="149">
        <v>0</v>
      </c>
      <c r="U558" s="157">
        <v>8.9999999999999998E-4</v>
      </c>
      <c r="V558" s="157">
        <v>1.4990000000000001</v>
      </c>
      <c r="W558" s="157">
        <v>5.8860000000000001</v>
      </c>
      <c r="X558" s="149">
        <f t="shared" si="25"/>
        <v>8.8231140000000003</v>
      </c>
      <c r="Y558" s="149"/>
    </row>
    <row r="559" spans="1:25" ht="16">
      <c r="A559" s="149" t="s">
        <v>12</v>
      </c>
      <c r="B559" s="150" t="s">
        <v>796</v>
      </c>
      <c r="C559" s="149" t="s">
        <v>1744</v>
      </c>
      <c r="D559" s="149" t="s">
        <v>3555</v>
      </c>
      <c r="E559" s="149" t="s">
        <v>593</v>
      </c>
      <c r="F559" s="149">
        <v>-26.365555560000001</v>
      </c>
      <c r="G559" s="149">
        <v>135.79</v>
      </c>
      <c r="H559" s="149">
        <v>201</v>
      </c>
      <c r="I559" s="151">
        <v>42816</v>
      </c>
      <c r="J559" s="149" t="s">
        <v>36</v>
      </c>
      <c r="K559" s="149" t="s">
        <v>419</v>
      </c>
      <c r="L559" s="155" t="s">
        <v>2566</v>
      </c>
      <c r="M559" s="155" t="s">
        <v>2567</v>
      </c>
      <c r="N559" s="155" t="s">
        <v>2668</v>
      </c>
      <c r="O559" s="155" t="s">
        <v>2105</v>
      </c>
      <c r="P559" s="140" t="s">
        <v>2105</v>
      </c>
      <c r="Q559" s="140" t="s">
        <v>2387</v>
      </c>
      <c r="R559" s="155" t="s">
        <v>2713</v>
      </c>
      <c r="S559" s="149">
        <f t="shared" si="26"/>
        <v>8.0000000000000004E-4</v>
      </c>
      <c r="T559" s="149">
        <v>0</v>
      </c>
      <c r="U559" s="157">
        <v>8.0000000000000004E-4</v>
      </c>
      <c r="V559" s="157">
        <v>1.38</v>
      </c>
      <c r="W559" s="157">
        <v>6.71</v>
      </c>
      <c r="X559" s="149">
        <f t="shared" si="25"/>
        <v>9.2597999999999985</v>
      </c>
      <c r="Y559" s="149"/>
    </row>
    <row r="560" spans="1:25" ht="16">
      <c r="A560" s="149" t="s">
        <v>12</v>
      </c>
      <c r="B560" s="150" t="s">
        <v>797</v>
      </c>
      <c r="C560" s="149" t="s">
        <v>1744</v>
      </c>
      <c r="D560" s="149" t="s">
        <v>3555</v>
      </c>
      <c r="E560" s="149" t="s">
        <v>593</v>
      </c>
      <c r="F560" s="149">
        <v>-26.365555560000001</v>
      </c>
      <c r="G560" s="149">
        <v>135.79</v>
      </c>
      <c r="H560" s="149">
        <v>201</v>
      </c>
      <c r="I560" s="151">
        <v>42816</v>
      </c>
      <c r="J560" s="149" t="s">
        <v>36</v>
      </c>
      <c r="K560" s="149" t="s">
        <v>419</v>
      </c>
      <c r="L560" s="155" t="s">
        <v>2566</v>
      </c>
      <c r="M560" s="155" t="s">
        <v>2567</v>
      </c>
      <c r="N560" s="155" t="s">
        <v>2668</v>
      </c>
      <c r="O560" s="155" t="s">
        <v>2105</v>
      </c>
      <c r="P560" s="140" t="s">
        <v>2105</v>
      </c>
      <c r="Q560" s="140" t="s">
        <v>2387</v>
      </c>
      <c r="R560" s="155" t="s">
        <v>2713</v>
      </c>
      <c r="S560" s="149">
        <f t="shared" si="26"/>
        <v>6.9999999999999999E-4</v>
      </c>
      <c r="T560" s="149">
        <v>0</v>
      </c>
      <c r="U560" s="157">
        <v>6.9999999999999999E-4</v>
      </c>
      <c r="V560" s="157">
        <v>1.6919999999999999</v>
      </c>
      <c r="W560" s="157">
        <v>6.7050000000000001</v>
      </c>
      <c r="X560" s="149">
        <f t="shared" si="25"/>
        <v>11.344860000000001</v>
      </c>
      <c r="Y560" s="149"/>
    </row>
    <row r="561" spans="1:25" ht="16">
      <c r="A561" s="149" t="s">
        <v>12</v>
      </c>
      <c r="B561" s="150" t="s">
        <v>798</v>
      </c>
      <c r="C561" s="149" t="s">
        <v>1744</v>
      </c>
      <c r="D561" s="149" t="s">
        <v>3555</v>
      </c>
      <c r="E561" s="149" t="s">
        <v>593</v>
      </c>
      <c r="F561" s="149">
        <v>-26.365555560000001</v>
      </c>
      <c r="G561" s="149">
        <v>135.79</v>
      </c>
      <c r="H561" s="149">
        <v>201</v>
      </c>
      <c r="I561" s="151">
        <v>42816</v>
      </c>
      <c r="J561" s="149" t="s">
        <v>36</v>
      </c>
      <c r="K561" s="149" t="s">
        <v>419</v>
      </c>
      <c r="L561" s="155" t="s">
        <v>2566</v>
      </c>
      <c r="M561" s="155" t="s">
        <v>2567</v>
      </c>
      <c r="N561" s="155" t="s">
        <v>2668</v>
      </c>
      <c r="O561" s="155" t="s">
        <v>2105</v>
      </c>
      <c r="P561" s="140" t="s">
        <v>2105</v>
      </c>
      <c r="Q561" s="140" t="s">
        <v>2387</v>
      </c>
      <c r="R561" s="155" t="s">
        <v>2713</v>
      </c>
      <c r="S561" s="149">
        <f t="shared" si="26"/>
        <v>4.0000000000000002E-4</v>
      </c>
      <c r="T561" s="149">
        <v>0</v>
      </c>
      <c r="U561" s="157">
        <v>4.0000000000000002E-4</v>
      </c>
      <c r="V561" s="157">
        <v>1.3540000000000001</v>
      </c>
      <c r="W561" s="157">
        <v>6.5990000000000002</v>
      </c>
      <c r="X561" s="149">
        <f t="shared" si="25"/>
        <v>8.9350460000000016</v>
      </c>
      <c r="Y561" s="149"/>
    </row>
    <row r="562" spans="1:25" ht="16">
      <c r="A562" s="149" t="s">
        <v>12</v>
      </c>
      <c r="B562" s="150" t="s">
        <v>468</v>
      </c>
      <c r="C562" s="149" t="s">
        <v>1744</v>
      </c>
      <c r="D562" s="149" t="s">
        <v>3555</v>
      </c>
      <c r="E562" s="149" t="s">
        <v>463</v>
      </c>
      <c r="F562" s="149">
        <v>-25.754722220000001</v>
      </c>
      <c r="G562" s="149">
        <v>135.26305556</v>
      </c>
      <c r="H562" s="149">
        <v>202</v>
      </c>
      <c r="I562" s="151">
        <v>42815</v>
      </c>
      <c r="J562" s="149" t="s">
        <v>36</v>
      </c>
      <c r="K562" s="149" t="s">
        <v>419</v>
      </c>
      <c r="L562" s="140" t="s">
        <v>2569</v>
      </c>
      <c r="M562" s="140" t="s">
        <v>2570</v>
      </c>
      <c r="N562" s="140" t="s">
        <v>2571</v>
      </c>
      <c r="O562" s="140" t="s">
        <v>2369</v>
      </c>
      <c r="P562" s="140" t="s">
        <v>3556</v>
      </c>
      <c r="Q562" s="140" t="s">
        <v>2676</v>
      </c>
      <c r="R562" s="140" t="s">
        <v>2712</v>
      </c>
      <c r="S562" s="149">
        <f t="shared" si="26"/>
        <v>3.3999999999999998E-3</v>
      </c>
      <c r="T562" s="149">
        <v>0</v>
      </c>
      <c r="U562" s="157">
        <v>3.3999999999999998E-3</v>
      </c>
      <c r="V562" s="157">
        <v>2.14</v>
      </c>
      <c r="W562" s="157">
        <v>8.57</v>
      </c>
      <c r="X562" s="149">
        <f t="shared" si="25"/>
        <v>18.3398</v>
      </c>
      <c r="Y562" s="149"/>
    </row>
    <row r="563" spans="1:25" ht="16">
      <c r="A563" s="149" t="s">
        <v>12</v>
      </c>
      <c r="B563" s="150" t="s">
        <v>799</v>
      </c>
      <c r="C563" s="149" t="s">
        <v>1744</v>
      </c>
      <c r="D563" s="149" t="s">
        <v>3555</v>
      </c>
      <c r="E563" s="149" t="s">
        <v>593</v>
      </c>
      <c r="F563" s="149">
        <v>-26.365555560000001</v>
      </c>
      <c r="G563" s="149">
        <v>135.79</v>
      </c>
      <c r="H563" s="149">
        <v>201</v>
      </c>
      <c r="I563" s="151">
        <v>42816</v>
      </c>
      <c r="J563" s="149" t="s">
        <v>36</v>
      </c>
      <c r="K563" s="149" t="s">
        <v>419</v>
      </c>
      <c r="L563" s="155" t="s">
        <v>2566</v>
      </c>
      <c r="M563" s="155" t="s">
        <v>2567</v>
      </c>
      <c r="N563" s="155" t="s">
        <v>2668</v>
      </c>
      <c r="O563" s="155" t="s">
        <v>2105</v>
      </c>
      <c r="P563" s="140" t="s">
        <v>2105</v>
      </c>
      <c r="Q563" s="140" t="s">
        <v>2387</v>
      </c>
      <c r="R563" s="155" t="s">
        <v>2713</v>
      </c>
      <c r="S563" s="149">
        <f t="shared" si="26"/>
        <v>5.9999999999999995E-4</v>
      </c>
      <c r="T563" s="149">
        <v>0</v>
      </c>
      <c r="U563" s="157">
        <v>5.9999999999999995E-4</v>
      </c>
      <c r="V563" s="157">
        <v>1.536</v>
      </c>
      <c r="W563" s="157">
        <v>6.0519999999999996</v>
      </c>
      <c r="X563" s="149">
        <f t="shared" si="25"/>
        <v>9.2958719999999992</v>
      </c>
      <c r="Y563" s="149"/>
    </row>
    <row r="564" spans="1:25" ht="16">
      <c r="A564" s="149" t="s">
        <v>12</v>
      </c>
      <c r="B564" s="150" t="s">
        <v>803</v>
      </c>
      <c r="C564" s="149" t="s">
        <v>1744</v>
      </c>
      <c r="D564" s="149" t="s">
        <v>3555</v>
      </c>
      <c r="E564" s="149" t="s">
        <v>593</v>
      </c>
      <c r="F564" s="149">
        <v>-26.365555560000001</v>
      </c>
      <c r="G564" s="149">
        <v>135.79</v>
      </c>
      <c r="H564" s="149">
        <v>201</v>
      </c>
      <c r="I564" s="151">
        <v>42816</v>
      </c>
      <c r="J564" s="149" t="s">
        <v>36</v>
      </c>
      <c r="K564" s="149" t="s">
        <v>419</v>
      </c>
      <c r="L564" s="155" t="s">
        <v>2566</v>
      </c>
      <c r="M564" s="155" t="s">
        <v>2567</v>
      </c>
      <c r="N564" s="155" t="s">
        <v>2668</v>
      </c>
      <c r="O564" s="155" t="s">
        <v>2105</v>
      </c>
      <c r="P564" s="140" t="s">
        <v>2105</v>
      </c>
      <c r="Q564" s="140" t="s">
        <v>2387</v>
      </c>
      <c r="R564" s="155" t="s">
        <v>2713</v>
      </c>
      <c r="S564" s="149">
        <f t="shared" si="26"/>
        <v>5.9999999999999995E-4</v>
      </c>
      <c r="T564" s="149">
        <v>0</v>
      </c>
      <c r="U564" s="157">
        <v>5.9999999999999995E-4</v>
      </c>
      <c r="V564" s="157">
        <v>1.4790000000000001</v>
      </c>
      <c r="W564" s="157">
        <v>6.0259999999999998</v>
      </c>
      <c r="X564" s="149">
        <f t="shared" si="25"/>
        <v>8.9124540000000003</v>
      </c>
      <c r="Y564" s="149"/>
    </row>
    <row r="565" spans="1:25" ht="16">
      <c r="A565" s="149" t="s">
        <v>12</v>
      </c>
      <c r="B565" s="150" t="s">
        <v>804</v>
      </c>
      <c r="C565" s="149" t="s">
        <v>1744</v>
      </c>
      <c r="D565" s="149" t="s">
        <v>3555</v>
      </c>
      <c r="E565" s="149" t="s">
        <v>593</v>
      </c>
      <c r="F565" s="149">
        <v>-26.365555560000001</v>
      </c>
      <c r="G565" s="149">
        <v>135.79</v>
      </c>
      <c r="H565" s="149">
        <v>201</v>
      </c>
      <c r="I565" s="151">
        <v>42816</v>
      </c>
      <c r="J565" s="149" t="s">
        <v>36</v>
      </c>
      <c r="K565" s="149" t="s">
        <v>419</v>
      </c>
      <c r="L565" s="155" t="s">
        <v>2566</v>
      </c>
      <c r="M565" s="155" t="s">
        <v>2567</v>
      </c>
      <c r="N565" s="155" t="s">
        <v>2668</v>
      </c>
      <c r="O565" s="155" t="s">
        <v>2105</v>
      </c>
      <c r="P565" s="140" t="s">
        <v>2105</v>
      </c>
      <c r="Q565" s="140" t="s">
        <v>2387</v>
      </c>
      <c r="R565" s="155" t="s">
        <v>2713</v>
      </c>
      <c r="S565" s="149">
        <f t="shared" si="26"/>
        <v>8.9999999999999998E-4</v>
      </c>
      <c r="T565" s="149">
        <v>0</v>
      </c>
      <c r="U565" s="157">
        <v>8.9999999999999998E-4</v>
      </c>
      <c r="V565" s="157">
        <v>1.5820000000000001</v>
      </c>
      <c r="W565" s="157">
        <v>5.89</v>
      </c>
      <c r="X565" s="149">
        <f t="shared" si="25"/>
        <v>9.3179800000000004</v>
      </c>
      <c r="Y565" s="149"/>
    </row>
    <row r="566" spans="1:25" ht="16">
      <c r="A566" s="149" t="s">
        <v>12</v>
      </c>
      <c r="B566" s="150" t="s">
        <v>469</v>
      </c>
      <c r="C566" s="149" t="s">
        <v>1744</v>
      </c>
      <c r="D566" s="149" t="s">
        <v>3555</v>
      </c>
      <c r="E566" s="149" t="s">
        <v>463</v>
      </c>
      <c r="F566" s="149">
        <v>-25.754722220000001</v>
      </c>
      <c r="G566" s="149">
        <v>135.26305556</v>
      </c>
      <c r="H566" s="149">
        <v>202</v>
      </c>
      <c r="I566" s="151">
        <v>42815</v>
      </c>
      <c r="J566" s="149" t="s">
        <v>36</v>
      </c>
      <c r="K566" s="149" t="s">
        <v>419</v>
      </c>
      <c r="L566" s="140" t="s">
        <v>2572</v>
      </c>
      <c r="M566" s="140" t="s">
        <v>2407</v>
      </c>
      <c r="N566" s="140" t="s">
        <v>36</v>
      </c>
      <c r="O566" s="140" t="s">
        <v>2215</v>
      </c>
      <c r="P566" s="140" t="s">
        <v>2215</v>
      </c>
      <c r="Q566" s="140" t="s">
        <v>2702</v>
      </c>
      <c r="R566" s="140" t="s">
        <v>2713</v>
      </c>
      <c r="S566" s="149">
        <f t="shared" si="26"/>
        <v>5.0000000000000001E-4</v>
      </c>
      <c r="T566" s="149">
        <v>0</v>
      </c>
      <c r="U566" s="157">
        <v>5.0000000000000001E-4</v>
      </c>
      <c r="V566" s="157">
        <v>1.48</v>
      </c>
      <c r="W566" s="157">
        <v>8.6210000000000004</v>
      </c>
      <c r="X566" s="149">
        <f t="shared" si="25"/>
        <v>12.759080000000001</v>
      </c>
      <c r="Y566" s="149"/>
    </row>
    <row r="567" spans="1:25" ht="16">
      <c r="A567" s="149" t="s">
        <v>12</v>
      </c>
      <c r="B567" s="150" t="s">
        <v>810</v>
      </c>
      <c r="C567" s="149" t="s">
        <v>1744</v>
      </c>
      <c r="D567" s="149" t="s">
        <v>3555</v>
      </c>
      <c r="E567" s="149" t="s">
        <v>593</v>
      </c>
      <c r="F567" s="149">
        <v>-26.365555560000001</v>
      </c>
      <c r="G567" s="149">
        <v>135.79</v>
      </c>
      <c r="H567" s="149">
        <v>201</v>
      </c>
      <c r="I567" s="151">
        <v>42816</v>
      </c>
      <c r="J567" s="149" t="s">
        <v>36</v>
      </c>
      <c r="K567" s="149" t="s">
        <v>419</v>
      </c>
      <c r="L567" s="155" t="s">
        <v>2566</v>
      </c>
      <c r="M567" s="155" t="s">
        <v>2567</v>
      </c>
      <c r="N567" s="155" t="s">
        <v>2668</v>
      </c>
      <c r="O567" s="155" t="s">
        <v>2105</v>
      </c>
      <c r="P567" s="140" t="s">
        <v>2105</v>
      </c>
      <c r="Q567" s="140" t="s">
        <v>2387</v>
      </c>
      <c r="R567" s="155" t="s">
        <v>2713</v>
      </c>
      <c r="S567" s="149">
        <f t="shared" si="26"/>
        <v>4.0000000000000002E-4</v>
      </c>
      <c r="T567" s="149">
        <v>0</v>
      </c>
      <c r="U567" s="157">
        <v>4.0000000000000002E-4</v>
      </c>
      <c r="V567" s="157">
        <v>1.6319999999999999</v>
      </c>
      <c r="W567" s="157">
        <v>6.4640000000000004</v>
      </c>
      <c r="X567" s="149">
        <f t="shared" si="25"/>
        <v>10.549248</v>
      </c>
      <c r="Y567" s="149"/>
    </row>
    <row r="568" spans="1:25" ht="16">
      <c r="A568" s="149" t="s">
        <v>12</v>
      </c>
      <c r="B568" s="150" t="s">
        <v>811</v>
      </c>
      <c r="C568" s="149" t="s">
        <v>1744</v>
      </c>
      <c r="D568" s="149" t="s">
        <v>3555</v>
      </c>
      <c r="E568" s="149" t="s">
        <v>593</v>
      </c>
      <c r="F568" s="149">
        <v>-26.365555560000001</v>
      </c>
      <c r="G568" s="149">
        <v>135.79</v>
      </c>
      <c r="H568" s="149">
        <v>201</v>
      </c>
      <c r="I568" s="151">
        <v>42816</v>
      </c>
      <c r="J568" s="149" t="s">
        <v>36</v>
      </c>
      <c r="K568" s="149" t="s">
        <v>419</v>
      </c>
      <c r="L568" s="155" t="s">
        <v>2566</v>
      </c>
      <c r="M568" s="155" t="s">
        <v>2567</v>
      </c>
      <c r="N568" s="155" t="s">
        <v>2668</v>
      </c>
      <c r="O568" s="155" t="s">
        <v>2105</v>
      </c>
      <c r="P568" s="140" t="s">
        <v>2105</v>
      </c>
      <c r="Q568" s="140" t="s">
        <v>2387</v>
      </c>
      <c r="R568" s="155" t="s">
        <v>2713</v>
      </c>
      <c r="S568" s="149">
        <f t="shared" si="26"/>
        <v>8.0000000000000004E-4</v>
      </c>
      <c r="T568" s="149">
        <v>0</v>
      </c>
      <c r="U568" s="157">
        <v>8.0000000000000004E-4</v>
      </c>
      <c r="V568" s="157">
        <v>1.65</v>
      </c>
      <c r="W568" s="157">
        <v>6.6189999999999998</v>
      </c>
      <c r="X568" s="149">
        <f t="shared" si="25"/>
        <v>10.921349999999999</v>
      </c>
      <c r="Y568" s="149"/>
    </row>
    <row r="569" spans="1:25" ht="16">
      <c r="A569" s="149" t="s">
        <v>12</v>
      </c>
      <c r="B569" s="150" t="s">
        <v>812</v>
      </c>
      <c r="C569" s="149" t="s">
        <v>1744</v>
      </c>
      <c r="D569" s="149" t="s">
        <v>3555</v>
      </c>
      <c r="E569" s="149" t="s">
        <v>593</v>
      </c>
      <c r="F569" s="149">
        <v>-26.365555560000001</v>
      </c>
      <c r="G569" s="149">
        <v>135.79</v>
      </c>
      <c r="H569" s="149">
        <v>201</v>
      </c>
      <c r="I569" s="151">
        <v>42816</v>
      </c>
      <c r="J569" s="149" t="s">
        <v>36</v>
      </c>
      <c r="K569" s="149" t="s">
        <v>419</v>
      </c>
      <c r="L569" s="140" t="s">
        <v>2566</v>
      </c>
      <c r="M569" s="140" t="s">
        <v>2574</v>
      </c>
      <c r="N569" s="140" t="s">
        <v>3191</v>
      </c>
      <c r="O569" s="149" t="s">
        <v>2111</v>
      </c>
      <c r="P569" s="149" t="s">
        <v>2739</v>
      </c>
      <c r="Q569" s="140" t="s">
        <v>2692</v>
      </c>
      <c r="R569" s="140" t="s">
        <v>2713</v>
      </c>
      <c r="S569" s="149">
        <f t="shared" si="26"/>
        <v>4.7000000000000002E-3</v>
      </c>
      <c r="T569" s="149">
        <v>0</v>
      </c>
      <c r="U569" s="157">
        <v>4.7000000000000002E-3</v>
      </c>
      <c r="V569" s="157">
        <v>2.4630000000000001</v>
      </c>
      <c r="W569" s="157">
        <v>11.132</v>
      </c>
      <c r="X569" s="149">
        <f t="shared" si="25"/>
        <v>27.418116000000001</v>
      </c>
      <c r="Y569" s="149"/>
    </row>
    <row r="570" spans="1:25" ht="16">
      <c r="A570" s="149" t="s">
        <v>12</v>
      </c>
      <c r="B570" s="150" t="s">
        <v>813</v>
      </c>
      <c r="C570" s="149" t="s">
        <v>1744</v>
      </c>
      <c r="D570" s="149" t="s">
        <v>3555</v>
      </c>
      <c r="E570" s="149" t="s">
        <v>593</v>
      </c>
      <c r="F570" s="149">
        <v>-26.365555560000001</v>
      </c>
      <c r="G570" s="149">
        <v>135.79</v>
      </c>
      <c r="H570" s="149">
        <v>201</v>
      </c>
      <c r="I570" s="151">
        <v>42816</v>
      </c>
      <c r="J570" s="149" t="s">
        <v>36</v>
      </c>
      <c r="K570" s="149" t="s">
        <v>419</v>
      </c>
      <c r="L570" s="140" t="s">
        <v>2572</v>
      </c>
      <c r="M570" s="140" t="s">
        <v>2407</v>
      </c>
      <c r="N570" s="140" t="s">
        <v>36</v>
      </c>
      <c r="O570" s="140" t="s">
        <v>2215</v>
      </c>
      <c r="P570" s="140" t="s">
        <v>2215</v>
      </c>
      <c r="Q570" s="140" t="s">
        <v>2702</v>
      </c>
      <c r="R570" s="140" t="s">
        <v>2713</v>
      </c>
      <c r="S570" s="149">
        <f t="shared" si="26"/>
        <v>8.9999999999999998E-4</v>
      </c>
      <c r="T570" s="149">
        <v>0</v>
      </c>
      <c r="U570" s="157">
        <v>8.9999999999999998E-4</v>
      </c>
      <c r="V570" s="157">
        <v>1.319</v>
      </c>
      <c r="W570" s="157">
        <v>6.5339999999999998</v>
      </c>
      <c r="X570" s="149">
        <f t="shared" si="25"/>
        <v>8.618345999999999</v>
      </c>
      <c r="Y570" s="149"/>
    </row>
    <row r="571" spans="1:25" ht="16">
      <c r="A571" s="149" t="s">
        <v>12</v>
      </c>
      <c r="B571" s="150" t="s">
        <v>814</v>
      </c>
      <c r="C571" s="149" t="s">
        <v>1744</v>
      </c>
      <c r="D571" s="149" t="s">
        <v>3555</v>
      </c>
      <c r="E571" s="149" t="s">
        <v>593</v>
      </c>
      <c r="F571" s="149">
        <v>-26.365555560000001</v>
      </c>
      <c r="G571" s="149">
        <v>135.79</v>
      </c>
      <c r="H571" s="149">
        <v>201</v>
      </c>
      <c r="I571" s="151">
        <v>42816</v>
      </c>
      <c r="J571" s="149" t="s">
        <v>36</v>
      </c>
      <c r="K571" s="149" t="s">
        <v>419</v>
      </c>
      <c r="L571" s="140" t="s">
        <v>2566</v>
      </c>
      <c r="M571" s="140" t="s">
        <v>2567</v>
      </c>
      <c r="N571" s="140" t="s">
        <v>2668</v>
      </c>
      <c r="O571" s="140" t="s">
        <v>2105</v>
      </c>
      <c r="P571" s="140" t="s">
        <v>2105</v>
      </c>
      <c r="Q571" s="140" t="s">
        <v>2387</v>
      </c>
      <c r="R571" s="140" t="s">
        <v>2713</v>
      </c>
      <c r="S571" s="149">
        <f t="shared" si="26"/>
        <v>5.9999999999999995E-4</v>
      </c>
      <c r="T571" s="149">
        <v>0</v>
      </c>
      <c r="U571" s="157">
        <v>5.9999999999999995E-4</v>
      </c>
      <c r="V571" s="157">
        <v>1.583</v>
      </c>
      <c r="W571" s="157">
        <v>6.2080000000000002</v>
      </c>
      <c r="X571" s="149">
        <f t="shared" si="25"/>
        <v>9.8272639999999996</v>
      </c>
      <c r="Y571" s="149"/>
    </row>
    <row r="572" spans="1:25" ht="16">
      <c r="A572" s="149" t="s">
        <v>12</v>
      </c>
      <c r="B572" s="150" t="s">
        <v>815</v>
      </c>
      <c r="C572" s="149" t="s">
        <v>1744</v>
      </c>
      <c r="D572" s="149" t="s">
        <v>3555</v>
      </c>
      <c r="E572" s="149" t="s">
        <v>593</v>
      </c>
      <c r="F572" s="149">
        <v>-26.365555560000001</v>
      </c>
      <c r="G572" s="149">
        <v>135.79</v>
      </c>
      <c r="H572" s="149">
        <v>201</v>
      </c>
      <c r="I572" s="151">
        <v>42816</v>
      </c>
      <c r="J572" s="149" t="s">
        <v>36</v>
      </c>
      <c r="K572" s="149" t="s">
        <v>419</v>
      </c>
      <c r="L572" s="155" t="s">
        <v>2566</v>
      </c>
      <c r="M572" s="155" t="s">
        <v>2567</v>
      </c>
      <c r="N572" s="155" t="s">
        <v>2668</v>
      </c>
      <c r="O572" s="155" t="s">
        <v>2105</v>
      </c>
      <c r="P572" s="140" t="s">
        <v>2105</v>
      </c>
      <c r="Q572" s="140" t="s">
        <v>2387</v>
      </c>
      <c r="R572" s="155" t="s">
        <v>2713</v>
      </c>
      <c r="S572" s="149">
        <f t="shared" si="26"/>
        <v>1.1999999999999999E-3</v>
      </c>
      <c r="T572" s="149">
        <v>0</v>
      </c>
      <c r="U572" s="157">
        <v>1.1999999999999999E-3</v>
      </c>
      <c r="V572" s="157">
        <v>1.571</v>
      </c>
      <c r="W572" s="157">
        <v>7.1879999999999997</v>
      </c>
      <c r="X572" s="149">
        <f t="shared" si="25"/>
        <v>11.292347999999999</v>
      </c>
      <c r="Y572" s="149"/>
    </row>
    <row r="573" spans="1:25" ht="16">
      <c r="A573" s="149" t="s">
        <v>12</v>
      </c>
      <c r="B573" s="150" t="s">
        <v>816</v>
      </c>
      <c r="C573" s="149" t="s">
        <v>1744</v>
      </c>
      <c r="D573" s="149" t="s">
        <v>3555</v>
      </c>
      <c r="E573" s="149" t="s">
        <v>593</v>
      </c>
      <c r="F573" s="149">
        <v>-26.365555560000001</v>
      </c>
      <c r="G573" s="149">
        <v>135.79</v>
      </c>
      <c r="H573" s="149">
        <v>201</v>
      </c>
      <c r="I573" s="151">
        <v>42816</v>
      </c>
      <c r="J573" s="149" t="s">
        <v>36</v>
      </c>
      <c r="K573" s="149" t="s">
        <v>419</v>
      </c>
      <c r="L573" s="155" t="s">
        <v>2566</v>
      </c>
      <c r="M573" s="155" t="s">
        <v>2567</v>
      </c>
      <c r="N573" s="155" t="s">
        <v>2668</v>
      </c>
      <c r="O573" s="155" t="s">
        <v>2105</v>
      </c>
      <c r="P573" s="140" t="s">
        <v>2105</v>
      </c>
      <c r="Q573" s="140" t="s">
        <v>2387</v>
      </c>
      <c r="R573" s="155" t="s">
        <v>2713</v>
      </c>
      <c r="S573" s="149">
        <f t="shared" si="26"/>
        <v>8.0000000000000004E-4</v>
      </c>
      <c r="T573" s="149">
        <v>0</v>
      </c>
      <c r="U573" s="157">
        <v>8.0000000000000004E-4</v>
      </c>
      <c r="V573" s="157">
        <v>1.659</v>
      </c>
      <c r="W573" s="157">
        <v>6.0640000000000001</v>
      </c>
      <c r="X573" s="149">
        <f t="shared" si="25"/>
        <v>10.060176</v>
      </c>
      <c r="Y573" s="149"/>
    </row>
    <row r="574" spans="1:25" ht="16">
      <c r="A574" s="149" t="s">
        <v>12</v>
      </c>
      <c r="B574" s="150" t="s">
        <v>817</v>
      </c>
      <c r="C574" s="149" t="s">
        <v>1744</v>
      </c>
      <c r="D574" s="149" t="s">
        <v>3555</v>
      </c>
      <c r="E574" s="149" t="s">
        <v>593</v>
      </c>
      <c r="F574" s="149">
        <v>-26.365555560000001</v>
      </c>
      <c r="G574" s="149">
        <v>135.79</v>
      </c>
      <c r="H574" s="149">
        <v>201</v>
      </c>
      <c r="I574" s="151">
        <v>42816</v>
      </c>
      <c r="J574" s="149" t="s">
        <v>36</v>
      </c>
      <c r="K574" s="149" t="s">
        <v>419</v>
      </c>
      <c r="L574" s="155" t="s">
        <v>2566</v>
      </c>
      <c r="M574" s="155" t="s">
        <v>2567</v>
      </c>
      <c r="N574" s="155" t="s">
        <v>2668</v>
      </c>
      <c r="O574" s="155" t="s">
        <v>2105</v>
      </c>
      <c r="P574" s="140" t="s">
        <v>2105</v>
      </c>
      <c r="Q574" s="140" t="s">
        <v>2387</v>
      </c>
      <c r="R574" s="155" t="s">
        <v>2713</v>
      </c>
      <c r="S574" s="149">
        <f t="shared" si="26"/>
        <v>8.9999999999999998E-4</v>
      </c>
      <c r="T574" s="149">
        <v>0</v>
      </c>
      <c r="U574" s="157">
        <v>8.9999999999999998E-4</v>
      </c>
      <c r="V574" s="157">
        <v>1.6970000000000001</v>
      </c>
      <c r="W574" s="157">
        <v>6.2039999999999997</v>
      </c>
      <c r="X574" s="149">
        <f t="shared" si="25"/>
        <v>10.528188</v>
      </c>
      <c r="Y574" s="149"/>
    </row>
    <row r="575" spans="1:25" ht="16">
      <c r="A575" s="149" t="s">
        <v>12</v>
      </c>
      <c r="B575" s="150" t="s">
        <v>818</v>
      </c>
      <c r="C575" s="149" t="s">
        <v>1744</v>
      </c>
      <c r="D575" s="149" t="s">
        <v>3555</v>
      </c>
      <c r="E575" s="149" t="s">
        <v>593</v>
      </c>
      <c r="F575" s="149">
        <v>-26.365555560000001</v>
      </c>
      <c r="G575" s="149">
        <v>135.79</v>
      </c>
      <c r="H575" s="149">
        <v>201</v>
      </c>
      <c r="I575" s="151">
        <v>42816</v>
      </c>
      <c r="J575" s="149" t="s">
        <v>36</v>
      </c>
      <c r="K575" s="149" t="s">
        <v>419</v>
      </c>
      <c r="L575" s="155" t="s">
        <v>2566</v>
      </c>
      <c r="M575" s="155" t="s">
        <v>2567</v>
      </c>
      <c r="N575" s="155" t="s">
        <v>2668</v>
      </c>
      <c r="O575" s="155" t="s">
        <v>2105</v>
      </c>
      <c r="P575" s="140" t="s">
        <v>2105</v>
      </c>
      <c r="Q575" s="140" t="s">
        <v>2387</v>
      </c>
      <c r="R575" s="155" t="s">
        <v>2713</v>
      </c>
      <c r="S575" s="149">
        <f t="shared" si="26"/>
        <v>8.0000000000000004E-4</v>
      </c>
      <c r="T575" s="149">
        <v>0</v>
      </c>
      <c r="U575" s="157">
        <v>8.0000000000000004E-4</v>
      </c>
      <c r="V575" s="157">
        <v>1.6739999999999999</v>
      </c>
      <c r="W575" s="157">
        <v>6.4889999999999999</v>
      </c>
      <c r="X575" s="149">
        <f t="shared" si="25"/>
        <v>10.862585999999999</v>
      </c>
      <c r="Y575" s="149"/>
    </row>
    <row r="576" spans="1:25" ht="16">
      <c r="A576" s="149" t="s">
        <v>12</v>
      </c>
      <c r="B576" s="150" t="s">
        <v>424</v>
      </c>
      <c r="C576" s="149" t="s">
        <v>1744</v>
      </c>
      <c r="D576" s="149" t="s">
        <v>3555</v>
      </c>
      <c r="E576" s="149" t="s">
        <v>426</v>
      </c>
      <c r="F576" s="149">
        <v>-26.458888890000001</v>
      </c>
      <c r="G576" s="149">
        <v>135.41277778</v>
      </c>
      <c r="H576" s="149">
        <v>202</v>
      </c>
      <c r="I576" s="151">
        <v>42815</v>
      </c>
      <c r="J576" s="149" t="s">
        <v>36</v>
      </c>
      <c r="K576" s="149" t="s">
        <v>419</v>
      </c>
      <c r="L576" s="149" t="s">
        <v>2569</v>
      </c>
      <c r="M576" s="149" t="s">
        <v>2570</v>
      </c>
      <c r="N576" s="149" t="s">
        <v>2571</v>
      </c>
      <c r="O576" s="140" t="s">
        <v>2369</v>
      </c>
      <c r="P576" s="140" t="s">
        <v>3556</v>
      </c>
      <c r="Q576" s="140" t="s">
        <v>2669</v>
      </c>
      <c r="R576" s="149" t="s">
        <v>2713</v>
      </c>
      <c r="S576" s="149">
        <f t="shared" si="26"/>
        <v>4.58E-2</v>
      </c>
      <c r="T576" s="140">
        <v>3.8671999999999998E-2</v>
      </c>
      <c r="U576" s="157">
        <v>7.1280000000000024E-3</v>
      </c>
      <c r="V576" s="157">
        <v>2.7730000000000001</v>
      </c>
      <c r="W576" s="157">
        <v>11.031000000000001</v>
      </c>
      <c r="X576" s="149">
        <f t="shared" ref="X576:X639" si="27">V576*W576</f>
        <v>30.588963000000003</v>
      </c>
      <c r="Y576" s="149"/>
    </row>
    <row r="577" spans="1:25" ht="16">
      <c r="A577" s="149" t="s">
        <v>12</v>
      </c>
      <c r="B577" s="150" t="s">
        <v>470</v>
      </c>
      <c r="C577" s="149" t="s">
        <v>1744</v>
      </c>
      <c r="D577" s="149" t="s">
        <v>3555</v>
      </c>
      <c r="E577" s="149" t="s">
        <v>463</v>
      </c>
      <c r="F577" s="149">
        <v>-25.754722220000001</v>
      </c>
      <c r="G577" s="149">
        <v>135.26305556</v>
      </c>
      <c r="H577" s="149">
        <v>202</v>
      </c>
      <c r="I577" s="151">
        <v>42815</v>
      </c>
      <c r="J577" s="149" t="s">
        <v>36</v>
      </c>
      <c r="K577" s="149" t="s">
        <v>419</v>
      </c>
      <c r="L577" s="140" t="s">
        <v>2566</v>
      </c>
      <c r="M577" s="140" t="s">
        <v>2574</v>
      </c>
      <c r="N577" s="140" t="s">
        <v>3191</v>
      </c>
      <c r="O577" s="149" t="s">
        <v>2111</v>
      </c>
      <c r="P577" s="149" t="s">
        <v>2739</v>
      </c>
      <c r="Q577" s="140" t="s">
        <v>2693</v>
      </c>
      <c r="R577" s="140" t="s">
        <v>2713</v>
      </c>
      <c r="S577" s="149">
        <f t="shared" si="26"/>
        <v>5.9400000000000001E-2</v>
      </c>
      <c r="T577" s="140">
        <v>3.8671999999999998E-2</v>
      </c>
      <c r="U577" s="157">
        <v>2.0728000000000003E-2</v>
      </c>
      <c r="V577" s="157">
        <v>3.5960000000000001</v>
      </c>
      <c r="W577" s="157">
        <v>14.012</v>
      </c>
      <c r="X577" s="149">
        <f t="shared" si="27"/>
        <v>50.387152</v>
      </c>
      <c r="Y577" s="149"/>
    </row>
    <row r="578" spans="1:25" ht="16">
      <c r="A578" s="149" t="s">
        <v>12</v>
      </c>
      <c r="B578" s="150" t="s">
        <v>819</v>
      </c>
      <c r="C578" s="149" t="s">
        <v>1744</v>
      </c>
      <c r="D578" s="149" t="s">
        <v>3555</v>
      </c>
      <c r="E578" s="149" t="s">
        <v>593</v>
      </c>
      <c r="F578" s="149">
        <v>-26.365555560000001</v>
      </c>
      <c r="G578" s="149">
        <v>135.79</v>
      </c>
      <c r="H578" s="149">
        <v>201</v>
      </c>
      <c r="I578" s="151">
        <v>42816</v>
      </c>
      <c r="J578" s="149" t="s">
        <v>36</v>
      </c>
      <c r="K578" s="149" t="s">
        <v>419</v>
      </c>
      <c r="L578" s="155" t="s">
        <v>2566</v>
      </c>
      <c r="M578" s="155" t="s">
        <v>2567</v>
      </c>
      <c r="N578" s="155" t="s">
        <v>2668</v>
      </c>
      <c r="O578" s="155" t="s">
        <v>2105</v>
      </c>
      <c r="P578" s="140" t="s">
        <v>2105</v>
      </c>
      <c r="Q578" s="140" t="s">
        <v>2387</v>
      </c>
      <c r="R578" s="155" t="s">
        <v>2713</v>
      </c>
      <c r="S578" s="149">
        <f t="shared" si="26"/>
        <v>8.0000000000000004E-4</v>
      </c>
      <c r="T578" s="149">
        <v>0</v>
      </c>
      <c r="U578" s="157">
        <v>8.0000000000000004E-4</v>
      </c>
      <c r="V578" s="157">
        <v>1.544</v>
      </c>
      <c r="W578" s="157">
        <v>5.8090000000000002</v>
      </c>
      <c r="X578" s="149">
        <f t="shared" si="27"/>
        <v>8.9690960000000004</v>
      </c>
      <c r="Y578" s="149"/>
    </row>
    <row r="579" spans="1:25" ht="16">
      <c r="A579" s="149" t="s">
        <v>12</v>
      </c>
      <c r="B579" s="150" t="s">
        <v>820</v>
      </c>
      <c r="C579" s="149" t="s">
        <v>1744</v>
      </c>
      <c r="D579" s="149" t="s">
        <v>3555</v>
      </c>
      <c r="E579" s="149" t="s">
        <v>593</v>
      </c>
      <c r="F579" s="149">
        <v>-26.365555560000001</v>
      </c>
      <c r="G579" s="149">
        <v>135.79</v>
      </c>
      <c r="H579" s="149">
        <v>201</v>
      </c>
      <c r="I579" s="151">
        <v>42816</v>
      </c>
      <c r="J579" s="149" t="s">
        <v>36</v>
      </c>
      <c r="K579" s="149" t="s">
        <v>419</v>
      </c>
      <c r="L579" s="155" t="s">
        <v>2566</v>
      </c>
      <c r="M579" s="155" t="s">
        <v>2567</v>
      </c>
      <c r="N579" s="155" t="s">
        <v>2668</v>
      </c>
      <c r="O579" s="140" t="s">
        <v>2600</v>
      </c>
      <c r="P579" s="149" t="s">
        <v>2735</v>
      </c>
      <c r="Q579" s="140" t="s">
        <v>2709</v>
      </c>
      <c r="R579" s="155" t="s">
        <v>2712</v>
      </c>
      <c r="S579" s="149">
        <f t="shared" si="26"/>
        <v>8.0000000000000004E-4</v>
      </c>
      <c r="T579" s="149">
        <v>0</v>
      </c>
      <c r="U579" s="157">
        <v>8.0000000000000004E-4</v>
      </c>
      <c r="V579" s="157">
        <v>1.542</v>
      </c>
      <c r="W579" s="157">
        <v>5.9939999999999998</v>
      </c>
      <c r="X579" s="149">
        <f t="shared" si="27"/>
        <v>9.2427480000000006</v>
      </c>
      <c r="Y579" s="149"/>
    </row>
    <row r="580" spans="1:25" ht="16">
      <c r="A580" s="149" t="s">
        <v>12</v>
      </c>
      <c r="B580" s="150" t="s">
        <v>822</v>
      </c>
      <c r="C580" s="149" t="s">
        <v>1744</v>
      </c>
      <c r="D580" s="149" t="s">
        <v>3555</v>
      </c>
      <c r="E580" s="149" t="s">
        <v>593</v>
      </c>
      <c r="F580" s="149">
        <v>-26.365555560000001</v>
      </c>
      <c r="G580" s="149">
        <v>135.79</v>
      </c>
      <c r="H580" s="149">
        <v>201</v>
      </c>
      <c r="I580" s="151">
        <v>42816</v>
      </c>
      <c r="J580" s="149" t="s">
        <v>36</v>
      </c>
      <c r="K580" s="149" t="s">
        <v>419</v>
      </c>
      <c r="L580" s="140" t="s">
        <v>2566</v>
      </c>
      <c r="M580" s="140" t="s">
        <v>2567</v>
      </c>
      <c r="N580" s="140" t="s">
        <v>2668</v>
      </c>
      <c r="O580" s="140" t="s">
        <v>2105</v>
      </c>
      <c r="P580" s="140" t="s">
        <v>2105</v>
      </c>
      <c r="Q580" s="140" t="s">
        <v>2387</v>
      </c>
      <c r="R580" s="140" t="s">
        <v>2713</v>
      </c>
      <c r="S580" s="149">
        <f t="shared" si="26"/>
        <v>6.9999999999999999E-4</v>
      </c>
      <c r="T580" s="149">
        <v>0</v>
      </c>
      <c r="U580" s="157">
        <v>6.9999999999999999E-4</v>
      </c>
      <c r="V580" s="157">
        <v>1.6619999999999999</v>
      </c>
      <c r="W580" s="157">
        <v>6.0339999999999998</v>
      </c>
      <c r="X580" s="149">
        <f t="shared" si="27"/>
        <v>10.028507999999999</v>
      </c>
      <c r="Y580" s="149"/>
    </row>
    <row r="581" spans="1:25" ht="16">
      <c r="A581" s="149" t="s">
        <v>12</v>
      </c>
      <c r="B581" s="150" t="s">
        <v>823</v>
      </c>
      <c r="C581" s="149" t="s">
        <v>1744</v>
      </c>
      <c r="D581" s="149" t="s">
        <v>3555</v>
      </c>
      <c r="E581" s="149" t="s">
        <v>593</v>
      </c>
      <c r="F581" s="149">
        <v>-26.365555560000001</v>
      </c>
      <c r="G581" s="149">
        <v>135.79</v>
      </c>
      <c r="H581" s="149">
        <v>201</v>
      </c>
      <c r="I581" s="151">
        <v>42816</v>
      </c>
      <c r="J581" s="149" t="s">
        <v>36</v>
      </c>
      <c r="K581" s="149" t="s">
        <v>419</v>
      </c>
      <c r="L581" s="155" t="s">
        <v>2566</v>
      </c>
      <c r="M581" s="155" t="s">
        <v>2567</v>
      </c>
      <c r="N581" s="155" t="s">
        <v>2668</v>
      </c>
      <c r="O581" s="155" t="s">
        <v>2105</v>
      </c>
      <c r="P581" s="140" t="s">
        <v>2105</v>
      </c>
      <c r="Q581" s="140" t="s">
        <v>2387</v>
      </c>
      <c r="R581" s="155" t="s">
        <v>2713</v>
      </c>
      <c r="S581" s="149">
        <f t="shared" si="26"/>
        <v>1E-3</v>
      </c>
      <c r="T581" s="149">
        <v>0</v>
      </c>
      <c r="U581" s="157">
        <v>1E-3</v>
      </c>
      <c r="V581" s="157">
        <v>1.56</v>
      </c>
      <c r="W581" s="157">
        <v>5.7569999999999997</v>
      </c>
      <c r="X581" s="149">
        <f t="shared" si="27"/>
        <v>8.9809199999999993</v>
      </c>
      <c r="Y581" s="149"/>
    </row>
    <row r="582" spans="1:25" ht="16">
      <c r="A582" s="149" t="s">
        <v>12</v>
      </c>
      <c r="B582" s="150" t="s">
        <v>824</v>
      </c>
      <c r="C582" s="149" t="s">
        <v>1744</v>
      </c>
      <c r="D582" s="149" t="s">
        <v>3555</v>
      </c>
      <c r="E582" s="149" t="s">
        <v>593</v>
      </c>
      <c r="F582" s="149">
        <v>-26.365555560000001</v>
      </c>
      <c r="G582" s="149">
        <v>135.79</v>
      </c>
      <c r="H582" s="149">
        <v>201</v>
      </c>
      <c r="I582" s="151">
        <v>42816</v>
      </c>
      <c r="J582" s="149" t="s">
        <v>36</v>
      </c>
      <c r="K582" s="149" t="s">
        <v>419</v>
      </c>
      <c r="L582" s="155" t="s">
        <v>2566</v>
      </c>
      <c r="M582" s="155" t="s">
        <v>2567</v>
      </c>
      <c r="N582" s="155" t="s">
        <v>2668</v>
      </c>
      <c r="O582" s="155" t="s">
        <v>2105</v>
      </c>
      <c r="P582" s="140" t="s">
        <v>2105</v>
      </c>
      <c r="Q582" s="140" t="s">
        <v>2387</v>
      </c>
      <c r="R582" s="155" t="s">
        <v>2713</v>
      </c>
      <c r="S582" s="149">
        <f t="shared" si="26"/>
        <v>6.9999999999999999E-4</v>
      </c>
      <c r="T582" s="149">
        <v>0</v>
      </c>
      <c r="U582" s="157">
        <v>6.9999999999999999E-4</v>
      </c>
      <c r="V582" s="157">
        <v>1.3879999999999999</v>
      </c>
      <c r="W582" s="157">
        <v>5.78</v>
      </c>
      <c r="X582" s="149">
        <f t="shared" si="27"/>
        <v>8.0226399999999991</v>
      </c>
      <c r="Y582" s="149"/>
    </row>
    <row r="583" spans="1:25" ht="16">
      <c r="A583" s="149" t="s">
        <v>12</v>
      </c>
      <c r="B583" s="150" t="s">
        <v>826</v>
      </c>
      <c r="C583" s="149" t="s">
        <v>1744</v>
      </c>
      <c r="D583" s="149" t="s">
        <v>3555</v>
      </c>
      <c r="E583" s="149" t="s">
        <v>593</v>
      </c>
      <c r="F583" s="149">
        <v>-26.365555560000001</v>
      </c>
      <c r="G583" s="149">
        <v>135.79</v>
      </c>
      <c r="H583" s="149">
        <v>201</v>
      </c>
      <c r="I583" s="151">
        <v>42816</v>
      </c>
      <c r="J583" s="149" t="s">
        <v>36</v>
      </c>
      <c r="K583" s="149" t="s">
        <v>419</v>
      </c>
      <c r="L583" s="155" t="s">
        <v>2566</v>
      </c>
      <c r="M583" s="155" t="s">
        <v>2567</v>
      </c>
      <c r="N583" s="155" t="s">
        <v>2668</v>
      </c>
      <c r="O583" s="155" t="s">
        <v>2105</v>
      </c>
      <c r="P583" s="140" t="s">
        <v>2105</v>
      </c>
      <c r="Q583" s="140" t="s">
        <v>2387</v>
      </c>
      <c r="R583" s="155" t="s">
        <v>2713</v>
      </c>
      <c r="S583" s="149">
        <f t="shared" si="26"/>
        <v>5.0000000000000001E-4</v>
      </c>
      <c r="T583" s="149">
        <v>0</v>
      </c>
      <c r="U583" s="157">
        <v>5.0000000000000001E-4</v>
      </c>
      <c r="V583" s="157">
        <v>1.5189999999999999</v>
      </c>
      <c r="W583" s="157">
        <v>6.3250000000000002</v>
      </c>
      <c r="X583" s="149">
        <f t="shared" si="27"/>
        <v>9.6076750000000004</v>
      </c>
      <c r="Y583" s="149"/>
    </row>
    <row r="584" spans="1:25" ht="16">
      <c r="A584" s="149" t="s">
        <v>12</v>
      </c>
      <c r="B584" s="150" t="s">
        <v>827</v>
      </c>
      <c r="C584" s="149" t="s">
        <v>1744</v>
      </c>
      <c r="D584" s="149" t="s">
        <v>3555</v>
      </c>
      <c r="E584" s="149" t="s">
        <v>593</v>
      </c>
      <c r="F584" s="149">
        <v>-26.365555560000001</v>
      </c>
      <c r="G584" s="149">
        <v>135.79</v>
      </c>
      <c r="H584" s="149">
        <v>201</v>
      </c>
      <c r="I584" s="151">
        <v>42816</v>
      </c>
      <c r="J584" s="149" t="s">
        <v>36</v>
      </c>
      <c r="K584" s="149" t="s">
        <v>419</v>
      </c>
      <c r="L584" s="140" t="s">
        <v>2572</v>
      </c>
      <c r="M584" s="140" t="s">
        <v>2407</v>
      </c>
      <c r="N584" s="140" t="s">
        <v>36</v>
      </c>
      <c r="O584" s="140" t="s">
        <v>2215</v>
      </c>
      <c r="P584" s="140" t="s">
        <v>2215</v>
      </c>
      <c r="Q584" s="140" t="s">
        <v>2702</v>
      </c>
      <c r="R584" s="140" t="s">
        <v>2713</v>
      </c>
      <c r="S584" s="149">
        <f t="shared" si="26"/>
        <v>2.9999999999999997E-4</v>
      </c>
      <c r="T584" s="149">
        <v>0</v>
      </c>
      <c r="U584" s="157">
        <v>2.9999999999999997E-4</v>
      </c>
      <c r="V584" s="157">
        <v>1.3540000000000001</v>
      </c>
      <c r="W584" s="157">
        <v>6.2910000000000004</v>
      </c>
      <c r="X584" s="149">
        <f t="shared" si="27"/>
        <v>8.5180140000000009</v>
      </c>
      <c r="Y584" s="149"/>
    </row>
    <row r="585" spans="1:25" ht="16">
      <c r="A585" s="149" t="s">
        <v>12</v>
      </c>
      <c r="B585" s="150" t="s">
        <v>828</v>
      </c>
      <c r="C585" s="149" t="s">
        <v>1744</v>
      </c>
      <c r="D585" s="149" t="s">
        <v>3555</v>
      </c>
      <c r="E585" s="149" t="s">
        <v>830</v>
      </c>
      <c r="F585" s="149">
        <v>-25.6175</v>
      </c>
      <c r="G585" s="149">
        <v>134.92277777999999</v>
      </c>
      <c r="H585" s="149">
        <v>205</v>
      </c>
      <c r="I585" s="151">
        <v>42812</v>
      </c>
      <c r="J585" s="149" t="s">
        <v>36</v>
      </c>
      <c r="K585" s="149" t="s">
        <v>419</v>
      </c>
      <c r="L585" s="140" t="s">
        <v>2572</v>
      </c>
      <c r="M585" s="140" t="s">
        <v>2407</v>
      </c>
      <c r="N585" s="140" t="s">
        <v>36</v>
      </c>
      <c r="O585" s="140" t="s">
        <v>2215</v>
      </c>
      <c r="P585" s="140" t="s">
        <v>2215</v>
      </c>
      <c r="Q585" s="140" t="s">
        <v>2702</v>
      </c>
      <c r="R585" s="140" t="s">
        <v>2713</v>
      </c>
      <c r="S585" s="149">
        <f t="shared" si="26"/>
        <v>2.0000000000000001E-4</v>
      </c>
      <c r="T585" s="149">
        <v>0</v>
      </c>
      <c r="U585" s="157">
        <v>2.0000000000000001E-4</v>
      </c>
      <c r="V585" s="157">
        <v>1.3320000000000001</v>
      </c>
      <c r="W585" s="157">
        <v>7.6440000000000001</v>
      </c>
      <c r="X585" s="149">
        <f t="shared" si="27"/>
        <v>10.181808</v>
      </c>
      <c r="Y585" s="149"/>
    </row>
    <row r="586" spans="1:25" ht="16">
      <c r="A586" s="149" t="s">
        <v>12</v>
      </c>
      <c r="B586" s="150" t="s">
        <v>471</v>
      </c>
      <c r="C586" s="149" t="s">
        <v>1744</v>
      </c>
      <c r="D586" s="149" t="s">
        <v>3555</v>
      </c>
      <c r="E586" s="149" t="s">
        <v>463</v>
      </c>
      <c r="F586" s="149">
        <v>-25.754722220000001</v>
      </c>
      <c r="G586" s="149">
        <v>135.26305556</v>
      </c>
      <c r="H586" s="149">
        <v>202</v>
      </c>
      <c r="I586" s="151">
        <v>42815</v>
      </c>
      <c r="J586" s="149" t="s">
        <v>36</v>
      </c>
      <c r="K586" s="149" t="s">
        <v>419</v>
      </c>
      <c r="L586" s="149" t="s">
        <v>2569</v>
      </c>
      <c r="M586" s="149" t="s">
        <v>2570</v>
      </c>
      <c r="N586" s="149" t="s">
        <v>2571</v>
      </c>
      <c r="O586" s="149" t="s">
        <v>2369</v>
      </c>
      <c r="P586" s="149" t="s">
        <v>3556</v>
      </c>
      <c r="Q586" s="149" t="s">
        <v>2398</v>
      </c>
      <c r="R586" s="149" t="s">
        <v>2713</v>
      </c>
      <c r="S586" s="149">
        <f t="shared" si="26"/>
        <v>8.4099999999999994E-2</v>
      </c>
      <c r="T586" s="140">
        <v>3.8671999999999998E-2</v>
      </c>
      <c r="U586" s="157">
        <v>4.5427999999999996E-2</v>
      </c>
      <c r="V586" s="157">
        <v>6.51</v>
      </c>
      <c r="W586" s="157">
        <v>22.013000000000002</v>
      </c>
      <c r="X586" s="149">
        <f t="shared" si="27"/>
        <v>143.30463</v>
      </c>
      <c r="Y586" s="149"/>
    </row>
    <row r="587" spans="1:25" ht="16">
      <c r="A587" s="149" t="s">
        <v>12</v>
      </c>
      <c r="B587" s="150" t="s">
        <v>832</v>
      </c>
      <c r="C587" s="149" t="s">
        <v>1744</v>
      </c>
      <c r="D587" s="149" t="s">
        <v>3555</v>
      </c>
      <c r="E587" s="149" t="s">
        <v>830</v>
      </c>
      <c r="F587" s="149">
        <v>-25.6175</v>
      </c>
      <c r="G587" s="149">
        <v>134.92277777999999</v>
      </c>
      <c r="H587" s="149">
        <v>205</v>
      </c>
      <c r="I587" s="151">
        <v>42812</v>
      </c>
      <c r="J587" s="149" t="s">
        <v>36</v>
      </c>
      <c r="K587" s="149" t="s">
        <v>419</v>
      </c>
      <c r="L587" s="140" t="s">
        <v>2572</v>
      </c>
      <c r="M587" s="140" t="s">
        <v>2407</v>
      </c>
      <c r="N587" s="140" t="s">
        <v>36</v>
      </c>
      <c r="O587" s="140" t="s">
        <v>2215</v>
      </c>
      <c r="P587" s="140" t="s">
        <v>2215</v>
      </c>
      <c r="Q587" s="140" t="s">
        <v>2702</v>
      </c>
      <c r="R587" s="140" t="s">
        <v>2713</v>
      </c>
      <c r="S587" s="149">
        <f t="shared" si="26"/>
        <v>1.1999999999999999E-3</v>
      </c>
      <c r="T587" s="149">
        <v>0</v>
      </c>
      <c r="U587" s="157">
        <v>1.1999999999999999E-3</v>
      </c>
      <c r="V587" s="157">
        <v>1.552</v>
      </c>
      <c r="W587" s="157">
        <v>8.7119999999999997</v>
      </c>
      <c r="X587" s="149">
        <f t="shared" si="27"/>
        <v>13.521024000000001</v>
      </c>
      <c r="Y587" s="149"/>
    </row>
    <row r="588" spans="1:25" ht="16">
      <c r="A588" s="149" t="s">
        <v>12</v>
      </c>
      <c r="B588" s="150" t="s">
        <v>834</v>
      </c>
      <c r="C588" s="149" t="s">
        <v>1744</v>
      </c>
      <c r="D588" s="149" t="s">
        <v>3555</v>
      </c>
      <c r="E588" s="149" t="s">
        <v>830</v>
      </c>
      <c r="F588" s="149">
        <v>-25.6175</v>
      </c>
      <c r="G588" s="149">
        <v>134.92277777999999</v>
      </c>
      <c r="H588" s="149">
        <v>205</v>
      </c>
      <c r="I588" s="151">
        <v>42812</v>
      </c>
      <c r="J588" s="149" t="s">
        <v>36</v>
      </c>
      <c r="K588" s="149" t="s">
        <v>419</v>
      </c>
      <c r="L588" s="140" t="s">
        <v>2572</v>
      </c>
      <c r="M588" s="140" t="s">
        <v>2407</v>
      </c>
      <c r="N588" s="140" t="s">
        <v>36</v>
      </c>
      <c r="O588" s="140" t="s">
        <v>2215</v>
      </c>
      <c r="P588" s="140" t="s">
        <v>2215</v>
      </c>
      <c r="Q588" s="140" t="s">
        <v>2702</v>
      </c>
      <c r="R588" s="140" t="s">
        <v>2713</v>
      </c>
      <c r="S588" s="149">
        <f t="shared" si="26"/>
        <v>8.0000000000000004E-4</v>
      </c>
      <c r="T588" s="149">
        <v>0</v>
      </c>
      <c r="U588" s="157">
        <v>8.0000000000000004E-4</v>
      </c>
      <c r="V588" s="157">
        <v>1.325</v>
      </c>
      <c r="W588" s="157">
        <v>6.68</v>
      </c>
      <c r="X588" s="149">
        <f t="shared" si="27"/>
        <v>8.8509999999999991</v>
      </c>
      <c r="Y588" s="149"/>
    </row>
    <row r="589" spans="1:25" ht="16">
      <c r="A589" s="149" t="s">
        <v>12</v>
      </c>
      <c r="B589" s="150" t="s">
        <v>835</v>
      </c>
      <c r="C589" s="149" t="s">
        <v>1744</v>
      </c>
      <c r="D589" s="149" t="s">
        <v>3555</v>
      </c>
      <c r="E589" s="149" t="s">
        <v>830</v>
      </c>
      <c r="F589" s="149">
        <v>-25.6175</v>
      </c>
      <c r="G589" s="149">
        <v>134.92277777999999</v>
      </c>
      <c r="H589" s="149">
        <v>205</v>
      </c>
      <c r="I589" s="151">
        <v>42812</v>
      </c>
      <c r="J589" s="149" t="s">
        <v>36</v>
      </c>
      <c r="K589" s="149" t="s">
        <v>419</v>
      </c>
      <c r="L589" s="140" t="s">
        <v>2572</v>
      </c>
      <c r="M589" s="140" t="s">
        <v>2407</v>
      </c>
      <c r="N589" s="140" t="s">
        <v>36</v>
      </c>
      <c r="O589" s="140" t="s">
        <v>2215</v>
      </c>
      <c r="P589" s="140" t="s">
        <v>2215</v>
      </c>
      <c r="Q589" s="140" t="s">
        <v>2702</v>
      </c>
      <c r="R589" s="140" t="s">
        <v>2713</v>
      </c>
      <c r="S589" s="149">
        <f t="shared" si="26"/>
        <v>8.9999999999999998E-4</v>
      </c>
      <c r="T589" s="149">
        <v>0</v>
      </c>
      <c r="U589" s="157">
        <v>8.9999999999999998E-4</v>
      </c>
      <c r="V589" s="157">
        <v>1.3740000000000001</v>
      </c>
      <c r="W589" s="157">
        <v>7.0609999999999999</v>
      </c>
      <c r="X589" s="149">
        <f t="shared" si="27"/>
        <v>9.7018140000000006</v>
      </c>
      <c r="Y589" s="149"/>
    </row>
    <row r="590" spans="1:25" ht="16">
      <c r="A590" s="149" t="s">
        <v>12</v>
      </c>
      <c r="B590" s="150" t="s">
        <v>836</v>
      </c>
      <c r="C590" s="149" t="s">
        <v>1744</v>
      </c>
      <c r="D590" s="149" t="s">
        <v>3555</v>
      </c>
      <c r="E590" s="149" t="s">
        <v>830</v>
      </c>
      <c r="F590" s="149">
        <v>-25.6175</v>
      </c>
      <c r="G590" s="149">
        <v>134.92277777999999</v>
      </c>
      <c r="H590" s="149">
        <v>205</v>
      </c>
      <c r="I590" s="151">
        <v>42812</v>
      </c>
      <c r="J590" s="149" t="s">
        <v>36</v>
      </c>
      <c r="K590" s="149" t="s">
        <v>419</v>
      </c>
      <c r="L590" s="140" t="s">
        <v>2572</v>
      </c>
      <c r="M590" s="140" t="s">
        <v>2407</v>
      </c>
      <c r="N590" s="140" t="s">
        <v>36</v>
      </c>
      <c r="O590" s="140" t="s">
        <v>2215</v>
      </c>
      <c r="P590" s="140" t="s">
        <v>2215</v>
      </c>
      <c r="Q590" s="140" t="s">
        <v>2702</v>
      </c>
      <c r="R590" s="140" t="s">
        <v>2713</v>
      </c>
      <c r="S590" s="149">
        <f t="shared" si="26"/>
        <v>5.0000000000000001E-4</v>
      </c>
      <c r="T590" s="149">
        <v>0</v>
      </c>
      <c r="U590" s="157">
        <v>5.0000000000000001E-4</v>
      </c>
      <c r="V590" s="157">
        <v>1.246</v>
      </c>
      <c r="W590" s="157">
        <v>5.3259999999999996</v>
      </c>
      <c r="X590" s="149">
        <f t="shared" si="27"/>
        <v>6.6361959999999991</v>
      </c>
      <c r="Y590" s="149"/>
    </row>
    <row r="591" spans="1:25" ht="16">
      <c r="A591" s="149" t="s">
        <v>12</v>
      </c>
      <c r="B591" s="150" t="s">
        <v>837</v>
      </c>
      <c r="C591" s="149" t="s">
        <v>1744</v>
      </c>
      <c r="D591" s="149" t="s">
        <v>3555</v>
      </c>
      <c r="E591" s="149" t="s">
        <v>830</v>
      </c>
      <c r="F591" s="149">
        <v>-25.6175</v>
      </c>
      <c r="G591" s="149">
        <v>134.92277777999999</v>
      </c>
      <c r="H591" s="149">
        <v>205</v>
      </c>
      <c r="I591" s="151">
        <v>42812</v>
      </c>
      <c r="J591" s="149" t="s">
        <v>36</v>
      </c>
      <c r="K591" s="149" t="s">
        <v>419</v>
      </c>
      <c r="L591" s="140" t="s">
        <v>2572</v>
      </c>
      <c r="M591" s="140" t="s">
        <v>2407</v>
      </c>
      <c r="N591" s="140" t="s">
        <v>36</v>
      </c>
      <c r="O591" s="140" t="s">
        <v>2215</v>
      </c>
      <c r="P591" s="140" t="s">
        <v>2215</v>
      </c>
      <c r="Q591" s="140" t="s">
        <v>2702</v>
      </c>
      <c r="R591" s="140" t="s">
        <v>2713</v>
      </c>
      <c r="S591" s="149">
        <f t="shared" si="26"/>
        <v>5.0000000000000001E-4</v>
      </c>
      <c r="T591" s="149">
        <v>0</v>
      </c>
      <c r="U591" s="157">
        <v>5.0000000000000001E-4</v>
      </c>
      <c r="V591" s="157">
        <v>1.325</v>
      </c>
      <c r="W591" s="157">
        <v>6.7549999999999999</v>
      </c>
      <c r="X591" s="149">
        <f t="shared" si="27"/>
        <v>8.9503749999999993</v>
      </c>
      <c r="Y591" s="149"/>
    </row>
    <row r="592" spans="1:25" ht="16">
      <c r="A592" s="149" t="s">
        <v>12</v>
      </c>
      <c r="B592" s="150" t="s">
        <v>838</v>
      </c>
      <c r="C592" s="149" t="s">
        <v>1744</v>
      </c>
      <c r="D592" s="149" t="s">
        <v>3555</v>
      </c>
      <c r="E592" s="149" t="s">
        <v>830</v>
      </c>
      <c r="F592" s="149">
        <v>-25.6175</v>
      </c>
      <c r="G592" s="149">
        <v>134.92277777999999</v>
      </c>
      <c r="H592" s="149">
        <v>205</v>
      </c>
      <c r="I592" s="151">
        <v>42812</v>
      </c>
      <c r="J592" s="149" t="s">
        <v>36</v>
      </c>
      <c r="K592" s="149" t="s">
        <v>419</v>
      </c>
      <c r="L592" s="140" t="s">
        <v>2572</v>
      </c>
      <c r="M592" s="140" t="s">
        <v>2407</v>
      </c>
      <c r="N592" s="140" t="s">
        <v>36</v>
      </c>
      <c r="O592" s="140" t="s">
        <v>2215</v>
      </c>
      <c r="P592" s="140" t="s">
        <v>2215</v>
      </c>
      <c r="Q592" s="140" t="s">
        <v>2702</v>
      </c>
      <c r="R592" s="140" t="s">
        <v>2713</v>
      </c>
      <c r="S592" s="149">
        <f t="shared" si="26"/>
        <v>8.9999999999999998E-4</v>
      </c>
      <c r="T592" s="149">
        <v>0</v>
      </c>
      <c r="U592" s="157">
        <v>8.9999999999999998E-4</v>
      </c>
      <c r="V592" s="157">
        <v>1.4259999999999999</v>
      </c>
      <c r="W592" s="157">
        <v>6.6440000000000001</v>
      </c>
      <c r="X592" s="149">
        <f t="shared" si="27"/>
        <v>9.4743440000000003</v>
      </c>
      <c r="Y592" s="149"/>
    </row>
    <row r="593" spans="1:25" ht="16">
      <c r="A593" s="149" t="s">
        <v>12</v>
      </c>
      <c r="B593" s="150" t="s">
        <v>839</v>
      </c>
      <c r="C593" s="149" t="s">
        <v>1744</v>
      </c>
      <c r="D593" s="149" t="s">
        <v>3555</v>
      </c>
      <c r="E593" s="149" t="s">
        <v>830</v>
      </c>
      <c r="F593" s="149">
        <v>-25.6175</v>
      </c>
      <c r="G593" s="149">
        <v>134.92277777999999</v>
      </c>
      <c r="H593" s="149">
        <v>205</v>
      </c>
      <c r="I593" s="151">
        <v>42812</v>
      </c>
      <c r="J593" s="149" t="s">
        <v>36</v>
      </c>
      <c r="K593" s="149" t="s">
        <v>419</v>
      </c>
      <c r="L593" s="140" t="s">
        <v>2572</v>
      </c>
      <c r="M593" s="140" t="s">
        <v>2407</v>
      </c>
      <c r="N593" s="140" t="s">
        <v>36</v>
      </c>
      <c r="O593" s="140" t="s">
        <v>2215</v>
      </c>
      <c r="P593" s="140" t="s">
        <v>2215</v>
      </c>
      <c r="Q593" s="140" t="s">
        <v>2702</v>
      </c>
      <c r="R593" s="140" t="s">
        <v>2713</v>
      </c>
      <c r="S593" s="149">
        <f t="shared" si="26"/>
        <v>5.9999999999999995E-4</v>
      </c>
      <c r="T593" s="149">
        <v>0</v>
      </c>
      <c r="U593" s="157">
        <v>5.9999999999999995E-4</v>
      </c>
      <c r="V593" s="157">
        <v>1.2649999999999999</v>
      </c>
      <c r="W593" s="157">
        <v>6.6749999999999998</v>
      </c>
      <c r="X593" s="149">
        <f t="shared" si="27"/>
        <v>8.4438749999999985</v>
      </c>
      <c r="Y593" s="149"/>
    </row>
    <row r="594" spans="1:25" ht="16">
      <c r="A594" s="149" t="s">
        <v>12</v>
      </c>
      <c r="B594" s="150" t="s">
        <v>840</v>
      </c>
      <c r="C594" s="149" t="s">
        <v>1744</v>
      </c>
      <c r="D594" s="149" t="s">
        <v>3555</v>
      </c>
      <c r="E594" s="149" t="s">
        <v>830</v>
      </c>
      <c r="F594" s="149">
        <v>-25.6175</v>
      </c>
      <c r="G594" s="149">
        <v>134.92277777999999</v>
      </c>
      <c r="H594" s="149">
        <v>205</v>
      </c>
      <c r="I594" s="151">
        <v>42812</v>
      </c>
      <c r="J594" s="149" t="s">
        <v>36</v>
      </c>
      <c r="K594" s="149" t="s">
        <v>419</v>
      </c>
      <c r="L594" s="155" t="s">
        <v>2566</v>
      </c>
      <c r="M594" s="155" t="s">
        <v>2567</v>
      </c>
      <c r="N594" s="155" t="s">
        <v>2668</v>
      </c>
      <c r="O594" s="155" t="s">
        <v>2105</v>
      </c>
      <c r="P594" s="140" t="s">
        <v>2105</v>
      </c>
      <c r="Q594" s="140" t="s">
        <v>2387</v>
      </c>
      <c r="R594" s="155" t="s">
        <v>2713</v>
      </c>
      <c r="S594" s="149">
        <f t="shared" si="26"/>
        <v>1.1999999999999999E-3</v>
      </c>
      <c r="T594" s="149">
        <v>0</v>
      </c>
      <c r="U594" s="157">
        <v>1.1999999999999999E-3</v>
      </c>
      <c r="V594" s="157">
        <v>1.748</v>
      </c>
      <c r="W594" s="157">
        <v>6.4539999999999997</v>
      </c>
      <c r="X594" s="149">
        <f t="shared" si="27"/>
        <v>11.281592</v>
      </c>
      <c r="Y594" s="149"/>
    </row>
    <row r="595" spans="1:25" ht="16">
      <c r="A595" s="149" t="s">
        <v>12</v>
      </c>
      <c r="B595" s="150" t="s">
        <v>841</v>
      </c>
      <c r="C595" s="149" t="s">
        <v>1744</v>
      </c>
      <c r="D595" s="149" t="s">
        <v>3555</v>
      </c>
      <c r="E595" s="149" t="s">
        <v>830</v>
      </c>
      <c r="F595" s="149">
        <v>-25.6175</v>
      </c>
      <c r="G595" s="149">
        <v>134.92277777999999</v>
      </c>
      <c r="H595" s="149">
        <v>205</v>
      </c>
      <c r="I595" s="151">
        <v>42812</v>
      </c>
      <c r="J595" s="149" t="s">
        <v>36</v>
      </c>
      <c r="K595" s="149" t="s">
        <v>419</v>
      </c>
      <c r="L595" s="140" t="s">
        <v>2572</v>
      </c>
      <c r="M595" s="140" t="s">
        <v>2407</v>
      </c>
      <c r="N595" s="140" t="s">
        <v>36</v>
      </c>
      <c r="O595" s="140" t="s">
        <v>2215</v>
      </c>
      <c r="P595" s="140" t="s">
        <v>2215</v>
      </c>
      <c r="Q595" s="140" t="s">
        <v>2702</v>
      </c>
      <c r="R595" s="140" t="s">
        <v>2713</v>
      </c>
      <c r="S595" s="149">
        <f t="shared" si="26"/>
        <v>5.0000000000000001E-4</v>
      </c>
      <c r="T595" s="149">
        <v>0</v>
      </c>
      <c r="U595" s="157">
        <v>5.0000000000000001E-4</v>
      </c>
      <c r="V595" s="157">
        <v>1.421</v>
      </c>
      <c r="W595" s="157">
        <v>6.9939999999999998</v>
      </c>
      <c r="X595" s="149">
        <f t="shared" si="27"/>
        <v>9.9384739999999994</v>
      </c>
      <c r="Y595" s="149"/>
    </row>
    <row r="596" spans="1:25" ht="16">
      <c r="A596" s="149" t="s">
        <v>12</v>
      </c>
      <c r="B596" s="150" t="s">
        <v>472</v>
      </c>
      <c r="C596" s="149" t="s">
        <v>1744</v>
      </c>
      <c r="D596" s="149" t="s">
        <v>3555</v>
      </c>
      <c r="E596" s="149" t="s">
        <v>418</v>
      </c>
      <c r="F596" s="149">
        <v>-26.284722200000001</v>
      </c>
      <c r="G596" s="149">
        <v>136.09805556000001</v>
      </c>
      <c r="H596" s="149">
        <v>201</v>
      </c>
      <c r="I596" s="151">
        <v>42816</v>
      </c>
      <c r="J596" s="149" t="s">
        <v>36</v>
      </c>
      <c r="K596" s="149" t="s">
        <v>419</v>
      </c>
      <c r="L596" s="140" t="s">
        <v>2566</v>
      </c>
      <c r="M596" s="140" t="s">
        <v>2574</v>
      </c>
      <c r="N596" s="140" t="s">
        <v>3191</v>
      </c>
      <c r="O596" s="149" t="s">
        <v>2111</v>
      </c>
      <c r="P596" s="149" t="s">
        <v>2739</v>
      </c>
      <c r="Q596" s="140" t="s">
        <v>2703</v>
      </c>
      <c r="R596" s="140" t="s">
        <v>2713</v>
      </c>
      <c r="S596" s="149">
        <f t="shared" si="26"/>
        <v>4.8800000000000003E-2</v>
      </c>
      <c r="T596" s="140">
        <v>3.8671999999999998E-2</v>
      </c>
      <c r="U596" s="157">
        <v>1.0128000000000005E-2</v>
      </c>
      <c r="V596" s="157">
        <v>3.1019999999999999</v>
      </c>
      <c r="W596" s="157">
        <v>13.387</v>
      </c>
      <c r="X596" s="149">
        <f t="shared" si="27"/>
        <v>41.526474</v>
      </c>
      <c r="Y596" s="149"/>
    </row>
    <row r="597" spans="1:25" ht="16">
      <c r="A597" s="149" t="s">
        <v>12</v>
      </c>
      <c r="B597" s="150" t="s">
        <v>842</v>
      </c>
      <c r="C597" s="149" t="s">
        <v>1744</v>
      </c>
      <c r="D597" s="149" t="s">
        <v>3555</v>
      </c>
      <c r="E597" s="149" t="s">
        <v>830</v>
      </c>
      <c r="F597" s="149">
        <v>-25.6175</v>
      </c>
      <c r="G597" s="149">
        <v>134.92277777999999</v>
      </c>
      <c r="H597" s="149">
        <v>205</v>
      </c>
      <c r="I597" s="151">
        <v>42812</v>
      </c>
      <c r="J597" s="149" t="s">
        <v>36</v>
      </c>
      <c r="K597" s="149" t="s">
        <v>419</v>
      </c>
      <c r="L597" s="140" t="s">
        <v>2572</v>
      </c>
      <c r="M597" s="140" t="s">
        <v>2407</v>
      </c>
      <c r="N597" s="140" t="s">
        <v>36</v>
      </c>
      <c r="O597" s="140" t="s">
        <v>2215</v>
      </c>
      <c r="P597" s="140" t="s">
        <v>2215</v>
      </c>
      <c r="Q597" s="140" t="s">
        <v>2702</v>
      </c>
      <c r="R597" s="140" t="s">
        <v>2712</v>
      </c>
      <c r="S597" s="149">
        <f t="shared" si="26"/>
        <v>6.9999999999999999E-4</v>
      </c>
      <c r="T597" s="149">
        <v>0</v>
      </c>
      <c r="U597" s="157">
        <v>6.9999999999999999E-4</v>
      </c>
      <c r="V597" s="157">
        <v>1.3240000000000001</v>
      </c>
      <c r="W597" s="157">
        <v>5.6189999999999998</v>
      </c>
      <c r="X597" s="149">
        <f t="shared" si="27"/>
        <v>7.4395560000000005</v>
      </c>
      <c r="Y597" s="149"/>
    </row>
    <row r="598" spans="1:25" ht="16">
      <c r="A598" s="149" t="s">
        <v>12</v>
      </c>
      <c r="B598" s="150" t="s">
        <v>843</v>
      </c>
      <c r="C598" s="149" t="s">
        <v>1744</v>
      </c>
      <c r="D598" s="149" t="s">
        <v>3555</v>
      </c>
      <c r="E598" s="149" t="s">
        <v>830</v>
      </c>
      <c r="F598" s="149">
        <v>-25.6175</v>
      </c>
      <c r="G598" s="149">
        <v>134.92277777999999</v>
      </c>
      <c r="H598" s="149">
        <v>205</v>
      </c>
      <c r="I598" s="151">
        <v>42812</v>
      </c>
      <c r="J598" s="149" t="s">
        <v>36</v>
      </c>
      <c r="K598" s="149" t="s">
        <v>419</v>
      </c>
      <c r="L598" s="140" t="s">
        <v>2572</v>
      </c>
      <c r="M598" s="140" t="s">
        <v>2407</v>
      </c>
      <c r="N598" s="140" t="s">
        <v>36</v>
      </c>
      <c r="O598" s="140" t="s">
        <v>2215</v>
      </c>
      <c r="P598" s="140" t="s">
        <v>2215</v>
      </c>
      <c r="Q598" s="140" t="s">
        <v>2702</v>
      </c>
      <c r="R598" s="140" t="s">
        <v>2713</v>
      </c>
      <c r="S598" s="149">
        <f t="shared" si="26"/>
        <v>1.1999999999999999E-3</v>
      </c>
      <c r="T598" s="149">
        <v>0</v>
      </c>
      <c r="U598" s="157">
        <v>1.1999999999999999E-3</v>
      </c>
      <c r="V598" s="157">
        <v>1.5820000000000001</v>
      </c>
      <c r="W598" s="157">
        <v>7.85</v>
      </c>
      <c r="X598" s="149">
        <f t="shared" si="27"/>
        <v>12.418699999999999</v>
      </c>
      <c r="Y598" s="149"/>
    </row>
    <row r="599" spans="1:25" ht="16">
      <c r="A599" s="149" t="s">
        <v>12</v>
      </c>
      <c r="B599" s="150" t="s">
        <v>844</v>
      </c>
      <c r="C599" s="149" t="s">
        <v>1744</v>
      </c>
      <c r="D599" s="149" t="s">
        <v>3555</v>
      </c>
      <c r="E599" s="149" t="s">
        <v>830</v>
      </c>
      <c r="F599" s="149">
        <v>-25.6175</v>
      </c>
      <c r="G599" s="149">
        <v>134.92277777999999</v>
      </c>
      <c r="H599" s="149">
        <v>205</v>
      </c>
      <c r="I599" s="151">
        <v>42812</v>
      </c>
      <c r="J599" s="149" t="s">
        <v>36</v>
      </c>
      <c r="K599" s="149" t="s">
        <v>419</v>
      </c>
      <c r="L599" s="140" t="s">
        <v>2572</v>
      </c>
      <c r="M599" s="140" t="s">
        <v>2407</v>
      </c>
      <c r="N599" s="140" t="s">
        <v>36</v>
      </c>
      <c r="O599" s="140" t="s">
        <v>2215</v>
      </c>
      <c r="P599" s="140" t="s">
        <v>2215</v>
      </c>
      <c r="Q599" s="140" t="s">
        <v>2702</v>
      </c>
      <c r="R599" s="140" t="s">
        <v>2713</v>
      </c>
      <c r="S599" s="149">
        <f t="shared" si="26"/>
        <v>5.0000000000000001E-4</v>
      </c>
      <c r="T599" s="149">
        <v>0</v>
      </c>
      <c r="U599" s="157">
        <v>5.0000000000000001E-4</v>
      </c>
      <c r="V599" s="157">
        <v>1.4379999999999999</v>
      </c>
      <c r="W599" s="157">
        <v>7.593</v>
      </c>
      <c r="X599" s="149">
        <f t="shared" si="27"/>
        <v>10.918733999999999</v>
      </c>
      <c r="Y599" s="149"/>
    </row>
    <row r="600" spans="1:25" ht="16">
      <c r="A600" s="149" t="s">
        <v>12</v>
      </c>
      <c r="B600" s="150" t="s">
        <v>846</v>
      </c>
      <c r="C600" s="149" t="s">
        <v>1744</v>
      </c>
      <c r="D600" s="149" t="s">
        <v>3555</v>
      </c>
      <c r="E600" s="149" t="s">
        <v>830</v>
      </c>
      <c r="F600" s="149">
        <v>-25.6175</v>
      </c>
      <c r="G600" s="149">
        <v>134.92277777999999</v>
      </c>
      <c r="H600" s="149">
        <v>205</v>
      </c>
      <c r="I600" s="151">
        <v>42812</v>
      </c>
      <c r="J600" s="149" t="s">
        <v>36</v>
      </c>
      <c r="K600" s="149" t="s">
        <v>419</v>
      </c>
      <c r="L600" s="140" t="s">
        <v>2572</v>
      </c>
      <c r="M600" s="140" t="s">
        <v>2407</v>
      </c>
      <c r="N600" s="140" t="s">
        <v>36</v>
      </c>
      <c r="O600" s="140" t="s">
        <v>2215</v>
      </c>
      <c r="P600" s="140" t="s">
        <v>2215</v>
      </c>
      <c r="Q600" s="140" t="s">
        <v>2702</v>
      </c>
      <c r="R600" s="140" t="s">
        <v>2713</v>
      </c>
      <c r="S600" s="149">
        <f t="shared" si="26"/>
        <v>1E-3</v>
      </c>
      <c r="T600" s="149">
        <v>0</v>
      </c>
      <c r="U600" s="157">
        <v>1E-3</v>
      </c>
      <c r="V600" s="157">
        <v>1.3069999999999999</v>
      </c>
      <c r="W600" s="157">
        <v>6.718</v>
      </c>
      <c r="X600" s="149">
        <f t="shared" si="27"/>
        <v>8.7804260000000003</v>
      </c>
      <c r="Y600" s="149"/>
    </row>
    <row r="601" spans="1:25" ht="16">
      <c r="A601" s="149" t="s">
        <v>12</v>
      </c>
      <c r="B601" s="150" t="s">
        <v>847</v>
      </c>
      <c r="C601" s="149" t="s">
        <v>1744</v>
      </c>
      <c r="D601" s="149" t="s">
        <v>3555</v>
      </c>
      <c r="E601" s="149" t="s">
        <v>830</v>
      </c>
      <c r="F601" s="149">
        <v>-25.6175</v>
      </c>
      <c r="G601" s="149">
        <v>134.92277777999999</v>
      </c>
      <c r="H601" s="149">
        <v>205</v>
      </c>
      <c r="I601" s="151">
        <v>42812</v>
      </c>
      <c r="J601" s="149" t="s">
        <v>36</v>
      </c>
      <c r="K601" s="149" t="s">
        <v>419</v>
      </c>
      <c r="L601" s="140" t="s">
        <v>2572</v>
      </c>
      <c r="M601" s="140" t="s">
        <v>2407</v>
      </c>
      <c r="N601" s="140" t="s">
        <v>36</v>
      </c>
      <c r="O601" s="140" t="s">
        <v>2215</v>
      </c>
      <c r="P601" s="140" t="s">
        <v>2215</v>
      </c>
      <c r="Q601" s="140" t="s">
        <v>2702</v>
      </c>
      <c r="R601" s="140" t="s">
        <v>2712</v>
      </c>
      <c r="S601" s="149">
        <f t="shared" si="26"/>
        <v>5.0000000000000001E-4</v>
      </c>
      <c r="T601" s="149">
        <v>0</v>
      </c>
      <c r="U601" s="157">
        <v>5.0000000000000001E-4</v>
      </c>
      <c r="V601" s="157">
        <v>1.23</v>
      </c>
      <c r="W601" s="157">
        <v>6.4210000000000003</v>
      </c>
      <c r="X601" s="149">
        <f t="shared" si="27"/>
        <v>7.8978299999999999</v>
      </c>
      <c r="Y601" s="149"/>
    </row>
    <row r="602" spans="1:25" ht="16">
      <c r="A602" s="149" t="s">
        <v>12</v>
      </c>
      <c r="B602" s="150" t="s">
        <v>848</v>
      </c>
      <c r="C602" s="149" t="s">
        <v>1744</v>
      </c>
      <c r="D602" s="149" t="s">
        <v>3555</v>
      </c>
      <c r="E602" s="149" t="s">
        <v>830</v>
      </c>
      <c r="F602" s="149">
        <v>-25.6175</v>
      </c>
      <c r="G602" s="149">
        <v>134.92277777999999</v>
      </c>
      <c r="H602" s="149">
        <v>205</v>
      </c>
      <c r="I602" s="151">
        <v>42812</v>
      </c>
      <c r="J602" s="149" t="s">
        <v>36</v>
      </c>
      <c r="K602" s="149" t="s">
        <v>419</v>
      </c>
      <c r="L602" s="140" t="s">
        <v>2572</v>
      </c>
      <c r="M602" s="140" t="s">
        <v>2407</v>
      </c>
      <c r="N602" s="140" t="s">
        <v>36</v>
      </c>
      <c r="O602" s="140" t="s">
        <v>2215</v>
      </c>
      <c r="P602" s="140" t="s">
        <v>2215</v>
      </c>
      <c r="Q602" s="140" t="s">
        <v>2702</v>
      </c>
      <c r="R602" s="140" t="s">
        <v>2713</v>
      </c>
      <c r="S602" s="149">
        <f t="shared" si="26"/>
        <v>6.9999999999999999E-4</v>
      </c>
      <c r="T602" s="149">
        <v>0</v>
      </c>
      <c r="U602" s="157">
        <v>6.9999999999999999E-4</v>
      </c>
      <c r="V602" s="157">
        <v>1.411</v>
      </c>
      <c r="W602" s="157">
        <v>6.77</v>
      </c>
      <c r="X602" s="149">
        <f t="shared" si="27"/>
        <v>9.5524699999999996</v>
      </c>
      <c r="Y602" s="149"/>
    </row>
    <row r="603" spans="1:25" ht="16">
      <c r="A603" s="149" t="s">
        <v>12</v>
      </c>
      <c r="B603" s="150" t="s">
        <v>849</v>
      </c>
      <c r="C603" s="149" t="s">
        <v>1744</v>
      </c>
      <c r="D603" s="149" t="s">
        <v>3555</v>
      </c>
      <c r="E603" s="149" t="s">
        <v>830</v>
      </c>
      <c r="F603" s="149">
        <v>-25.6175</v>
      </c>
      <c r="G603" s="149">
        <v>134.92277777999999</v>
      </c>
      <c r="H603" s="149">
        <v>205</v>
      </c>
      <c r="I603" s="151">
        <v>42812</v>
      </c>
      <c r="J603" s="149" t="s">
        <v>36</v>
      </c>
      <c r="K603" s="149" t="s">
        <v>419</v>
      </c>
      <c r="L603" s="140" t="s">
        <v>2572</v>
      </c>
      <c r="M603" s="140" t="s">
        <v>2407</v>
      </c>
      <c r="N603" s="140" t="s">
        <v>36</v>
      </c>
      <c r="O603" s="140" t="s">
        <v>2215</v>
      </c>
      <c r="P603" s="140" t="s">
        <v>2215</v>
      </c>
      <c r="Q603" s="140" t="s">
        <v>2702</v>
      </c>
      <c r="R603" s="140" t="s">
        <v>2713</v>
      </c>
      <c r="S603" s="149">
        <f t="shared" si="26"/>
        <v>1.1000000000000001E-3</v>
      </c>
      <c r="T603" s="149">
        <v>0</v>
      </c>
      <c r="U603" s="157">
        <v>1.1000000000000001E-3</v>
      </c>
      <c r="V603" s="157">
        <v>1.383</v>
      </c>
      <c r="W603" s="157">
        <v>7.5439999999999996</v>
      </c>
      <c r="X603" s="149">
        <f t="shared" si="27"/>
        <v>10.433351999999999</v>
      </c>
      <c r="Y603" s="149"/>
    </row>
    <row r="604" spans="1:25" ht="16">
      <c r="A604" s="149" t="s">
        <v>12</v>
      </c>
      <c r="B604" s="150" t="s">
        <v>850</v>
      </c>
      <c r="C604" s="149" t="s">
        <v>1744</v>
      </c>
      <c r="D604" s="149" t="s">
        <v>3555</v>
      </c>
      <c r="E604" s="149" t="s">
        <v>830</v>
      </c>
      <c r="F604" s="149">
        <v>-25.6175</v>
      </c>
      <c r="G604" s="149">
        <v>134.92277777999999</v>
      </c>
      <c r="H604" s="149">
        <v>205</v>
      </c>
      <c r="I604" s="151">
        <v>42812</v>
      </c>
      <c r="J604" s="149" t="s">
        <v>36</v>
      </c>
      <c r="K604" s="149" t="s">
        <v>419</v>
      </c>
      <c r="L604" s="155" t="s">
        <v>2566</v>
      </c>
      <c r="M604" s="155" t="s">
        <v>2567</v>
      </c>
      <c r="N604" s="155" t="s">
        <v>2668</v>
      </c>
      <c r="O604" s="155" t="s">
        <v>2105</v>
      </c>
      <c r="P604" s="140" t="s">
        <v>2105</v>
      </c>
      <c r="Q604" s="140" t="s">
        <v>2387</v>
      </c>
      <c r="R604" s="158" t="s">
        <v>2713</v>
      </c>
      <c r="S604" s="149">
        <f t="shared" si="26"/>
        <v>8.0000000000000004E-4</v>
      </c>
      <c r="T604" s="149">
        <v>0</v>
      </c>
      <c r="U604" s="157">
        <v>8.0000000000000004E-4</v>
      </c>
      <c r="V604" s="157">
        <v>1.6639999999999999</v>
      </c>
      <c r="W604" s="157">
        <v>7.1950000000000003</v>
      </c>
      <c r="X604" s="149">
        <f t="shared" si="27"/>
        <v>11.972479999999999</v>
      </c>
      <c r="Y604" s="149"/>
    </row>
    <row r="605" spans="1:25" ht="16">
      <c r="A605" s="149" t="s">
        <v>12</v>
      </c>
      <c r="B605" s="150" t="s">
        <v>851</v>
      </c>
      <c r="C605" s="149" t="s">
        <v>1744</v>
      </c>
      <c r="D605" s="149" t="s">
        <v>3555</v>
      </c>
      <c r="E605" s="149" t="s">
        <v>830</v>
      </c>
      <c r="F605" s="149">
        <v>-25.6175</v>
      </c>
      <c r="G605" s="149">
        <v>134.92277777999999</v>
      </c>
      <c r="H605" s="149">
        <v>205</v>
      </c>
      <c r="I605" s="151">
        <v>42812</v>
      </c>
      <c r="J605" s="149" t="s">
        <v>36</v>
      </c>
      <c r="K605" s="149" t="s">
        <v>419</v>
      </c>
      <c r="L605" s="140" t="s">
        <v>2572</v>
      </c>
      <c r="M605" s="140" t="s">
        <v>2407</v>
      </c>
      <c r="N605" s="140" t="s">
        <v>36</v>
      </c>
      <c r="O605" s="140" t="s">
        <v>2215</v>
      </c>
      <c r="P605" s="140" t="s">
        <v>2215</v>
      </c>
      <c r="Q605" s="140" t="s">
        <v>2702</v>
      </c>
      <c r="R605" s="140" t="s">
        <v>2712</v>
      </c>
      <c r="S605" s="149">
        <f t="shared" si="26"/>
        <v>6.9999999999999999E-4</v>
      </c>
      <c r="T605" s="149">
        <v>0</v>
      </c>
      <c r="U605" s="157">
        <v>6.9999999999999999E-4</v>
      </c>
      <c r="V605" s="157">
        <v>1.339</v>
      </c>
      <c r="W605" s="157">
        <v>5.3639999999999999</v>
      </c>
      <c r="X605" s="149">
        <f t="shared" si="27"/>
        <v>7.1823959999999998</v>
      </c>
      <c r="Y605" s="149"/>
    </row>
    <row r="606" spans="1:25" ht="16">
      <c r="A606" s="149" t="s">
        <v>12</v>
      </c>
      <c r="B606" s="150" t="s">
        <v>473</v>
      </c>
      <c r="C606" s="149" t="s">
        <v>1744</v>
      </c>
      <c r="D606" s="149" t="s">
        <v>3555</v>
      </c>
      <c r="E606" s="149" t="s">
        <v>418</v>
      </c>
      <c r="F606" s="149">
        <v>-26.284722200000001</v>
      </c>
      <c r="G606" s="149">
        <v>136.09805556000001</v>
      </c>
      <c r="H606" s="149">
        <v>201</v>
      </c>
      <c r="I606" s="151">
        <v>42816</v>
      </c>
      <c r="J606" s="149" t="s">
        <v>36</v>
      </c>
      <c r="K606" s="149" t="s">
        <v>419</v>
      </c>
      <c r="L606" s="140" t="s">
        <v>2566</v>
      </c>
      <c r="M606" s="140" t="s">
        <v>2574</v>
      </c>
      <c r="N606" s="140" t="s">
        <v>3191</v>
      </c>
      <c r="O606" s="149" t="s">
        <v>2111</v>
      </c>
      <c r="P606" s="149" t="s">
        <v>2739</v>
      </c>
      <c r="Q606" s="140" t="s">
        <v>2692</v>
      </c>
      <c r="R606" s="140" t="s">
        <v>2713</v>
      </c>
      <c r="S606" s="149">
        <f t="shared" si="26"/>
        <v>2.8999999999999998E-3</v>
      </c>
      <c r="T606" s="149">
        <v>0</v>
      </c>
      <c r="U606" s="157">
        <v>2.8999999999999998E-3</v>
      </c>
      <c r="V606" s="157">
        <v>2.0819999999999999</v>
      </c>
      <c r="W606" s="157">
        <v>9.2560000000000002</v>
      </c>
      <c r="X606" s="149">
        <f t="shared" si="27"/>
        <v>19.270992</v>
      </c>
      <c r="Y606" s="149"/>
    </row>
    <row r="607" spans="1:25" ht="16">
      <c r="A607" s="149" t="s">
        <v>12</v>
      </c>
      <c r="B607" s="150" t="s">
        <v>852</v>
      </c>
      <c r="C607" s="149" t="s">
        <v>1744</v>
      </c>
      <c r="D607" s="149" t="s">
        <v>3555</v>
      </c>
      <c r="E607" s="149" t="s">
        <v>830</v>
      </c>
      <c r="F607" s="149">
        <v>-25.6175</v>
      </c>
      <c r="G607" s="149">
        <v>134.92277777999999</v>
      </c>
      <c r="H607" s="149">
        <v>205</v>
      </c>
      <c r="I607" s="151">
        <v>42812</v>
      </c>
      <c r="J607" s="149" t="s">
        <v>36</v>
      </c>
      <c r="K607" s="149" t="s">
        <v>419</v>
      </c>
      <c r="L607" s="140" t="s">
        <v>2572</v>
      </c>
      <c r="M607" s="140" t="s">
        <v>2407</v>
      </c>
      <c r="N607" s="140" t="s">
        <v>36</v>
      </c>
      <c r="O607" s="140" t="s">
        <v>2215</v>
      </c>
      <c r="P607" s="140" t="s">
        <v>2215</v>
      </c>
      <c r="Q607" s="140" t="s">
        <v>2702</v>
      </c>
      <c r="R607" s="140" t="s">
        <v>2713</v>
      </c>
      <c r="S607" s="149">
        <f t="shared" si="26"/>
        <v>5.0000000000000001E-4</v>
      </c>
      <c r="T607" s="149">
        <v>0</v>
      </c>
      <c r="U607" s="157">
        <v>5.0000000000000001E-4</v>
      </c>
      <c r="V607" s="157">
        <v>1.44</v>
      </c>
      <c r="W607" s="157">
        <v>6.4160000000000004</v>
      </c>
      <c r="X607" s="149">
        <f t="shared" si="27"/>
        <v>9.239040000000001</v>
      </c>
      <c r="Y607" s="149"/>
    </row>
    <row r="608" spans="1:25" ht="16">
      <c r="A608" s="149" t="s">
        <v>12</v>
      </c>
      <c r="B608" s="150" t="s">
        <v>853</v>
      </c>
      <c r="C608" s="149" t="s">
        <v>1744</v>
      </c>
      <c r="D608" s="149" t="s">
        <v>3555</v>
      </c>
      <c r="E608" s="149" t="s">
        <v>830</v>
      </c>
      <c r="F608" s="149">
        <v>-25.6175</v>
      </c>
      <c r="G608" s="149">
        <v>134.92277777999999</v>
      </c>
      <c r="H608" s="149">
        <v>205</v>
      </c>
      <c r="I608" s="151">
        <v>42812</v>
      </c>
      <c r="J608" s="149" t="s">
        <v>36</v>
      </c>
      <c r="K608" s="149" t="s">
        <v>419</v>
      </c>
      <c r="L608" s="140" t="s">
        <v>2572</v>
      </c>
      <c r="M608" s="140" t="s">
        <v>2407</v>
      </c>
      <c r="N608" s="140" t="s">
        <v>36</v>
      </c>
      <c r="O608" s="140" t="s">
        <v>2215</v>
      </c>
      <c r="P608" s="140" t="s">
        <v>2215</v>
      </c>
      <c r="Q608" s="140" t="s">
        <v>2702</v>
      </c>
      <c r="R608" s="140" t="s">
        <v>2712</v>
      </c>
      <c r="S608" s="149">
        <f t="shared" si="26"/>
        <v>5.9999999999999995E-4</v>
      </c>
      <c r="T608" s="149">
        <v>0</v>
      </c>
      <c r="U608" s="157">
        <v>5.9999999999999995E-4</v>
      </c>
      <c r="V608" s="157">
        <v>1.425</v>
      </c>
      <c r="W608" s="157">
        <v>5.7210000000000001</v>
      </c>
      <c r="X608" s="149">
        <f t="shared" si="27"/>
        <v>8.1524250000000009</v>
      </c>
      <c r="Y608" s="149"/>
    </row>
    <row r="609" spans="1:25" ht="16">
      <c r="A609" s="149" t="s">
        <v>12</v>
      </c>
      <c r="B609" s="150" t="s">
        <v>854</v>
      </c>
      <c r="C609" s="149" t="s">
        <v>1744</v>
      </c>
      <c r="D609" s="149" t="s">
        <v>3555</v>
      </c>
      <c r="E609" s="149" t="s">
        <v>830</v>
      </c>
      <c r="F609" s="149">
        <v>-25.6175</v>
      </c>
      <c r="G609" s="149">
        <v>134.92277777999999</v>
      </c>
      <c r="H609" s="149">
        <v>205</v>
      </c>
      <c r="I609" s="151">
        <v>42812</v>
      </c>
      <c r="J609" s="149" t="s">
        <v>36</v>
      </c>
      <c r="K609" s="149" t="s">
        <v>419</v>
      </c>
      <c r="L609" s="140" t="s">
        <v>2572</v>
      </c>
      <c r="M609" s="140" t="s">
        <v>2407</v>
      </c>
      <c r="N609" s="140" t="s">
        <v>36</v>
      </c>
      <c r="O609" s="140" t="s">
        <v>2215</v>
      </c>
      <c r="P609" s="140" t="s">
        <v>2215</v>
      </c>
      <c r="Q609" s="140" t="s">
        <v>2702</v>
      </c>
      <c r="R609" s="140" t="s">
        <v>2713</v>
      </c>
      <c r="S609" s="149">
        <f t="shared" si="26"/>
        <v>2.9999999999999997E-4</v>
      </c>
      <c r="T609" s="149">
        <v>0</v>
      </c>
      <c r="U609" s="157">
        <v>2.9999999999999997E-4</v>
      </c>
      <c r="V609" s="157">
        <v>1.337</v>
      </c>
      <c r="W609" s="157">
        <v>7.827</v>
      </c>
      <c r="X609" s="149">
        <f t="shared" si="27"/>
        <v>10.464699</v>
      </c>
      <c r="Y609" s="149"/>
    </row>
    <row r="610" spans="1:25" ht="16">
      <c r="A610" s="149" t="s">
        <v>12</v>
      </c>
      <c r="B610" s="150" t="s">
        <v>855</v>
      </c>
      <c r="C610" s="149" t="s">
        <v>1744</v>
      </c>
      <c r="D610" s="149" t="s">
        <v>3555</v>
      </c>
      <c r="E610" s="149" t="s">
        <v>830</v>
      </c>
      <c r="F610" s="149">
        <v>-25.6175</v>
      </c>
      <c r="G610" s="149">
        <v>134.92277777999999</v>
      </c>
      <c r="H610" s="149">
        <v>205</v>
      </c>
      <c r="I610" s="151">
        <v>42812</v>
      </c>
      <c r="J610" s="149" t="s">
        <v>36</v>
      </c>
      <c r="K610" s="149" t="s">
        <v>419</v>
      </c>
      <c r="L610" s="140" t="s">
        <v>2572</v>
      </c>
      <c r="M610" s="140" t="s">
        <v>2407</v>
      </c>
      <c r="N610" s="140" t="s">
        <v>36</v>
      </c>
      <c r="O610" s="140" t="s">
        <v>2215</v>
      </c>
      <c r="P610" s="140" t="s">
        <v>2215</v>
      </c>
      <c r="Q610" s="140" t="s">
        <v>2702</v>
      </c>
      <c r="R610" s="140" t="s">
        <v>2713</v>
      </c>
      <c r="S610" s="149">
        <f t="shared" si="26"/>
        <v>8.9999999999999998E-4</v>
      </c>
      <c r="T610" s="149">
        <v>0</v>
      </c>
      <c r="U610" s="157">
        <v>8.9999999999999998E-4</v>
      </c>
      <c r="V610" s="157">
        <v>1.5509999999999999</v>
      </c>
      <c r="W610" s="157">
        <v>8.23</v>
      </c>
      <c r="X610" s="149">
        <f t="shared" si="27"/>
        <v>12.76473</v>
      </c>
      <c r="Y610" s="149"/>
    </row>
    <row r="611" spans="1:25" ht="16">
      <c r="A611" s="149" t="s">
        <v>12</v>
      </c>
      <c r="B611" s="150" t="s">
        <v>856</v>
      </c>
      <c r="C611" s="149" t="s">
        <v>1744</v>
      </c>
      <c r="D611" s="149" t="s">
        <v>3555</v>
      </c>
      <c r="E611" s="149" t="s">
        <v>830</v>
      </c>
      <c r="F611" s="149">
        <v>-25.6175</v>
      </c>
      <c r="G611" s="149">
        <v>134.92277777999999</v>
      </c>
      <c r="H611" s="149">
        <v>205</v>
      </c>
      <c r="I611" s="151">
        <v>42812</v>
      </c>
      <c r="J611" s="149" t="s">
        <v>36</v>
      </c>
      <c r="K611" s="149" t="s">
        <v>419</v>
      </c>
      <c r="L611" s="140" t="s">
        <v>2572</v>
      </c>
      <c r="M611" s="140" t="s">
        <v>2407</v>
      </c>
      <c r="N611" s="140" t="s">
        <v>36</v>
      </c>
      <c r="O611" s="140" t="s">
        <v>2215</v>
      </c>
      <c r="P611" s="140" t="s">
        <v>2215</v>
      </c>
      <c r="Q611" s="140" t="s">
        <v>2702</v>
      </c>
      <c r="R611" s="140" t="s">
        <v>2712</v>
      </c>
      <c r="S611" s="149">
        <f t="shared" si="26"/>
        <v>5.0000000000000001E-4</v>
      </c>
      <c r="T611" s="149">
        <v>0</v>
      </c>
      <c r="U611" s="157">
        <v>5.0000000000000001E-4</v>
      </c>
      <c r="V611" s="157">
        <v>1.4139999999999999</v>
      </c>
      <c r="W611" s="157">
        <v>5.4480000000000004</v>
      </c>
      <c r="X611" s="149">
        <f t="shared" si="27"/>
        <v>7.7034720000000005</v>
      </c>
      <c r="Y611" s="149"/>
    </row>
    <row r="612" spans="1:25" ht="16">
      <c r="A612" s="149" t="s">
        <v>12</v>
      </c>
      <c r="B612" s="150" t="s">
        <v>857</v>
      </c>
      <c r="C612" s="149" t="s">
        <v>1744</v>
      </c>
      <c r="D612" s="149" t="s">
        <v>3555</v>
      </c>
      <c r="E612" s="149" t="s">
        <v>830</v>
      </c>
      <c r="F612" s="149">
        <v>-25.6175</v>
      </c>
      <c r="G612" s="149">
        <v>134.92277777999999</v>
      </c>
      <c r="H612" s="149">
        <v>205</v>
      </c>
      <c r="I612" s="151">
        <v>42812</v>
      </c>
      <c r="J612" s="149" t="s">
        <v>36</v>
      </c>
      <c r="K612" s="149" t="s">
        <v>419</v>
      </c>
      <c r="L612" s="140" t="s">
        <v>2572</v>
      </c>
      <c r="M612" s="140" t="s">
        <v>2407</v>
      </c>
      <c r="N612" s="140" t="s">
        <v>36</v>
      </c>
      <c r="O612" s="140" t="s">
        <v>2215</v>
      </c>
      <c r="P612" s="140" t="s">
        <v>2215</v>
      </c>
      <c r="Q612" s="140" t="s">
        <v>2702</v>
      </c>
      <c r="R612" s="140" t="s">
        <v>2713</v>
      </c>
      <c r="S612" s="149">
        <f t="shared" si="26"/>
        <v>1E-3</v>
      </c>
      <c r="T612" s="149">
        <v>0</v>
      </c>
      <c r="U612" s="157">
        <v>1E-3</v>
      </c>
      <c r="V612" s="157">
        <v>1.5269999999999999</v>
      </c>
      <c r="W612" s="157">
        <v>7.4249999999999998</v>
      </c>
      <c r="X612" s="149">
        <f t="shared" si="27"/>
        <v>11.337974999999998</v>
      </c>
      <c r="Y612" s="149"/>
    </row>
    <row r="613" spans="1:25" ht="16">
      <c r="A613" s="149" t="s">
        <v>12</v>
      </c>
      <c r="B613" s="150" t="s">
        <v>858</v>
      </c>
      <c r="C613" s="149" t="s">
        <v>1744</v>
      </c>
      <c r="D613" s="149" t="s">
        <v>3555</v>
      </c>
      <c r="E613" s="149" t="s">
        <v>830</v>
      </c>
      <c r="F613" s="149">
        <v>-25.6175</v>
      </c>
      <c r="G613" s="149">
        <v>134.92277777999999</v>
      </c>
      <c r="H613" s="149">
        <v>205</v>
      </c>
      <c r="I613" s="151">
        <v>42812</v>
      </c>
      <c r="J613" s="149" t="s">
        <v>36</v>
      </c>
      <c r="K613" s="149" t="s">
        <v>419</v>
      </c>
      <c r="L613" s="140" t="s">
        <v>2572</v>
      </c>
      <c r="M613" s="140" t="s">
        <v>2407</v>
      </c>
      <c r="N613" s="140" t="s">
        <v>36</v>
      </c>
      <c r="O613" s="140" t="s">
        <v>2215</v>
      </c>
      <c r="P613" s="140" t="s">
        <v>2215</v>
      </c>
      <c r="Q613" s="140" t="s">
        <v>2702</v>
      </c>
      <c r="R613" s="140" t="s">
        <v>2712</v>
      </c>
      <c r="S613" s="149">
        <f t="shared" si="26"/>
        <v>5.9999999999999995E-4</v>
      </c>
      <c r="T613" s="149">
        <v>0</v>
      </c>
      <c r="U613" s="157">
        <v>5.9999999999999995E-4</v>
      </c>
      <c r="V613" s="157">
        <v>1.6120000000000001</v>
      </c>
      <c r="W613" s="157">
        <v>6.2839999999999998</v>
      </c>
      <c r="X613" s="149">
        <f t="shared" si="27"/>
        <v>10.129808000000001</v>
      </c>
      <c r="Y613" s="149"/>
    </row>
    <row r="614" spans="1:25" ht="16">
      <c r="A614" s="149" t="s">
        <v>12</v>
      </c>
      <c r="B614" s="150" t="s">
        <v>859</v>
      </c>
      <c r="C614" s="149" t="s">
        <v>1744</v>
      </c>
      <c r="D614" s="149" t="s">
        <v>3555</v>
      </c>
      <c r="E614" s="149" t="s">
        <v>830</v>
      </c>
      <c r="F614" s="149">
        <v>-25.6175</v>
      </c>
      <c r="G614" s="149">
        <v>134.92277777999999</v>
      </c>
      <c r="H614" s="149">
        <v>205</v>
      </c>
      <c r="I614" s="151">
        <v>42812</v>
      </c>
      <c r="J614" s="149" t="s">
        <v>36</v>
      </c>
      <c r="K614" s="149" t="s">
        <v>419</v>
      </c>
      <c r="L614" s="155" t="s">
        <v>2566</v>
      </c>
      <c r="M614" s="155" t="s">
        <v>2567</v>
      </c>
      <c r="N614" s="155" t="s">
        <v>2668</v>
      </c>
      <c r="O614" s="155" t="s">
        <v>2105</v>
      </c>
      <c r="P614" s="140" t="s">
        <v>2105</v>
      </c>
      <c r="Q614" s="140" t="s">
        <v>2387</v>
      </c>
      <c r="R614" s="155" t="s">
        <v>2713</v>
      </c>
      <c r="S614" s="149">
        <f t="shared" si="26"/>
        <v>1E-3</v>
      </c>
      <c r="T614" s="149">
        <v>0</v>
      </c>
      <c r="U614" s="157">
        <v>1E-3</v>
      </c>
      <c r="V614" s="157">
        <v>1.49</v>
      </c>
      <c r="W614" s="157">
        <v>6.1520000000000001</v>
      </c>
      <c r="X614" s="149">
        <f t="shared" si="27"/>
        <v>9.16648</v>
      </c>
      <c r="Y614" s="149"/>
    </row>
    <row r="615" spans="1:25" ht="16">
      <c r="A615" s="149" t="s">
        <v>12</v>
      </c>
      <c r="B615" s="150" t="s">
        <v>860</v>
      </c>
      <c r="C615" s="149" t="s">
        <v>1744</v>
      </c>
      <c r="D615" s="149" t="s">
        <v>3555</v>
      </c>
      <c r="E615" s="149" t="s">
        <v>830</v>
      </c>
      <c r="F615" s="149">
        <v>-25.6175</v>
      </c>
      <c r="G615" s="149">
        <v>134.92277777999999</v>
      </c>
      <c r="H615" s="149">
        <v>205</v>
      </c>
      <c r="I615" s="151">
        <v>42812</v>
      </c>
      <c r="J615" s="149" t="s">
        <v>36</v>
      </c>
      <c r="K615" s="149" t="s">
        <v>419</v>
      </c>
      <c r="L615" s="140" t="s">
        <v>2572</v>
      </c>
      <c r="M615" s="140" t="s">
        <v>2407</v>
      </c>
      <c r="N615" s="140" t="s">
        <v>36</v>
      </c>
      <c r="O615" s="140" t="s">
        <v>2215</v>
      </c>
      <c r="P615" s="140" t="s">
        <v>2215</v>
      </c>
      <c r="Q615" s="140" t="s">
        <v>2702</v>
      </c>
      <c r="R615" s="140" t="s">
        <v>2712</v>
      </c>
      <c r="S615" s="149">
        <f t="shared" si="26"/>
        <v>6.9999999999999999E-4</v>
      </c>
      <c r="T615" s="149">
        <v>0</v>
      </c>
      <c r="U615" s="157">
        <v>6.9999999999999999E-4</v>
      </c>
      <c r="V615" s="157">
        <v>1.3420000000000001</v>
      </c>
      <c r="W615" s="157">
        <v>5.7480000000000002</v>
      </c>
      <c r="X615" s="149">
        <f t="shared" si="27"/>
        <v>7.7138160000000005</v>
      </c>
      <c r="Y615" s="149"/>
    </row>
    <row r="616" spans="1:25" ht="16">
      <c r="A616" s="149" t="s">
        <v>12</v>
      </c>
      <c r="B616" s="150" t="s">
        <v>861</v>
      </c>
      <c r="C616" s="149" t="s">
        <v>1744</v>
      </c>
      <c r="D616" s="149" t="s">
        <v>3555</v>
      </c>
      <c r="E616" s="149" t="s">
        <v>830</v>
      </c>
      <c r="F616" s="149">
        <v>-25.6175</v>
      </c>
      <c r="G616" s="149">
        <v>134.92277777999999</v>
      </c>
      <c r="H616" s="149">
        <v>205</v>
      </c>
      <c r="I616" s="151">
        <v>42812</v>
      </c>
      <c r="J616" s="149" t="s">
        <v>36</v>
      </c>
      <c r="K616" s="149" t="s">
        <v>419</v>
      </c>
      <c r="L616" s="140" t="s">
        <v>2572</v>
      </c>
      <c r="M616" s="140" t="s">
        <v>2407</v>
      </c>
      <c r="N616" s="140" t="s">
        <v>36</v>
      </c>
      <c r="O616" s="140" t="s">
        <v>2215</v>
      </c>
      <c r="P616" s="140" t="s">
        <v>2215</v>
      </c>
      <c r="Q616" s="140" t="s">
        <v>2702</v>
      </c>
      <c r="R616" s="140" t="s">
        <v>2712</v>
      </c>
      <c r="S616" s="149">
        <f t="shared" ref="S616:S679" si="28">T616+U616</f>
        <v>8.0000000000000004E-4</v>
      </c>
      <c r="T616" s="149">
        <v>0</v>
      </c>
      <c r="U616" s="157">
        <v>8.0000000000000004E-4</v>
      </c>
      <c r="V616" s="157">
        <v>1.3759999999999999</v>
      </c>
      <c r="W616" s="157">
        <v>6.0919999999999996</v>
      </c>
      <c r="X616" s="149">
        <f t="shared" si="27"/>
        <v>8.3825919999999989</v>
      </c>
      <c r="Y616" s="149"/>
    </row>
    <row r="617" spans="1:25" ht="16">
      <c r="A617" s="149" t="s">
        <v>12</v>
      </c>
      <c r="B617" s="150" t="s">
        <v>474</v>
      </c>
      <c r="C617" s="149" t="s">
        <v>1744</v>
      </c>
      <c r="D617" s="149" t="s">
        <v>3555</v>
      </c>
      <c r="E617" s="149" t="s">
        <v>418</v>
      </c>
      <c r="F617" s="149">
        <v>-26.284722200000001</v>
      </c>
      <c r="G617" s="149">
        <v>136.09805556000001</v>
      </c>
      <c r="H617" s="149">
        <v>201</v>
      </c>
      <c r="I617" s="151">
        <v>42816</v>
      </c>
      <c r="J617" s="149" t="s">
        <v>36</v>
      </c>
      <c r="K617" s="149" t="s">
        <v>419</v>
      </c>
      <c r="L617" s="140" t="s">
        <v>2566</v>
      </c>
      <c r="M617" s="140" t="s">
        <v>2574</v>
      </c>
      <c r="N617" s="140" t="s">
        <v>3191</v>
      </c>
      <c r="O617" s="149" t="s">
        <v>2111</v>
      </c>
      <c r="P617" s="149" t="s">
        <v>2739</v>
      </c>
      <c r="Q617" s="140" t="s">
        <v>2692</v>
      </c>
      <c r="R617" s="140" t="s">
        <v>2713</v>
      </c>
      <c r="S617" s="149">
        <f t="shared" si="28"/>
        <v>2.8E-3</v>
      </c>
      <c r="T617" s="149">
        <v>0</v>
      </c>
      <c r="U617" s="157">
        <v>2.8E-3</v>
      </c>
      <c r="V617" s="157">
        <v>2.1749999999999998</v>
      </c>
      <c r="W617" s="157">
        <v>8.8640000000000008</v>
      </c>
      <c r="X617" s="149">
        <f t="shared" si="27"/>
        <v>19.279199999999999</v>
      </c>
      <c r="Y617" s="149"/>
    </row>
    <row r="618" spans="1:25" ht="16">
      <c r="A618" s="149" t="s">
        <v>12</v>
      </c>
      <c r="B618" s="150" t="s">
        <v>862</v>
      </c>
      <c r="C618" s="149" t="s">
        <v>1744</v>
      </c>
      <c r="D618" s="149" t="s">
        <v>3555</v>
      </c>
      <c r="E618" s="149" t="s">
        <v>830</v>
      </c>
      <c r="F618" s="149">
        <v>-25.6175</v>
      </c>
      <c r="G618" s="149">
        <v>134.92277777999999</v>
      </c>
      <c r="H618" s="149">
        <v>205</v>
      </c>
      <c r="I618" s="151">
        <v>42812</v>
      </c>
      <c r="J618" s="149" t="s">
        <v>36</v>
      </c>
      <c r="K618" s="149" t="s">
        <v>419</v>
      </c>
      <c r="L618" s="140" t="s">
        <v>2572</v>
      </c>
      <c r="M618" s="140" t="s">
        <v>2407</v>
      </c>
      <c r="N618" s="140" t="s">
        <v>36</v>
      </c>
      <c r="O618" s="140" t="s">
        <v>2215</v>
      </c>
      <c r="P618" s="140" t="s">
        <v>2215</v>
      </c>
      <c r="Q618" s="140" t="s">
        <v>2702</v>
      </c>
      <c r="R618" s="140" t="s">
        <v>2713</v>
      </c>
      <c r="S618" s="149">
        <f t="shared" si="28"/>
        <v>2.9999999999999997E-4</v>
      </c>
      <c r="T618" s="149">
        <v>0</v>
      </c>
      <c r="U618" s="157">
        <v>2.9999999999999997E-4</v>
      </c>
      <c r="V618" s="157">
        <v>1.5609999999999999</v>
      </c>
      <c r="W618" s="157">
        <v>7.6550000000000002</v>
      </c>
      <c r="X618" s="149">
        <f t="shared" si="27"/>
        <v>11.949455</v>
      </c>
      <c r="Y618" s="149"/>
    </row>
    <row r="619" spans="1:25" ht="16">
      <c r="A619" s="149" t="s">
        <v>12</v>
      </c>
      <c r="B619" s="150" t="s">
        <v>863</v>
      </c>
      <c r="C619" s="149" t="s">
        <v>1744</v>
      </c>
      <c r="D619" s="149" t="s">
        <v>3555</v>
      </c>
      <c r="E619" s="149" t="s">
        <v>830</v>
      </c>
      <c r="F619" s="149">
        <v>-25.6175</v>
      </c>
      <c r="G619" s="149">
        <v>134.92277777999999</v>
      </c>
      <c r="H619" s="149">
        <v>205</v>
      </c>
      <c r="I619" s="151">
        <v>42812</v>
      </c>
      <c r="J619" s="149" t="s">
        <v>36</v>
      </c>
      <c r="K619" s="149" t="s">
        <v>419</v>
      </c>
      <c r="L619" s="140" t="s">
        <v>2572</v>
      </c>
      <c r="M619" s="140" t="s">
        <v>2407</v>
      </c>
      <c r="N619" s="140" t="s">
        <v>36</v>
      </c>
      <c r="O619" s="140" t="s">
        <v>2215</v>
      </c>
      <c r="P619" s="140" t="s">
        <v>2215</v>
      </c>
      <c r="Q619" s="140" t="s">
        <v>2702</v>
      </c>
      <c r="R619" s="140" t="s">
        <v>2712</v>
      </c>
      <c r="S619" s="149">
        <f t="shared" si="28"/>
        <v>5.0000000000000001E-4</v>
      </c>
      <c r="T619" s="149">
        <v>0</v>
      </c>
      <c r="U619" s="157">
        <v>5.0000000000000001E-4</v>
      </c>
      <c r="V619" s="157">
        <v>1.1559999999999999</v>
      </c>
      <c r="W619" s="157">
        <v>5.2709999999999999</v>
      </c>
      <c r="X619" s="149">
        <f t="shared" si="27"/>
        <v>6.0932759999999995</v>
      </c>
      <c r="Y619" s="149"/>
    </row>
    <row r="620" spans="1:25" ht="16">
      <c r="A620" s="149" t="s">
        <v>12</v>
      </c>
      <c r="B620" s="150" t="s">
        <v>864</v>
      </c>
      <c r="C620" s="149" t="s">
        <v>1744</v>
      </c>
      <c r="D620" s="149" t="s">
        <v>3555</v>
      </c>
      <c r="E620" s="149" t="s">
        <v>830</v>
      </c>
      <c r="F620" s="149">
        <v>-25.6175</v>
      </c>
      <c r="G620" s="149">
        <v>134.92277777999999</v>
      </c>
      <c r="H620" s="149">
        <v>205</v>
      </c>
      <c r="I620" s="151">
        <v>42812</v>
      </c>
      <c r="J620" s="149" t="s">
        <v>36</v>
      </c>
      <c r="K620" s="149" t="s">
        <v>419</v>
      </c>
      <c r="L620" s="140" t="s">
        <v>2572</v>
      </c>
      <c r="M620" s="140" t="s">
        <v>2407</v>
      </c>
      <c r="N620" s="140" t="s">
        <v>36</v>
      </c>
      <c r="O620" s="140" t="s">
        <v>2215</v>
      </c>
      <c r="P620" s="140" t="s">
        <v>2215</v>
      </c>
      <c r="Q620" s="140" t="s">
        <v>2702</v>
      </c>
      <c r="R620" s="140" t="s">
        <v>2713</v>
      </c>
      <c r="S620" s="149">
        <f t="shared" si="28"/>
        <v>8.9999999999999998E-4</v>
      </c>
      <c r="T620" s="149">
        <v>0</v>
      </c>
      <c r="U620" s="157">
        <v>8.9999999999999998E-4</v>
      </c>
      <c r="V620" s="157">
        <v>1.2310000000000001</v>
      </c>
      <c r="W620" s="157">
        <v>6.8479999999999999</v>
      </c>
      <c r="X620" s="149">
        <f t="shared" si="27"/>
        <v>8.429888</v>
      </c>
      <c r="Y620" s="149"/>
    </row>
    <row r="621" spans="1:25" ht="16">
      <c r="A621" s="149" t="s">
        <v>12</v>
      </c>
      <c r="B621" s="150" t="s">
        <v>865</v>
      </c>
      <c r="C621" s="149" t="s">
        <v>1744</v>
      </c>
      <c r="D621" s="149" t="s">
        <v>3555</v>
      </c>
      <c r="E621" s="149" t="s">
        <v>830</v>
      </c>
      <c r="F621" s="149">
        <v>-25.6175</v>
      </c>
      <c r="G621" s="149">
        <v>134.92277777999999</v>
      </c>
      <c r="H621" s="149">
        <v>205</v>
      </c>
      <c r="I621" s="151">
        <v>42812</v>
      </c>
      <c r="J621" s="149" t="s">
        <v>36</v>
      </c>
      <c r="K621" s="149" t="s">
        <v>419</v>
      </c>
      <c r="L621" s="140" t="s">
        <v>2572</v>
      </c>
      <c r="M621" s="140" t="s">
        <v>2407</v>
      </c>
      <c r="N621" s="140" t="s">
        <v>36</v>
      </c>
      <c r="O621" s="140" t="s">
        <v>2215</v>
      </c>
      <c r="P621" s="140" t="s">
        <v>2215</v>
      </c>
      <c r="Q621" s="140" t="s">
        <v>2702</v>
      </c>
      <c r="R621" s="140" t="s">
        <v>2713</v>
      </c>
      <c r="S621" s="149">
        <f t="shared" si="28"/>
        <v>6.9999999999999999E-4</v>
      </c>
      <c r="T621" s="149">
        <v>0</v>
      </c>
      <c r="U621" s="157">
        <v>6.9999999999999999E-4</v>
      </c>
      <c r="V621" s="157">
        <v>1.2410000000000001</v>
      </c>
      <c r="W621" s="157">
        <v>5.702</v>
      </c>
      <c r="X621" s="149">
        <f t="shared" si="27"/>
        <v>7.0761820000000002</v>
      </c>
      <c r="Y621" s="149"/>
    </row>
    <row r="622" spans="1:25" ht="16">
      <c r="A622" s="149" t="s">
        <v>12</v>
      </c>
      <c r="B622" s="150" t="s">
        <v>866</v>
      </c>
      <c r="C622" s="149" t="s">
        <v>1744</v>
      </c>
      <c r="D622" s="149" t="s">
        <v>3555</v>
      </c>
      <c r="E622" s="149" t="s">
        <v>830</v>
      </c>
      <c r="F622" s="149">
        <v>-25.6175</v>
      </c>
      <c r="G622" s="149">
        <v>134.92277777999999</v>
      </c>
      <c r="H622" s="149">
        <v>205</v>
      </c>
      <c r="I622" s="151">
        <v>42812</v>
      </c>
      <c r="J622" s="149" t="s">
        <v>36</v>
      </c>
      <c r="K622" s="149" t="s">
        <v>419</v>
      </c>
      <c r="L622" s="140" t="s">
        <v>2572</v>
      </c>
      <c r="M622" s="140" t="s">
        <v>2407</v>
      </c>
      <c r="N622" s="140" t="s">
        <v>36</v>
      </c>
      <c r="O622" s="140" t="s">
        <v>2215</v>
      </c>
      <c r="P622" s="140" t="s">
        <v>2215</v>
      </c>
      <c r="Q622" s="140" t="s">
        <v>2702</v>
      </c>
      <c r="R622" s="140" t="s">
        <v>2712</v>
      </c>
      <c r="S622" s="149">
        <f t="shared" si="28"/>
        <v>6.9999999999999999E-4</v>
      </c>
      <c r="T622" s="149">
        <v>0</v>
      </c>
      <c r="U622" s="157">
        <v>6.9999999999999999E-4</v>
      </c>
      <c r="V622" s="157">
        <v>1.25</v>
      </c>
      <c r="W622" s="157">
        <v>5.6120000000000001</v>
      </c>
      <c r="X622" s="149">
        <f t="shared" si="27"/>
        <v>7.0150000000000006</v>
      </c>
      <c r="Y622" s="149"/>
    </row>
    <row r="623" spans="1:25" ht="16">
      <c r="A623" s="149" t="s">
        <v>12</v>
      </c>
      <c r="B623" s="150" t="s">
        <v>867</v>
      </c>
      <c r="C623" s="149" t="s">
        <v>1744</v>
      </c>
      <c r="D623" s="149" t="s">
        <v>3555</v>
      </c>
      <c r="E623" s="149" t="s">
        <v>564</v>
      </c>
      <c r="F623" s="149">
        <v>-25.999166670000001</v>
      </c>
      <c r="G623" s="149">
        <v>135.33250000000001</v>
      </c>
      <c r="H623" s="149">
        <v>206</v>
      </c>
      <c r="I623" s="151">
        <v>42811</v>
      </c>
      <c r="J623" s="149" t="s">
        <v>36</v>
      </c>
      <c r="K623" s="149" t="s">
        <v>419</v>
      </c>
      <c r="L623" s="149" t="s">
        <v>2569</v>
      </c>
      <c r="M623" s="149" t="s">
        <v>2570</v>
      </c>
      <c r="N623" s="149" t="s">
        <v>2571</v>
      </c>
      <c r="O623" s="140" t="s">
        <v>2369</v>
      </c>
      <c r="P623" s="140" t="s">
        <v>3556</v>
      </c>
      <c r="Q623" s="140" t="s">
        <v>2669</v>
      </c>
      <c r="R623" s="149" t="s">
        <v>2713</v>
      </c>
      <c r="S623" s="149">
        <f t="shared" si="28"/>
        <v>4.7399999999999998E-2</v>
      </c>
      <c r="T623" s="140">
        <v>3.8671999999999998E-2</v>
      </c>
      <c r="U623" s="157">
        <v>8.7279999999999996E-3</v>
      </c>
      <c r="V623" s="157">
        <v>3.2869999999999999</v>
      </c>
      <c r="W623" s="157">
        <v>13.284000000000001</v>
      </c>
      <c r="X623" s="149">
        <f t="shared" si="27"/>
        <v>43.664507999999998</v>
      </c>
      <c r="Y623" s="149"/>
    </row>
    <row r="624" spans="1:25" ht="16">
      <c r="A624" s="149" t="s">
        <v>12</v>
      </c>
      <c r="B624" s="150" t="s">
        <v>869</v>
      </c>
      <c r="C624" s="149" t="s">
        <v>1744</v>
      </c>
      <c r="D624" s="149" t="s">
        <v>3555</v>
      </c>
      <c r="E624" s="149" t="s">
        <v>564</v>
      </c>
      <c r="F624" s="149">
        <v>-25.999166670000001</v>
      </c>
      <c r="G624" s="149">
        <v>135.33250000000001</v>
      </c>
      <c r="H624" s="149">
        <v>206</v>
      </c>
      <c r="I624" s="151">
        <v>42811</v>
      </c>
      <c r="J624" s="149" t="s">
        <v>36</v>
      </c>
      <c r="K624" s="149" t="s">
        <v>419</v>
      </c>
      <c r="L624" s="149" t="s">
        <v>1687</v>
      </c>
      <c r="M624" s="149" t="s">
        <v>2563</v>
      </c>
      <c r="N624" s="149" t="s">
        <v>2568</v>
      </c>
      <c r="O624" s="149" t="s">
        <v>2734</v>
      </c>
      <c r="P624" s="149" t="s">
        <v>2782</v>
      </c>
      <c r="Q624" s="149" t="s">
        <v>2392</v>
      </c>
      <c r="R624" s="149" t="s">
        <v>2713</v>
      </c>
      <c r="S624" s="149">
        <f t="shared" si="28"/>
        <v>6.7000000000000004E-2</v>
      </c>
      <c r="T624" s="140">
        <v>3.8671999999999998E-2</v>
      </c>
      <c r="U624" s="157">
        <v>2.8328000000000006E-2</v>
      </c>
      <c r="V624" s="157">
        <v>5.016</v>
      </c>
      <c r="W624" s="157">
        <v>18.111999999999998</v>
      </c>
      <c r="X624" s="149">
        <f t="shared" si="27"/>
        <v>90.849791999999994</v>
      </c>
      <c r="Y624" s="149"/>
    </row>
    <row r="625" spans="1:25" ht="16">
      <c r="A625" s="149" t="s">
        <v>12</v>
      </c>
      <c r="B625" s="150" t="s">
        <v>870</v>
      </c>
      <c r="C625" s="149" t="s">
        <v>1744</v>
      </c>
      <c r="D625" s="149" t="s">
        <v>3555</v>
      </c>
      <c r="E625" s="149" t="s">
        <v>564</v>
      </c>
      <c r="F625" s="149">
        <v>-25.999166670000001</v>
      </c>
      <c r="G625" s="149">
        <v>135.33250000000001</v>
      </c>
      <c r="H625" s="149">
        <v>206</v>
      </c>
      <c r="I625" s="151">
        <v>42811</v>
      </c>
      <c r="J625" s="149" t="s">
        <v>36</v>
      </c>
      <c r="K625" s="149" t="s">
        <v>419</v>
      </c>
      <c r="L625" s="149" t="s">
        <v>2569</v>
      </c>
      <c r="M625" s="149" t="s">
        <v>2570</v>
      </c>
      <c r="N625" s="149" t="s">
        <v>2571</v>
      </c>
      <c r="O625" s="140" t="s">
        <v>2369</v>
      </c>
      <c r="P625" s="140" t="s">
        <v>2737</v>
      </c>
      <c r="Q625" s="140" t="s">
        <v>2670</v>
      </c>
      <c r="R625" s="140" t="s">
        <v>2713</v>
      </c>
      <c r="S625" s="149">
        <f t="shared" si="28"/>
        <v>6.9000000000000006E-2</v>
      </c>
      <c r="T625" s="140">
        <v>3.8671999999999998E-2</v>
      </c>
      <c r="U625" s="157">
        <v>3.0328000000000008E-2</v>
      </c>
      <c r="V625" s="157">
        <v>4.931</v>
      </c>
      <c r="W625" s="157">
        <v>20.059999999999999</v>
      </c>
      <c r="X625" s="149">
        <f t="shared" si="27"/>
        <v>98.915859999999995</v>
      </c>
      <c r="Y625" s="149"/>
    </row>
    <row r="626" spans="1:25" ht="16">
      <c r="A626" s="149" t="s">
        <v>12</v>
      </c>
      <c r="B626" s="150" t="s">
        <v>871</v>
      </c>
      <c r="C626" s="149" t="s">
        <v>1744</v>
      </c>
      <c r="D626" s="149" t="s">
        <v>3555</v>
      </c>
      <c r="E626" s="149" t="s">
        <v>564</v>
      </c>
      <c r="F626" s="149">
        <v>-25.999166670000001</v>
      </c>
      <c r="G626" s="149">
        <v>135.33250000000001</v>
      </c>
      <c r="H626" s="149">
        <v>206</v>
      </c>
      <c r="I626" s="151">
        <v>42811</v>
      </c>
      <c r="J626" s="149" t="s">
        <v>36</v>
      </c>
      <c r="K626" s="149" t="s">
        <v>419</v>
      </c>
      <c r="L626" s="140" t="s">
        <v>2566</v>
      </c>
      <c r="M626" s="140" t="s">
        <v>2574</v>
      </c>
      <c r="N626" s="140" t="s">
        <v>3191</v>
      </c>
      <c r="O626" s="149" t="s">
        <v>2111</v>
      </c>
      <c r="P626" s="149" t="s">
        <v>2739</v>
      </c>
      <c r="Q626" s="140" t="s">
        <v>2694</v>
      </c>
      <c r="R626" s="140" t="s">
        <v>2713</v>
      </c>
      <c r="S626" s="149">
        <f t="shared" si="28"/>
        <v>5.3600000000000002E-2</v>
      </c>
      <c r="T626" s="140">
        <v>3.8671999999999998E-2</v>
      </c>
      <c r="U626" s="157">
        <v>1.4928000000000004E-2</v>
      </c>
      <c r="V626" s="157">
        <v>3.49</v>
      </c>
      <c r="W626" s="157">
        <v>16.483000000000001</v>
      </c>
      <c r="X626" s="149">
        <f t="shared" si="27"/>
        <v>57.525670000000005</v>
      </c>
      <c r="Y626" s="149"/>
    </row>
    <row r="627" spans="1:25" ht="16">
      <c r="A627" s="149" t="s">
        <v>12</v>
      </c>
      <c r="B627" s="150" t="s">
        <v>872</v>
      </c>
      <c r="C627" s="149" t="s">
        <v>1744</v>
      </c>
      <c r="D627" s="149" t="s">
        <v>3555</v>
      </c>
      <c r="E627" s="149" t="s">
        <v>564</v>
      </c>
      <c r="F627" s="149">
        <v>-25.999166670000001</v>
      </c>
      <c r="G627" s="149">
        <v>135.33250000000001</v>
      </c>
      <c r="H627" s="149">
        <v>206</v>
      </c>
      <c r="I627" s="151">
        <v>42811</v>
      </c>
      <c r="J627" s="149" t="s">
        <v>36</v>
      </c>
      <c r="K627" s="149" t="s">
        <v>419</v>
      </c>
      <c r="L627" s="149" t="s">
        <v>2569</v>
      </c>
      <c r="M627" s="149" t="s">
        <v>2570</v>
      </c>
      <c r="N627" s="149" t="s">
        <v>2571</v>
      </c>
      <c r="O627" s="140" t="s">
        <v>2369</v>
      </c>
      <c r="P627" s="140" t="s">
        <v>3556</v>
      </c>
      <c r="Q627" s="140" t="s">
        <v>2673</v>
      </c>
      <c r="R627" s="140" t="s">
        <v>2713</v>
      </c>
      <c r="S627" s="149">
        <f t="shared" si="28"/>
        <v>4.1000000000000003E-3</v>
      </c>
      <c r="T627" s="149">
        <v>0</v>
      </c>
      <c r="U627" s="157">
        <v>4.1000000000000003E-3</v>
      </c>
      <c r="V627" s="157">
        <v>2.3460000000000001</v>
      </c>
      <c r="W627" s="157">
        <v>10.272</v>
      </c>
      <c r="X627" s="149">
        <f t="shared" si="27"/>
        <v>24.098112</v>
      </c>
      <c r="Y627" s="149"/>
    </row>
    <row r="628" spans="1:25" ht="16">
      <c r="A628" s="149" t="s">
        <v>12</v>
      </c>
      <c r="B628" s="150" t="s">
        <v>475</v>
      </c>
      <c r="C628" s="149" t="s">
        <v>1744</v>
      </c>
      <c r="D628" s="149" t="s">
        <v>3555</v>
      </c>
      <c r="E628" s="149" t="s">
        <v>418</v>
      </c>
      <c r="F628" s="149">
        <v>-26.284722200000001</v>
      </c>
      <c r="G628" s="149">
        <v>136.09805556000001</v>
      </c>
      <c r="H628" s="149">
        <v>201</v>
      </c>
      <c r="I628" s="151">
        <v>42816</v>
      </c>
      <c r="J628" s="149" t="s">
        <v>36</v>
      </c>
      <c r="K628" s="149" t="s">
        <v>419</v>
      </c>
      <c r="L628" s="140" t="s">
        <v>2566</v>
      </c>
      <c r="M628" s="140" t="s">
        <v>2574</v>
      </c>
      <c r="N628" s="140" t="s">
        <v>3191</v>
      </c>
      <c r="O628" s="149" t="s">
        <v>2111</v>
      </c>
      <c r="P628" s="149" t="s">
        <v>2739</v>
      </c>
      <c r="Q628" s="140" t="s">
        <v>2693</v>
      </c>
      <c r="R628" s="140" t="s">
        <v>2713</v>
      </c>
      <c r="S628" s="149">
        <f t="shared" si="28"/>
        <v>5.3699999999999998E-2</v>
      </c>
      <c r="T628" s="140">
        <v>3.8671999999999998E-2</v>
      </c>
      <c r="U628" s="157">
        <v>1.5028E-2</v>
      </c>
      <c r="V628" s="157">
        <v>3.903</v>
      </c>
      <c r="W628" s="157">
        <v>16.472999999999999</v>
      </c>
      <c r="X628" s="149">
        <f t="shared" si="27"/>
        <v>64.294118999999995</v>
      </c>
      <c r="Y628" s="149"/>
    </row>
    <row r="629" spans="1:25" ht="16">
      <c r="A629" s="149" t="s">
        <v>12</v>
      </c>
      <c r="B629" s="150" t="s">
        <v>873</v>
      </c>
      <c r="C629" s="149" t="s">
        <v>1744</v>
      </c>
      <c r="D629" s="149" t="s">
        <v>3555</v>
      </c>
      <c r="E629" s="149" t="s">
        <v>564</v>
      </c>
      <c r="F629" s="149">
        <v>-25.999166670000001</v>
      </c>
      <c r="G629" s="149">
        <v>135.33250000000001</v>
      </c>
      <c r="H629" s="149">
        <v>206</v>
      </c>
      <c r="I629" s="151">
        <v>42811</v>
      </c>
      <c r="J629" s="149" t="s">
        <v>36</v>
      </c>
      <c r="K629" s="149" t="s">
        <v>419</v>
      </c>
      <c r="L629" s="149" t="s">
        <v>1687</v>
      </c>
      <c r="M629" s="149" t="s">
        <v>2563</v>
      </c>
      <c r="N629" s="149" t="s">
        <v>2568</v>
      </c>
      <c r="O629" s="149" t="s">
        <v>2734</v>
      </c>
      <c r="P629" s="149" t="s">
        <v>2782</v>
      </c>
      <c r="Q629" s="149" t="s">
        <v>2392</v>
      </c>
      <c r="R629" s="149" t="s">
        <v>2712</v>
      </c>
      <c r="S629" s="149">
        <f t="shared" si="28"/>
        <v>5.8599999999999999E-2</v>
      </c>
      <c r="T629" s="140">
        <v>3.8671999999999998E-2</v>
      </c>
      <c r="U629" s="157">
        <v>1.9928000000000001E-2</v>
      </c>
      <c r="V629" s="157">
        <v>4.7439999999999998</v>
      </c>
      <c r="W629" s="157">
        <v>18.989999999999998</v>
      </c>
      <c r="X629" s="149">
        <f t="shared" si="27"/>
        <v>90.088559999999987</v>
      </c>
      <c r="Y629" s="149"/>
    </row>
    <row r="630" spans="1:25" ht="16">
      <c r="A630" s="149" t="s">
        <v>12</v>
      </c>
      <c r="B630" s="150" t="s">
        <v>874</v>
      </c>
      <c r="C630" s="149" t="s">
        <v>1744</v>
      </c>
      <c r="D630" s="149" t="s">
        <v>3555</v>
      </c>
      <c r="E630" s="149" t="s">
        <v>564</v>
      </c>
      <c r="F630" s="149">
        <v>-25.999166670000001</v>
      </c>
      <c r="G630" s="149">
        <v>135.33250000000001</v>
      </c>
      <c r="H630" s="149">
        <v>206</v>
      </c>
      <c r="I630" s="151">
        <v>42811</v>
      </c>
      <c r="J630" s="149" t="s">
        <v>36</v>
      </c>
      <c r="K630" s="149" t="s">
        <v>419</v>
      </c>
      <c r="L630" s="149" t="s">
        <v>1687</v>
      </c>
      <c r="M630" s="149" t="s">
        <v>2563</v>
      </c>
      <c r="N630" s="149" t="s">
        <v>2568</v>
      </c>
      <c r="O630" s="149" t="s">
        <v>2734</v>
      </c>
      <c r="P630" s="149" t="s">
        <v>2782</v>
      </c>
      <c r="Q630" s="149" t="s">
        <v>2392</v>
      </c>
      <c r="R630" s="149" t="s">
        <v>2713</v>
      </c>
      <c r="S630" s="149">
        <f t="shared" si="28"/>
        <v>6.9699999999999998E-2</v>
      </c>
      <c r="T630" s="140">
        <v>3.8671999999999998E-2</v>
      </c>
      <c r="U630" s="157">
        <v>3.1028E-2</v>
      </c>
      <c r="V630" s="157">
        <v>5.476</v>
      </c>
      <c r="W630" s="157">
        <v>19.533999999999999</v>
      </c>
      <c r="X630" s="149">
        <f t="shared" si="27"/>
        <v>106.96818399999999</v>
      </c>
      <c r="Y630" s="149"/>
    </row>
    <row r="631" spans="1:25" ht="16">
      <c r="A631" s="149" t="s">
        <v>12</v>
      </c>
      <c r="B631" s="150" t="s">
        <v>875</v>
      </c>
      <c r="C631" s="149" t="s">
        <v>1744</v>
      </c>
      <c r="D631" s="149" t="s">
        <v>3555</v>
      </c>
      <c r="E631" s="149" t="s">
        <v>564</v>
      </c>
      <c r="F631" s="149">
        <v>-25.999166670000001</v>
      </c>
      <c r="G631" s="149">
        <v>135.33250000000001</v>
      </c>
      <c r="H631" s="149">
        <v>206</v>
      </c>
      <c r="I631" s="151">
        <v>42811</v>
      </c>
      <c r="J631" s="149" t="s">
        <v>36</v>
      </c>
      <c r="K631" s="149" t="s">
        <v>419</v>
      </c>
      <c r="L631" s="140" t="s">
        <v>2566</v>
      </c>
      <c r="M631" s="140" t="s">
        <v>2574</v>
      </c>
      <c r="N631" s="140" t="s">
        <v>3191</v>
      </c>
      <c r="O631" s="149" t="s">
        <v>2111</v>
      </c>
      <c r="P631" s="149" t="s">
        <v>2739</v>
      </c>
      <c r="Q631" s="140" t="s">
        <v>2694</v>
      </c>
      <c r="R631" s="140" t="s">
        <v>2713</v>
      </c>
      <c r="S631" s="149">
        <f t="shared" si="28"/>
        <v>5.1799999999999999E-2</v>
      </c>
      <c r="T631" s="140">
        <v>3.8671999999999998E-2</v>
      </c>
      <c r="U631" s="157">
        <v>1.3128000000000001E-2</v>
      </c>
      <c r="V631" s="157">
        <v>3.4740000000000002</v>
      </c>
      <c r="W631" s="157">
        <v>15.356</v>
      </c>
      <c r="X631" s="149">
        <f t="shared" si="27"/>
        <v>53.346744000000001</v>
      </c>
      <c r="Y631" s="149"/>
    </row>
    <row r="632" spans="1:25" ht="16">
      <c r="A632" s="149" t="s">
        <v>12</v>
      </c>
      <c r="B632" s="150" t="s">
        <v>876</v>
      </c>
      <c r="C632" s="149" t="s">
        <v>1744</v>
      </c>
      <c r="D632" s="149" t="s">
        <v>3555</v>
      </c>
      <c r="E632" s="149" t="s">
        <v>564</v>
      </c>
      <c r="F632" s="149">
        <v>-25.999166670000001</v>
      </c>
      <c r="G632" s="149">
        <v>135.33250000000001</v>
      </c>
      <c r="H632" s="149">
        <v>206</v>
      </c>
      <c r="I632" s="151">
        <v>42811</v>
      </c>
      <c r="J632" s="149" t="s">
        <v>36</v>
      </c>
      <c r="K632" s="149" t="s">
        <v>419</v>
      </c>
      <c r="L632" s="149" t="s">
        <v>2569</v>
      </c>
      <c r="M632" s="149" t="s">
        <v>2570</v>
      </c>
      <c r="N632" s="149" t="s">
        <v>2571</v>
      </c>
      <c r="O632" s="140" t="s">
        <v>2369</v>
      </c>
      <c r="P632" s="140" t="s">
        <v>2737</v>
      </c>
      <c r="Q632" s="140" t="s">
        <v>2670</v>
      </c>
      <c r="R632" s="140" t="s">
        <v>2712</v>
      </c>
      <c r="S632" s="149">
        <f t="shared" si="28"/>
        <v>6.1699999999999998E-2</v>
      </c>
      <c r="T632" s="140">
        <v>3.8671999999999998E-2</v>
      </c>
      <c r="U632" s="157">
        <v>2.3028E-2</v>
      </c>
      <c r="V632" s="157">
        <v>4.3620000000000001</v>
      </c>
      <c r="W632" s="157">
        <v>16.385999999999999</v>
      </c>
      <c r="X632" s="149">
        <f t="shared" si="27"/>
        <v>71.475731999999994</v>
      </c>
      <c r="Y632" s="149"/>
    </row>
    <row r="633" spans="1:25" ht="16">
      <c r="A633" s="149" t="s">
        <v>12</v>
      </c>
      <c r="B633" s="150" t="s">
        <v>877</v>
      </c>
      <c r="C633" s="149" t="s">
        <v>1744</v>
      </c>
      <c r="D633" s="149" t="s">
        <v>3555</v>
      </c>
      <c r="E633" s="149" t="s">
        <v>564</v>
      </c>
      <c r="F633" s="149">
        <v>-25.999166670000001</v>
      </c>
      <c r="G633" s="149">
        <v>135.33250000000001</v>
      </c>
      <c r="H633" s="149">
        <v>206</v>
      </c>
      <c r="I633" s="151">
        <v>42811</v>
      </c>
      <c r="J633" s="149" t="s">
        <v>36</v>
      </c>
      <c r="K633" s="149" t="s">
        <v>419</v>
      </c>
      <c r="L633" s="140" t="s">
        <v>2566</v>
      </c>
      <c r="M633" s="140" t="s">
        <v>2574</v>
      </c>
      <c r="N633" s="140" t="s">
        <v>3191</v>
      </c>
      <c r="O633" s="149" t="s">
        <v>2111</v>
      </c>
      <c r="P633" s="149" t="s">
        <v>2739</v>
      </c>
      <c r="Q633" s="140" t="s">
        <v>2692</v>
      </c>
      <c r="R633" s="140" t="s">
        <v>2713</v>
      </c>
      <c r="S633" s="149">
        <f t="shared" si="28"/>
        <v>4.7999999999999996E-3</v>
      </c>
      <c r="T633" s="149">
        <v>0</v>
      </c>
      <c r="U633" s="157">
        <v>4.7999999999999996E-3</v>
      </c>
      <c r="V633" s="157">
        <v>2.492</v>
      </c>
      <c r="W633" s="157">
        <v>11.285</v>
      </c>
      <c r="X633" s="149">
        <f t="shared" si="27"/>
        <v>28.122219999999999</v>
      </c>
      <c r="Y633" s="149"/>
    </row>
    <row r="634" spans="1:25" ht="16">
      <c r="A634" s="149" t="s">
        <v>12</v>
      </c>
      <c r="B634" s="150" t="s">
        <v>878</v>
      </c>
      <c r="C634" s="149" t="s">
        <v>1744</v>
      </c>
      <c r="D634" s="149" t="s">
        <v>3555</v>
      </c>
      <c r="E634" s="149" t="s">
        <v>564</v>
      </c>
      <c r="F634" s="149">
        <v>-25.999166670000001</v>
      </c>
      <c r="G634" s="149">
        <v>135.33250000000001</v>
      </c>
      <c r="H634" s="149">
        <v>206</v>
      </c>
      <c r="I634" s="151">
        <v>42811</v>
      </c>
      <c r="J634" s="149" t="s">
        <v>36</v>
      </c>
      <c r="K634" s="149" t="s">
        <v>419</v>
      </c>
      <c r="L634" s="149" t="s">
        <v>2569</v>
      </c>
      <c r="M634" s="149" t="s">
        <v>2570</v>
      </c>
      <c r="N634" s="149" t="s">
        <v>2571</v>
      </c>
      <c r="O634" s="140" t="s">
        <v>2369</v>
      </c>
      <c r="P634" s="140" t="s">
        <v>3556</v>
      </c>
      <c r="Q634" s="140" t="s">
        <v>2673</v>
      </c>
      <c r="R634" s="140" t="s">
        <v>2713</v>
      </c>
      <c r="S634" s="149">
        <f t="shared" si="28"/>
        <v>3.5000000000000001E-3</v>
      </c>
      <c r="T634" s="149">
        <v>0</v>
      </c>
      <c r="U634" s="157">
        <v>3.5000000000000001E-3</v>
      </c>
      <c r="V634" s="157">
        <v>2.2120000000000002</v>
      </c>
      <c r="W634" s="157">
        <v>9.1470000000000002</v>
      </c>
      <c r="X634" s="149">
        <f t="shared" si="27"/>
        <v>20.233164000000002</v>
      </c>
      <c r="Y634" s="149"/>
    </row>
    <row r="635" spans="1:25" ht="16">
      <c r="A635" s="149" t="s">
        <v>12</v>
      </c>
      <c r="B635" s="150" t="s">
        <v>880</v>
      </c>
      <c r="C635" s="149" t="s">
        <v>1744</v>
      </c>
      <c r="D635" s="149" t="s">
        <v>3555</v>
      </c>
      <c r="E635" s="149" t="s">
        <v>564</v>
      </c>
      <c r="F635" s="149">
        <v>-25.999166670000001</v>
      </c>
      <c r="G635" s="149">
        <v>135.33250000000001</v>
      </c>
      <c r="H635" s="149">
        <v>206</v>
      </c>
      <c r="I635" s="151">
        <v>42811</v>
      </c>
      <c r="J635" s="149" t="s">
        <v>36</v>
      </c>
      <c r="K635" s="149" t="s">
        <v>419</v>
      </c>
      <c r="L635" s="149" t="s">
        <v>1687</v>
      </c>
      <c r="M635" s="149" t="s">
        <v>2563</v>
      </c>
      <c r="N635" s="149" t="s">
        <v>2568</v>
      </c>
      <c r="O635" s="149" t="s">
        <v>2734</v>
      </c>
      <c r="P635" s="149" t="s">
        <v>2782</v>
      </c>
      <c r="Q635" s="149" t="s">
        <v>2392</v>
      </c>
      <c r="R635" s="149" t="s">
        <v>2713</v>
      </c>
      <c r="S635" s="149">
        <f t="shared" si="28"/>
        <v>6.8199999999999997E-2</v>
      </c>
      <c r="T635" s="140">
        <v>3.8671999999999998E-2</v>
      </c>
      <c r="U635" s="157">
        <v>2.9527999999999999E-2</v>
      </c>
      <c r="V635" s="157">
        <v>4.8739999999999997</v>
      </c>
      <c r="W635" s="157">
        <v>18.385000000000002</v>
      </c>
      <c r="X635" s="149">
        <f t="shared" si="27"/>
        <v>89.608490000000003</v>
      </c>
      <c r="Y635" s="149"/>
    </row>
    <row r="636" spans="1:25" ht="16">
      <c r="A636" s="149" t="s">
        <v>12</v>
      </c>
      <c r="B636" s="150" t="s">
        <v>881</v>
      </c>
      <c r="C636" s="149" t="s">
        <v>1744</v>
      </c>
      <c r="D636" s="149" t="s">
        <v>3555</v>
      </c>
      <c r="E636" s="149" t="s">
        <v>564</v>
      </c>
      <c r="F636" s="149">
        <v>-25.999166670000001</v>
      </c>
      <c r="G636" s="149">
        <v>135.33250000000001</v>
      </c>
      <c r="H636" s="149">
        <v>206</v>
      </c>
      <c r="I636" s="151">
        <v>42811</v>
      </c>
      <c r="J636" s="149" t="s">
        <v>36</v>
      </c>
      <c r="K636" s="149" t="s">
        <v>419</v>
      </c>
      <c r="L636" s="149" t="s">
        <v>2569</v>
      </c>
      <c r="M636" s="149" t="s">
        <v>2570</v>
      </c>
      <c r="N636" s="149" t="s">
        <v>2571</v>
      </c>
      <c r="O636" s="140" t="s">
        <v>2369</v>
      </c>
      <c r="P636" s="140" t="s">
        <v>3556</v>
      </c>
      <c r="Q636" s="140" t="s">
        <v>2673</v>
      </c>
      <c r="R636" s="140" t="s">
        <v>2713</v>
      </c>
      <c r="S636" s="149">
        <f t="shared" si="28"/>
        <v>3.2000000000000002E-3</v>
      </c>
      <c r="T636" s="149">
        <v>0</v>
      </c>
      <c r="U636" s="157">
        <v>3.2000000000000002E-3</v>
      </c>
      <c r="V636" s="157">
        <v>2.1549999999999998</v>
      </c>
      <c r="W636" s="157">
        <v>9.7959999999999994</v>
      </c>
      <c r="X636" s="149">
        <f t="shared" si="27"/>
        <v>21.110379999999996</v>
      </c>
      <c r="Y636" s="149"/>
    </row>
    <row r="637" spans="1:25" ht="16">
      <c r="A637" s="149" t="s">
        <v>12</v>
      </c>
      <c r="B637" s="150" t="s">
        <v>882</v>
      </c>
      <c r="C637" s="149" t="s">
        <v>1744</v>
      </c>
      <c r="D637" s="149" t="s">
        <v>3555</v>
      </c>
      <c r="E637" s="149" t="s">
        <v>564</v>
      </c>
      <c r="F637" s="149">
        <v>-25.999166670000001</v>
      </c>
      <c r="G637" s="149">
        <v>135.33250000000001</v>
      </c>
      <c r="H637" s="149">
        <v>206</v>
      </c>
      <c r="I637" s="151">
        <v>42811</v>
      </c>
      <c r="J637" s="149" t="s">
        <v>36</v>
      </c>
      <c r="K637" s="149" t="s">
        <v>419</v>
      </c>
      <c r="L637" s="140" t="s">
        <v>2569</v>
      </c>
      <c r="M637" s="140" t="s">
        <v>2570</v>
      </c>
      <c r="N637" s="140" t="s">
        <v>2571</v>
      </c>
      <c r="O637" s="140" t="s">
        <v>2369</v>
      </c>
      <c r="P637" s="140" t="s">
        <v>3556</v>
      </c>
      <c r="Q637" s="140" t="s">
        <v>2678</v>
      </c>
      <c r="R637" s="140" t="s">
        <v>2712</v>
      </c>
      <c r="S637" s="149">
        <f t="shared" si="28"/>
        <v>1.8E-3</v>
      </c>
      <c r="T637" s="149">
        <v>0</v>
      </c>
      <c r="U637" s="157">
        <v>1.8E-3</v>
      </c>
      <c r="V637" s="157">
        <v>1.9930000000000001</v>
      </c>
      <c r="W637" s="157">
        <v>7.3159999999999998</v>
      </c>
      <c r="X637" s="149">
        <f t="shared" si="27"/>
        <v>14.580788</v>
      </c>
      <c r="Y637" s="149"/>
    </row>
    <row r="638" spans="1:25" ht="16">
      <c r="A638" s="149" t="s">
        <v>12</v>
      </c>
      <c r="B638" s="150" t="s">
        <v>476</v>
      </c>
      <c r="C638" s="149" t="s">
        <v>1744</v>
      </c>
      <c r="D638" s="149" t="s">
        <v>3555</v>
      </c>
      <c r="E638" s="149" t="s">
        <v>418</v>
      </c>
      <c r="F638" s="149">
        <v>-26.284722200000001</v>
      </c>
      <c r="G638" s="149">
        <v>136.09805556000001</v>
      </c>
      <c r="H638" s="149">
        <v>201</v>
      </c>
      <c r="I638" s="151">
        <v>42816</v>
      </c>
      <c r="J638" s="149" t="s">
        <v>36</v>
      </c>
      <c r="K638" s="149" t="s">
        <v>419</v>
      </c>
      <c r="L638" s="140" t="s">
        <v>2566</v>
      </c>
      <c r="M638" s="140" t="s">
        <v>2574</v>
      </c>
      <c r="N638" s="140" t="s">
        <v>3191</v>
      </c>
      <c r="O638" s="149" t="s">
        <v>2111</v>
      </c>
      <c r="P638" s="149" t="s">
        <v>2739</v>
      </c>
      <c r="Q638" s="140" t="s">
        <v>2692</v>
      </c>
      <c r="R638" s="140" t="s">
        <v>2713</v>
      </c>
      <c r="S638" s="149">
        <f t="shared" si="28"/>
        <v>3.0000000000000001E-3</v>
      </c>
      <c r="T638" s="149">
        <v>0</v>
      </c>
      <c r="U638" s="157">
        <v>3.0000000000000001E-3</v>
      </c>
      <c r="V638" s="157">
        <v>2.1389999999999998</v>
      </c>
      <c r="W638" s="157">
        <v>8.8309999999999995</v>
      </c>
      <c r="X638" s="149">
        <f t="shared" si="27"/>
        <v>18.889508999999997</v>
      </c>
      <c r="Y638" s="149"/>
    </row>
    <row r="639" spans="1:25" ht="16">
      <c r="A639" s="149" t="s">
        <v>12</v>
      </c>
      <c r="B639" s="150" t="s">
        <v>883</v>
      </c>
      <c r="C639" s="149" t="s">
        <v>1744</v>
      </c>
      <c r="D639" s="149" t="s">
        <v>3555</v>
      </c>
      <c r="E639" s="149" t="s">
        <v>564</v>
      </c>
      <c r="F639" s="149">
        <v>-25.999166670000001</v>
      </c>
      <c r="G639" s="149">
        <v>135.33250000000001</v>
      </c>
      <c r="H639" s="149">
        <v>206</v>
      </c>
      <c r="I639" s="151">
        <v>42811</v>
      </c>
      <c r="J639" s="149" t="s">
        <v>36</v>
      </c>
      <c r="K639" s="149" t="s">
        <v>419</v>
      </c>
      <c r="L639" s="149" t="s">
        <v>2569</v>
      </c>
      <c r="M639" s="149" t="s">
        <v>2570</v>
      </c>
      <c r="N639" s="149" t="s">
        <v>2571</v>
      </c>
      <c r="O639" s="140" t="s">
        <v>2369</v>
      </c>
      <c r="P639" s="140" t="s">
        <v>3556</v>
      </c>
      <c r="Q639" s="140" t="s">
        <v>2673</v>
      </c>
      <c r="R639" s="140" t="s">
        <v>2713</v>
      </c>
      <c r="S639" s="149">
        <f t="shared" si="28"/>
        <v>3.7000000000000002E-3</v>
      </c>
      <c r="T639" s="149">
        <v>0</v>
      </c>
      <c r="U639" s="157">
        <v>3.7000000000000002E-3</v>
      </c>
      <c r="V639" s="157">
        <v>2.3410000000000002</v>
      </c>
      <c r="W639" s="157">
        <v>9.7479999999999993</v>
      </c>
      <c r="X639" s="149">
        <f t="shared" si="27"/>
        <v>22.820067999999999</v>
      </c>
      <c r="Y639" s="149"/>
    </row>
    <row r="640" spans="1:25" ht="16">
      <c r="A640" s="149" t="s">
        <v>12</v>
      </c>
      <c r="B640" s="150" t="s">
        <v>2092</v>
      </c>
      <c r="C640" s="149" t="s">
        <v>1744</v>
      </c>
      <c r="D640" s="149" t="s">
        <v>3555</v>
      </c>
      <c r="E640" s="149" t="s">
        <v>564</v>
      </c>
      <c r="F640" s="149">
        <v>-25.999166670000001</v>
      </c>
      <c r="G640" s="149">
        <v>135.33250000000001</v>
      </c>
      <c r="H640" s="149">
        <v>206</v>
      </c>
      <c r="I640" s="151">
        <v>42811</v>
      </c>
      <c r="J640" s="149" t="s">
        <v>36</v>
      </c>
      <c r="K640" s="149" t="s">
        <v>419</v>
      </c>
      <c r="L640" s="155" t="s">
        <v>2566</v>
      </c>
      <c r="M640" s="155" t="s">
        <v>2567</v>
      </c>
      <c r="N640" s="155" t="s">
        <v>2668</v>
      </c>
      <c r="O640" s="155" t="s">
        <v>2105</v>
      </c>
      <c r="P640" s="140" t="s">
        <v>2105</v>
      </c>
      <c r="Q640" s="140" t="s">
        <v>2387</v>
      </c>
      <c r="R640" s="155" t="s">
        <v>2712</v>
      </c>
      <c r="S640" s="149">
        <f t="shared" si="28"/>
        <v>2.9999999999999997E-4</v>
      </c>
      <c r="T640" s="149">
        <v>0</v>
      </c>
      <c r="U640" s="157">
        <v>2.9999999999999997E-4</v>
      </c>
      <c r="V640" s="157">
        <v>1.206</v>
      </c>
      <c r="W640" s="157">
        <v>4.8339999999999996</v>
      </c>
      <c r="X640" s="149">
        <f t="shared" ref="X640:X685" si="29">V640*W640</f>
        <v>5.8298039999999993</v>
      </c>
      <c r="Y640" s="149"/>
    </row>
    <row r="641" spans="1:25" ht="16">
      <c r="A641" s="149" t="s">
        <v>12</v>
      </c>
      <c r="B641" s="150" t="s">
        <v>477</v>
      </c>
      <c r="C641" s="149" t="s">
        <v>1744</v>
      </c>
      <c r="D641" s="149" t="s">
        <v>3555</v>
      </c>
      <c r="E641" s="149" t="s">
        <v>418</v>
      </c>
      <c r="F641" s="149">
        <v>-26.284722200000001</v>
      </c>
      <c r="G641" s="149">
        <v>136.09805556000001</v>
      </c>
      <c r="H641" s="149">
        <v>201</v>
      </c>
      <c r="I641" s="151">
        <v>42816</v>
      </c>
      <c r="J641" s="149" t="s">
        <v>36</v>
      </c>
      <c r="K641" s="149" t="s">
        <v>419</v>
      </c>
      <c r="L641" s="140" t="s">
        <v>2566</v>
      </c>
      <c r="M641" s="140" t="s">
        <v>2574</v>
      </c>
      <c r="N641" s="140" t="s">
        <v>3191</v>
      </c>
      <c r="O641" s="149" t="s">
        <v>2111</v>
      </c>
      <c r="P641" s="149" t="s">
        <v>2739</v>
      </c>
      <c r="Q641" s="140" t="s">
        <v>2692</v>
      </c>
      <c r="R641" s="140" t="s">
        <v>2713</v>
      </c>
      <c r="S641" s="149">
        <f t="shared" si="28"/>
        <v>4.5999999999999999E-3</v>
      </c>
      <c r="T641" s="149">
        <v>0</v>
      </c>
      <c r="U641" s="157">
        <v>4.5999999999999999E-3</v>
      </c>
      <c r="V641" s="157">
        <v>2.4350000000000001</v>
      </c>
      <c r="W641" s="157">
        <v>10.199</v>
      </c>
      <c r="X641" s="149">
        <f t="shared" si="29"/>
        <v>24.834565000000001</v>
      </c>
      <c r="Y641" s="149"/>
    </row>
    <row r="642" spans="1:25" ht="16">
      <c r="A642" s="149" t="s">
        <v>12</v>
      </c>
      <c r="B642" s="150" t="s">
        <v>478</v>
      </c>
      <c r="C642" s="149" t="s">
        <v>1744</v>
      </c>
      <c r="D642" s="149" t="s">
        <v>3555</v>
      </c>
      <c r="E642" s="149" t="s">
        <v>466</v>
      </c>
      <c r="F642" s="149">
        <v>-26.423333299999999</v>
      </c>
      <c r="G642" s="149">
        <v>135.51333299999999</v>
      </c>
      <c r="H642" s="149">
        <v>201</v>
      </c>
      <c r="I642" s="151">
        <v>42816</v>
      </c>
      <c r="J642" s="149" t="s">
        <v>36</v>
      </c>
      <c r="K642" s="149" t="s">
        <v>419</v>
      </c>
      <c r="L642" s="155" t="s">
        <v>2566</v>
      </c>
      <c r="M642" s="155" t="s">
        <v>2567</v>
      </c>
      <c r="N642" s="155" t="s">
        <v>2668</v>
      </c>
      <c r="O642" s="155" t="s">
        <v>2105</v>
      </c>
      <c r="P642" s="140" t="s">
        <v>2105</v>
      </c>
      <c r="Q642" s="140" t="s">
        <v>2387</v>
      </c>
      <c r="R642" s="155" t="s">
        <v>2713</v>
      </c>
      <c r="S642" s="149">
        <f t="shared" si="28"/>
        <v>5.9999999999999995E-4</v>
      </c>
      <c r="T642" s="149">
        <v>0</v>
      </c>
      <c r="U642" s="157">
        <v>5.9999999999999995E-4</v>
      </c>
      <c r="V642" s="157">
        <v>1.4370000000000001</v>
      </c>
      <c r="W642" s="157">
        <v>6.4779999999999998</v>
      </c>
      <c r="X642" s="149">
        <f t="shared" si="29"/>
        <v>9.3088859999999993</v>
      </c>
      <c r="Y642" s="149"/>
    </row>
    <row r="643" spans="1:25" ht="16">
      <c r="A643" s="149" t="s">
        <v>12</v>
      </c>
      <c r="B643" s="150" t="s">
        <v>479</v>
      </c>
      <c r="C643" s="149" t="s">
        <v>1744</v>
      </c>
      <c r="D643" s="149" t="s">
        <v>3555</v>
      </c>
      <c r="E643" s="149" t="s">
        <v>466</v>
      </c>
      <c r="F643" s="149">
        <v>-26.423333299999999</v>
      </c>
      <c r="G643" s="149">
        <v>135.51333299999999</v>
      </c>
      <c r="H643" s="149">
        <v>201</v>
      </c>
      <c r="I643" s="151">
        <v>42816</v>
      </c>
      <c r="J643" s="149" t="s">
        <v>36</v>
      </c>
      <c r="K643" s="149" t="s">
        <v>419</v>
      </c>
      <c r="L643" s="155" t="s">
        <v>2566</v>
      </c>
      <c r="M643" s="155" t="s">
        <v>2567</v>
      </c>
      <c r="N643" s="155" t="s">
        <v>2668</v>
      </c>
      <c r="O643" s="155" t="s">
        <v>2105</v>
      </c>
      <c r="P643" s="140" t="s">
        <v>2105</v>
      </c>
      <c r="Q643" s="140" t="s">
        <v>2387</v>
      </c>
      <c r="R643" s="155" t="s">
        <v>2713</v>
      </c>
      <c r="S643" s="149">
        <f t="shared" si="28"/>
        <v>6.9999999999999999E-4</v>
      </c>
      <c r="T643" s="149">
        <v>0</v>
      </c>
      <c r="U643" s="157">
        <v>6.9999999999999999E-4</v>
      </c>
      <c r="V643" s="157">
        <v>1.88</v>
      </c>
      <c r="W643" s="157">
        <v>8.2799999999999994</v>
      </c>
      <c r="X643" s="149">
        <f t="shared" si="29"/>
        <v>15.566399999999998</v>
      </c>
      <c r="Y643" s="149"/>
    </row>
    <row r="644" spans="1:25" ht="16">
      <c r="A644" s="149" t="s">
        <v>12</v>
      </c>
      <c r="B644" s="150" t="s">
        <v>427</v>
      </c>
      <c r="C644" s="149" t="s">
        <v>1744</v>
      </c>
      <c r="D644" s="149" t="s">
        <v>3555</v>
      </c>
      <c r="E644" s="149" t="s">
        <v>426</v>
      </c>
      <c r="F644" s="149">
        <v>-26.458888890000001</v>
      </c>
      <c r="G644" s="149">
        <v>135.41277778</v>
      </c>
      <c r="H644" s="149">
        <v>202</v>
      </c>
      <c r="I644" s="151">
        <v>42815</v>
      </c>
      <c r="J644" s="149" t="s">
        <v>36</v>
      </c>
      <c r="K644" s="149" t="s">
        <v>419</v>
      </c>
      <c r="L644" s="140" t="s">
        <v>2566</v>
      </c>
      <c r="M644" s="140" t="s">
        <v>2567</v>
      </c>
      <c r="N644" s="140" t="s">
        <v>2668</v>
      </c>
      <c r="O644" s="140" t="s">
        <v>2600</v>
      </c>
      <c r="P644" s="149" t="s">
        <v>2735</v>
      </c>
      <c r="Q644" s="140" t="s">
        <v>2667</v>
      </c>
      <c r="R644" s="149" t="s">
        <v>2713</v>
      </c>
      <c r="S644" s="149">
        <f t="shared" si="28"/>
        <v>4.2799999999999998E-2</v>
      </c>
      <c r="T644" s="140">
        <v>3.8671999999999998E-2</v>
      </c>
      <c r="U644" s="157">
        <v>4.1279999999999997E-3</v>
      </c>
      <c r="V644" s="157">
        <v>2.3109999999999999</v>
      </c>
      <c r="W644" s="157">
        <v>9.9169999999999998</v>
      </c>
      <c r="X644" s="149">
        <f t="shared" si="29"/>
        <v>22.918187</v>
      </c>
      <c r="Y644" s="149"/>
    </row>
    <row r="645" spans="1:25" ht="16">
      <c r="A645" s="149" t="s">
        <v>12</v>
      </c>
      <c r="B645" s="150" t="s">
        <v>480</v>
      </c>
      <c r="C645" s="149" t="s">
        <v>1744</v>
      </c>
      <c r="D645" s="149" t="s">
        <v>3555</v>
      </c>
      <c r="E645" s="149" t="s">
        <v>466</v>
      </c>
      <c r="F645" s="149">
        <v>-26.423333299999999</v>
      </c>
      <c r="G645" s="149">
        <v>135.51333299999999</v>
      </c>
      <c r="H645" s="149">
        <v>201</v>
      </c>
      <c r="I645" s="151">
        <v>42816</v>
      </c>
      <c r="J645" s="149" t="s">
        <v>36</v>
      </c>
      <c r="K645" s="149" t="s">
        <v>419</v>
      </c>
      <c r="L645" s="155" t="s">
        <v>2566</v>
      </c>
      <c r="M645" s="155" t="s">
        <v>2567</v>
      </c>
      <c r="N645" s="155" t="s">
        <v>2668</v>
      </c>
      <c r="O645" s="140" t="s">
        <v>2600</v>
      </c>
      <c r="P645" s="149" t="s">
        <v>2735</v>
      </c>
      <c r="Q645" s="140" t="s">
        <v>2709</v>
      </c>
      <c r="R645" s="158" t="s">
        <v>2713</v>
      </c>
      <c r="S645" s="149">
        <f t="shared" si="28"/>
        <v>1.1000000000000001E-3</v>
      </c>
      <c r="T645" s="149">
        <v>0</v>
      </c>
      <c r="U645" s="157">
        <v>1.1000000000000001E-3</v>
      </c>
      <c r="V645" s="157">
        <v>1.6339999999999999</v>
      </c>
      <c r="W645" s="157">
        <v>7.0449999999999999</v>
      </c>
      <c r="X645" s="149">
        <f t="shared" si="29"/>
        <v>11.511529999999999</v>
      </c>
      <c r="Y645" s="149"/>
    </row>
    <row r="646" spans="1:25" ht="16">
      <c r="A646" s="149" t="s">
        <v>12</v>
      </c>
      <c r="B646" s="150" t="s">
        <v>481</v>
      </c>
      <c r="C646" s="149" t="s">
        <v>1744</v>
      </c>
      <c r="D646" s="149" t="s">
        <v>3555</v>
      </c>
      <c r="E646" s="149" t="s">
        <v>466</v>
      </c>
      <c r="F646" s="149">
        <v>-26.423333299999999</v>
      </c>
      <c r="G646" s="149">
        <v>135.51333299999999</v>
      </c>
      <c r="H646" s="149">
        <v>201</v>
      </c>
      <c r="I646" s="151">
        <v>42816</v>
      </c>
      <c r="J646" s="149" t="s">
        <v>36</v>
      </c>
      <c r="K646" s="149" t="s">
        <v>419</v>
      </c>
      <c r="L646" s="155" t="s">
        <v>2566</v>
      </c>
      <c r="M646" s="155" t="s">
        <v>2567</v>
      </c>
      <c r="N646" s="155" t="s">
        <v>2668</v>
      </c>
      <c r="O646" s="140" t="s">
        <v>2600</v>
      </c>
      <c r="P646" s="149" t="s">
        <v>2735</v>
      </c>
      <c r="Q646" s="140" t="s">
        <v>2709</v>
      </c>
      <c r="R646" s="158" t="s">
        <v>2713</v>
      </c>
      <c r="S646" s="149">
        <f t="shared" si="28"/>
        <v>1.5E-3</v>
      </c>
      <c r="T646" s="149">
        <v>0</v>
      </c>
      <c r="U646" s="157">
        <v>1.5E-3</v>
      </c>
      <c r="V646" s="157">
        <v>1.849</v>
      </c>
      <c r="W646" s="157">
        <v>6.7640000000000002</v>
      </c>
      <c r="X646" s="149">
        <f t="shared" si="29"/>
        <v>12.506636</v>
      </c>
      <c r="Y646" s="149"/>
    </row>
    <row r="647" spans="1:25" ht="16">
      <c r="A647" s="149" t="s">
        <v>12</v>
      </c>
      <c r="B647" s="150" t="s">
        <v>482</v>
      </c>
      <c r="C647" s="149" t="s">
        <v>1744</v>
      </c>
      <c r="D647" s="149" t="s">
        <v>3555</v>
      </c>
      <c r="E647" s="149" t="s">
        <v>466</v>
      </c>
      <c r="F647" s="149">
        <v>-26.423333299999999</v>
      </c>
      <c r="G647" s="149">
        <v>135.51333299999999</v>
      </c>
      <c r="H647" s="149">
        <v>201</v>
      </c>
      <c r="I647" s="151">
        <v>42816</v>
      </c>
      <c r="J647" s="149" t="s">
        <v>36</v>
      </c>
      <c r="K647" s="149" t="s">
        <v>419</v>
      </c>
      <c r="L647" s="140" t="s">
        <v>2566</v>
      </c>
      <c r="M647" s="140" t="s">
        <v>2567</v>
      </c>
      <c r="N647" s="140" t="s">
        <v>2668</v>
      </c>
      <c r="O647" s="140" t="s">
        <v>2105</v>
      </c>
      <c r="P647" s="140" t="s">
        <v>2105</v>
      </c>
      <c r="Q647" s="140" t="s">
        <v>2387</v>
      </c>
      <c r="R647" s="140" t="s">
        <v>2713</v>
      </c>
      <c r="S647" s="149">
        <f t="shared" si="28"/>
        <v>1.6999999999999999E-3</v>
      </c>
      <c r="T647" s="149">
        <v>0</v>
      </c>
      <c r="U647" s="157">
        <v>1.6999999999999999E-3</v>
      </c>
      <c r="V647" s="157">
        <v>1.4279999999999999</v>
      </c>
      <c r="W647" s="157">
        <v>5.68</v>
      </c>
      <c r="X647" s="149">
        <f t="shared" si="29"/>
        <v>8.1110399999999991</v>
      </c>
      <c r="Y647" s="149"/>
    </row>
    <row r="648" spans="1:25" ht="16">
      <c r="A648" s="149" t="s">
        <v>12</v>
      </c>
      <c r="B648" s="150" t="s">
        <v>483</v>
      </c>
      <c r="C648" s="149" t="s">
        <v>1744</v>
      </c>
      <c r="D648" s="149" t="s">
        <v>3555</v>
      </c>
      <c r="E648" s="149" t="s">
        <v>466</v>
      </c>
      <c r="F648" s="149">
        <v>-26.423333299999999</v>
      </c>
      <c r="G648" s="149">
        <v>135.51333299999999</v>
      </c>
      <c r="H648" s="149">
        <v>201</v>
      </c>
      <c r="I648" s="151">
        <v>42816</v>
      </c>
      <c r="J648" s="149" t="s">
        <v>36</v>
      </c>
      <c r="K648" s="149" t="s">
        <v>419</v>
      </c>
      <c r="L648" s="155" t="s">
        <v>2566</v>
      </c>
      <c r="M648" s="155" t="s">
        <v>2567</v>
      </c>
      <c r="N648" s="155" t="s">
        <v>2668</v>
      </c>
      <c r="O648" s="140" t="s">
        <v>2600</v>
      </c>
      <c r="P648" s="149" t="s">
        <v>2735</v>
      </c>
      <c r="Q648" s="140" t="s">
        <v>2709</v>
      </c>
      <c r="R648" s="158" t="s">
        <v>2713</v>
      </c>
      <c r="S648" s="149">
        <f t="shared" si="28"/>
        <v>1E-3</v>
      </c>
      <c r="T648" s="149">
        <v>0</v>
      </c>
      <c r="U648" s="157">
        <v>1E-3</v>
      </c>
      <c r="V648" s="157">
        <v>1.472</v>
      </c>
      <c r="W648" s="157">
        <v>7.7910000000000004</v>
      </c>
      <c r="X648" s="149">
        <f t="shared" si="29"/>
        <v>11.468352000000001</v>
      </c>
      <c r="Y648" s="149"/>
    </row>
    <row r="649" spans="1:25" ht="16">
      <c r="A649" s="149" t="s">
        <v>12</v>
      </c>
      <c r="B649" s="150" t="s">
        <v>484</v>
      </c>
      <c r="C649" s="149" t="s">
        <v>1744</v>
      </c>
      <c r="D649" s="149" t="s">
        <v>3555</v>
      </c>
      <c r="E649" s="149" t="s">
        <v>466</v>
      </c>
      <c r="F649" s="149">
        <v>-26.423333299999999</v>
      </c>
      <c r="G649" s="149">
        <v>135.51333299999999</v>
      </c>
      <c r="H649" s="149">
        <v>201</v>
      </c>
      <c r="I649" s="151">
        <v>42816</v>
      </c>
      <c r="J649" s="149" t="s">
        <v>36</v>
      </c>
      <c r="K649" s="149" t="s">
        <v>419</v>
      </c>
      <c r="L649" s="155" t="s">
        <v>2566</v>
      </c>
      <c r="M649" s="155" t="s">
        <v>2567</v>
      </c>
      <c r="N649" s="155" t="s">
        <v>2668</v>
      </c>
      <c r="O649" s="155" t="s">
        <v>2105</v>
      </c>
      <c r="P649" s="140" t="s">
        <v>2105</v>
      </c>
      <c r="Q649" s="140" t="s">
        <v>2387</v>
      </c>
      <c r="R649" s="155" t="s">
        <v>2713</v>
      </c>
      <c r="S649" s="149">
        <f t="shared" si="28"/>
        <v>6.9999999999999999E-4</v>
      </c>
      <c r="T649" s="149">
        <v>0</v>
      </c>
      <c r="U649" s="157">
        <v>6.9999999999999999E-4</v>
      </c>
      <c r="V649" s="157">
        <v>1.641</v>
      </c>
      <c r="W649" s="157">
        <v>6.91</v>
      </c>
      <c r="X649" s="149">
        <f t="shared" si="29"/>
        <v>11.339310000000001</v>
      </c>
      <c r="Y649" s="149"/>
    </row>
    <row r="650" spans="1:25" ht="16">
      <c r="A650" s="149" t="s">
        <v>12</v>
      </c>
      <c r="B650" s="150" t="s">
        <v>485</v>
      </c>
      <c r="C650" s="149" t="s">
        <v>1744</v>
      </c>
      <c r="D650" s="149" t="s">
        <v>3555</v>
      </c>
      <c r="E650" s="149" t="s">
        <v>466</v>
      </c>
      <c r="F650" s="149">
        <v>-26.423333299999999</v>
      </c>
      <c r="G650" s="149">
        <v>135.51333299999999</v>
      </c>
      <c r="H650" s="149">
        <v>201</v>
      </c>
      <c r="I650" s="151">
        <v>42816</v>
      </c>
      <c r="J650" s="149" t="s">
        <v>36</v>
      </c>
      <c r="K650" s="149" t="s">
        <v>419</v>
      </c>
      <c r="L650" s="140" t="s">
        <v>2566</v>
      </c>
      <c r="M650" s="140" t="s">
        <v>2567</v>
      </c>
      <c r="N650" s="140" t="s">
        <v>2668</v>
      </c>
      <c r="O650" s="140" t="s">
        <v>2105</v>
      </c>
      <c r="P650" s="140" t="s">
        <v>2105</v>
      </c>
      <c r="Q650" s="140" t="s">
        <v>2387</v>
      </c>
      <c r="R650" s="140" t="s">
        <v>2713</v>
      </c>
      <c r="S650" s="149">
        <f t="shared" si="28"/>
        <v>8.0000000000000004E-4</v>
      </c>
      <c r="T650" s="149">
        <v>0</v>
      </c>
      <c r="U650" s="157">
        <v>8.0000000000000004E-4</v>
      </c>
      <c r="V650" s="157">
        <v>1.5329999999999999</v>
      </c>
      <c r="W650" s="157">
        <v>6.641</v>
      </c>
      <c r="X650" s="149">
        <f t="shared" si="29"/>
        <v>10.180653</v>
      </c>
      <c r="Y650" s="149"/>
    </row>
    <row r="651" spans="1:25" ht="16">
      <c r="A651" s="149" t="s">
        <v>12</v>
      </c>
      <c r="B651" s="150" t="s">
        <v>486</v>
      </c>
      <c r="C651" s="149" t="s">
        <v>1744</v>
      </c>
      <c r="D651" s="149" t="s">
        <v>3555</v>
      </c>
      <c r="E651" s="149" t="s">
        <v>466</v>
      </c>
      <c r="F651" s="149">
        <v>-26.423333299999999</v>
      </c>
      <c r="G651" s="149">
        <v>135.51333299999999</v>
      </c>
      <c r="H651" s="149">
        <v>201</v>
      </c>
      <c r="I651" s="151">
        <v>42816</v>
      </c>
      <c r="J651" s="149" t="s">
        <v>36</v>
      </c>
      <c r="K651" s="149" t="s">
        <v>419</v>
      </c>
      <c r="L651" s="140" t="s">
        <v>2566</v>
      </c>
      <c r="M651" s="140" t="s">
        <v>2567</v>
      </c>
      <c r="N651" s="140" t="s">
        <v>2668</v>
      </c>
      <c r="O651" s="140" t="s">
        <v>2105</v>
      </c>
      <c r="P651" s="140" t="s">
        <v>2105</v>
      </c>
      <c r="Q651" s="140" t="s">
        <v>2387</v>
      </c>
      <c r="R651" s="140" t="s">
        <v>2713</v>
      </c>
      <c r="S651" s="149">
        <f t="shared" si="28"/>
        <v>6.9999999999999999E-4</v>
      </c>
      <c r="T651" s="149">
        <v>0</v>
      </c>
      <c r="U651" s="157">
        <v>6.9999999999999999E-4</v>
      </c>
      <c r="V651" s="157">
        <v>1.486</v>
      </c>
      <c r="W651" s="157">
        <v>6.681</v>
      </c>
      <c r="X651" s="149">
        <f t="shared" si="29"/>
        <v>9.9279659999999996</v>
      </c>
      <c r="Y651" s="149"/>
    </row>
    <row r="652" spans="1:25" ht="16">
      <c r="A652" s="149" t="s">
        <v>12</v>
      </c>
      <c r="B652" s="150" t="s">
        <v>487</v>
      </c>
      <c r="C652" s="149" t="s">
        <v>1744</v>
      </c>
      <c r="D652" s="149" t="s">
        <v>3555</v>
      </c>
      <c r="E652" s="149" t="s">
        <v>466</v>
      </c>
      <c r="F652" s="149">
        <v>-26.423333299999999</v>
      </c>
      <c r="G652" s="149">
        <v>135.51333299999999</v>
      </c>
      <c r="H652" s="149">
        <v>201</v>
      </c>
      <c r="I652" s="151">
        <v>42816</v>
      </c>
      <c r="J652" s="149" t="s">
        <v>36</v>
      </c>
      <c r="K652" s="149" t="s">
        <v>419</v>
      </c>
      <c r="L652" s="140" t="s">
        <v>2566</v>
      </c>
      <c r="M652" s="140" t="s">
        <v>2567</v>
      </c>
      <c r="N652" s="140" t="s">
        <v>2668</v>
      </c>
      <c r="O652" s="140" t="s">
        <v>2105</v>
      </c>
      <c r="P652" s="140" t="s">
        <v>2105</v>
      </c>
      <c r="Q652" s="140" t="s">
        <v>2387</v>
      </c>
      <c r="R652" s="140" t="s">
        <v>2713</v>
      </c>
      <c r="S652" s="149">
        <f t="shared" si="28"/>
        <v>6.9999999999999999E-4</v>
      </c>
      <c r="T652" s="149">
        <v>0</v>
      </c>
      <c r="U652" s="157">
        <v>6.9999999999999999E-4</v>
      </c>
      <c r="V652" s="157">
        <v>1.601</v>
      </c>
      <c r="W652" s="157">
        <v>8.3629999999999995</v>
      </c>
      <c r="X652" s="149">
        <f t="shared" si="29"/>
        <v>13.389163</v>
      </c>
      <c r="Y652" s="149"/>
    </row>
    <row r="653" spans="1:25" ht="16">
      <c r="A653" s="149" t="s">
        <v>12</v>
      </c>
      <c r="B653" s="150" t="s">
        <v>488</v>
      </c>
      <c r="C653" s="149" t="s">
        <v>1744</v>
      </c>
      <c r="D653" s="149" t="s">
        <v>3555</v>
      </c>
      <c r="E653" s="149" t="s">
        <v>466</v>
      </c>
      <c r="F653" s="149">
        <v>-26.423333299999999</v>
      </c>
      <c r="G653" s="149">
        <v>135.51333299999999</v>
      </c>
      <c r="H653" s="149">
        <v>201</v>
      </c>
      <c r="I653" s="151">
        <v>42816</v>
      </c>
      <c r="J653" s="149" t="s">
        <v>36</v>
      </c>
      <c r="K653" s="149" t="s">
        <v>419</v>
      </c>
      <c r="L653" s="140" t="s">
        <v>2566</v>
      </c>
      <c r="M653" s="140" t="s">
        <v>2567</v>
      </c>
      <c r="N653" s="140" t="s">
        <v>2668</v>
      </c>
      <c r="O653" s="140" t="s">
        <v>2600</v>
      </c>
      <c r="P653" s="149" t="s">
        <v>2735</v>
      </c>
      <c r="Q653" s="140" t="s">
        <v>2708</v>
      </c>
      <c r="R653" s="140" t="s">
        <v>2713</v>
      </c>
      <c r="S653" s="149">
        <f t="shared" si="28"/>
        <v>3.3E-3</v>
      </c>
      <c r="T653" s="149">
        <v>0</v>
      </c>
      <c r="U653" s="157">
        <v>3.3E-3</v>
      </c>
      <c r="V653" s="157">
        <v>1.9179999999999999</v>
      </c>
      <c r="W653" s="157">
        <v>11.105</v>
      </c>
      <c r="X653" s="149">
        <f t="shared" si="29"/>
        <v>21.299389999999999</v>
      </c>
      <c r="Y653" s="149"/>
    </row>
    <row r="654" spans="1:25" ht="16">
      <c r="A654" s="149" t="s">
        <v>12</v>
      </c>
      <c r="B654" s="150" t="s">
        <v>489</v>
      </c>
      <c r="C654" s="149" t="s">
        <v>1744</v>
      </c>
      <c r="D654" s="149" t="s">
        <v>3555</v>
      </c>
      <c r="E654" s="149" t="s">
        <v>466</v>
      </c>
      <c r="F654" s="149">
        <v>-26.423333299999999</v>
      </c>
      <c r="G654" s="149">
        <v>135.51333299999999</v>
      </c>
      <c r="H654" s="149">
        <v>201</v>
      </c>
      <c r="I654" s="151">
        <v>42816</v>
      </c>
      <c r="J654" s="149" t="s">
        <v>36</v>
      </c>
      <c r="K654" s="149" t="s">
        <v>419</v>
      </c>
      <c r="L654" s="140" t="s">
        <v>2566</v>
      </c>
      <c r="M654" s="140" t="s">
        <v>2567</v>
      </c>
      <c r="N654" s="140" t="s">
        <v>2668</v>
      </c>
      <c r="O654" s="140" t="s">
        <v>2105</v>
      </c>
      <c r="P654" s="140" t="s">
        <v>2105</v>
      </c>
      <c r="Q654" s="140" t="s">
        <v>2387</v>
      </c>
      <c r="R654" s="140" t="s">
        <v>2713</v>
      </c>
      <c r="S654" s="149">
        <f t="shared" si="28"/>
        <v>8.0000000000000004E-4</v>
      </c>
      <c r="T654" s="149">
        <v>0</v>
      </c>
      <c r="U654" s="157">
        <v>8.0000000000000004E-4</v>
      </c>
      <c r="V654" s="157">
        <v>1.5369999999999999</v>
      </c>
      <c r="W654" s="157">
        <v>6.508</v>
      </c>
      <c r="X654" s="149">
        <f t="shared" si="29"/>
        <v>10.002796</v>
      </c>
      <c r="Y654" s="149"/>
    </row>
    <row r="655" spans="1:25" ht="16">
      <c r="A655" s="149" t="s">
        <v>12</v>
      </c>
      <c r="B655" s="150" t="s">
        <v>428</v>
      </c>
      <c r="C655" s="149" t="s">
        <v>1744</v>
      </c>
      <c r="D655" s="149" t="s">
        <v>3555</v>
      </c>
      <c r="E655" s="149" t="s">
        <v>418</v>
      </c>
      <c r="F655" s="149">
        <v>-26.284722200000001</v>
      </c>
      <c r="G655" s="149">
        <v>136.09805556000001</v>
      </c>
      <c r="H655" s="149">
        <v>201</v>
      </c>
      <c r="I655" s="151">
        <v>42816</v>
      </c>
      <c r="J655" s="149" t="s">
        <v>36</v>
      </c>
      <c r="K655" s="149" t="s">
        <v>419</v>
      </c>
      <c r="L655" s="140" t="s">
        <v>2566</v>
      </c>
      <c r="M655" s="140" t="s">
        <v>2567</v>
      </c>
      <c r="N655" s="140" t="s">
        <v>2668</v>
      </c>
      <c r="O655" s="140" t="s">
        <v>2600</v>
      </c>
      <c r="P655" s="149" t="s">
        <v>2735</v>
      </c>
      <c r="Q655" s="140" t="s">
        <v>2667</v>
      </c>
      <c r="R655" s="149" t="s">
        <v>2713</v>
      </c>
      <c r="S655" s="149">
        <f t="shared" si="28"/>
        <v>4.1500000000000002E-2</v>
      </c>
      <c r="T655" s="140">
        <v>3.8671999999999998E-2</v>
      </c>
      <c r="U655" s="157">
        <v>2.8280000000000041E-3</v>
      </c>
      <c r="V655" s="157">
        <v>2.2999999999999998</v>
      </c>
      <c r="W655" s="157">
        <v>10.795999999999999</v>
      </c>
      <c r="X655" s="149">
        <f t="shared" si="29"/>
        <v>24.830799999999996</v>
      </c>
      <c r="Y655" s="149"/>
    </row>
    <row r="656" spans="1:25" ht="16">
      <c r="A656" s="149" t="s">
        <v>12</v>
      </c>
      <c r="B656" s="150" t="s">
        <v>490</v>
      </c>
      <c r="C656" s="149" t="s">
        <v>1744</v>
      </c>
      <c r="D656" s="149" t="s">
        <v>3555</v>
      </c>
      <c r="E656" s="149" t="s">
        <v>466</v>
      </c>
      <c r="F656" s="149">
        <v>-26.423333299999999</v>
      </c>
      <c r="G656" s="149">
        <v>135.51333299999999</v>
      </c>
      <c r="H656" s="149">
        <v>201</v>
      </c>
      <c r="I656" s="151">
        <v>42816</v>
      </c>
      <c r="J656" s="149" t="s">
        <v>36</v>
      </c>
      <c r="K656" s="149" t="s">
        <v>419</v>
      </c>
      <c r="L656" s="140" t="s">
        <v>2566</v>
      </c>
      <c r="M656" s="140" t="s">
        <v>2567</v>
      </c>
      <c r="N656" s="140" t="s">
        <v>2668</v>
      </c>
      <c r="O656" s="140" t="s">
        <v>2600</v>
      </c>
      <c r="P656" s="149" t="s">
        <v>2735</v>
      </c>
      <c r="Q656" s="140" t="s">
        <v>2709</v>
      </c>
      <c r="R656" s="140" t="s">
        <v>2713</v>
      </c>
      <c r="S656" s="149">
        <f t="shared" si="28"/>
        <v>1.2999999999999999E-3</v>
      </c>
      <c r="T656" s="149">
        <v>0</v>
      </c>
      <c r="U656" s="157">
        <v>1.2999999999999999E-3</v>
      </c>
      <c r="V656" s="157">
        <v>1.621</v>
      </c>
      <c r="W656" s="157">
        <v>8.0410000000000004</v>
      </c>
      <c r="X656" s="149">
        <f t="shared" si="29"/>
        <v>13.034461</v>
      </c>
      <c r="Y656" s="149"/>
    </row>
    <row r="657" spans="1:25" ht="16">
      <c r="A657" s="149" t="s">
        <v>12</v>
      </c>
      <c r="B657" s="150" t="s">
        <v>491</v>
      </c>
      <c r="C657" s="149" t="s">
        <v>1744</v>
      </c>
      <c r="D657" s="149" t="s">
        <v>3555</v>
      </c>
      <c r="E657" s="149" t="s">
        <v>466</v>
      </c>
      <c r="F657" s="149">
        <v>-26.423333299999999</v>
      </c>
      <c r="G657" s="149">
        <v>135.51333299999999</v>
      </c>
      <c r="H657" s="149">
        <v>201</v>
      </c>
      <c r="I657" s="151">
        <v>42816</v>
      </c>
      <c r="J657" s="149" t="s">
        <v>36</v>
      </c>
      <c r="K657" s="149" t="s">
        <v>419</v>
      </c>
      <c r="L657" s="140" t="s">
        <v>2566</v>
      </c>
      <c r="M657" s="140" t="s">
        <v>2567</v>
      </c>
      <c r="N657" s="140" t="s">
        <v>2668</v>
      </c>
      <c r="O657" s="140" t="s">
        <v>2105</v>
      </c>
      <c r="P657" s="140" t="s">
        <v>2105</v>
      </c>
      <c r="Q657" s="140" t="s">
        <v>2387</v>
      </c>
      <c r="R657" s="140" t="s">
        <v>2713</v>
      </c>
      <c r="S657" s="149">
        <f t="shared" si="28"/>
        <v>6.9999999999999999E-4</v>
      </c>
      <c r="T657" s="149">
        <v>0</v>
      </c>
      <c r="U657" s="157">
        <v>6.9999999999999999E-4</v>
      </c>
      <c r="V657" s="157">
        <v>1.5429999999999999</v>
      </c>
      <c r="W657" s="157">
        <v>6.2930000000000001</v>
      </c>
      <c r="X657" s="149">
        <f t="shared" si="29"/>
        <v>9.7100989999999996</v>
      </c>
      <c r="Y657" s="149"/>
    </row>
    <row r="658" spans="1:25" ht="16">
      <c r="A658" s="149" t="s">
        <v>12</v>
      </c>
      <c r="B658" s="150" t="s">
        <v>492</v>
      </c>
      <c r="C658" s="149" t="s">
        <v>1744</v>
      </c>
      <c r="D658" s="149" t="s">
        <v>3555</v>
      </c>
      <c r="E658" s="149" t="s">
        <v>466</v>
      </c>
      <c r="F658" s="149">
        <v>-26.423333299999999</v>
      </c>
      <c r="G658" s="149">
        <v>135.51333299999999</v>
      </c>
      <c r="H658" s="149">
        <v>201</v>
      </c>
      <c r="I658" s="151">
        <v>42816</v>
      </c>
      <c r="J658" s="149" t="s">
        <v>36</v>
      </c>
      <c r="K658" s="149" t="s">
        <v>419</v>
      </c>
      <c r="L658" s="155" t="s">
        <v>2566</v>
      </c>
      <c r="M658" s="155" t="s">
        <v>2567</v>
      </c>
      <c r="N658" s="155" t="s">
        <v>2668</v>
      </c>
      <c r="O658" s="155" t="s">
        <v>2105</v>
      </c>
      <c r="P658" s="140" t="s">
        <v>2105</v>
      </c>
      <c r="Q658" s="140" t="s">
        <v>2387</v>
      </c>
      <c r="R658" s="155" t="s">
        <v>2713</v>
      </c>
      <c r="S658" s="149">
        <f t="shared" si="28"/>
        <v>1.6000000000000001E-3</v>
      </c>
      <c r="T658" s="149">
        <v>0</v>
      </c>
      <c r="U658" s="157">
        <v>1.6000000000000001E-3</v>
      </c>
      <c r="V658" s="157">
        <v>1.669</v>
      </c>
      <c r="W658" s="157">
        <v>7.681</v>
      </c>
      <c r="X658" s="149">
        <f t="shared" si="29"/>
        <v>12.819589000000001</v>
      </c>
      <c r="Y658" s="149"/>
    </row>
    <row r="659" spans="1:25" ht="16">
      <c r="A659" s="149" t="s">
        <v>12</v>
      </c>
      <c r="B659" s="150" t="s">
        <v>493</v>
      </c>
      <c r="C659" s="149" t="s">
        <v>1744</v>
      </c>
      <c r="D659" s="149" t="s">
        <v>3555</v>
      </c>
      <c r="E659" s="149" t="s">
        <v>466</v>
      </c>
      <c r="F659" s="149">
        <v>-26.423333299999999</v>
      </c>
      <c r="G659" s="149">
        <v>135.51333299999999</v>
      </c>
      <c r="H659" s="149">
        <v>201</v>
      </c>
      <c r="I659" s="151">
        <v>42816</v>
      </c>
      <c r="J659" s="149" t="s">
        <v>36</v>
      </c>
      <c r="K659" s="149" t="s">
        <v>419</v>
      </c>
      <c r="L659" s="155" t="s">
        <v>2566</v>
      </c>
      <c r="M659" s="155" t="s">
        <v>2567</v>
      </c>
      <c r="N659" s="155" t="s">
        <v>2668</v>
      </c>
      <c r="O659" s="140" t="s">
        <v>2600</v>
      </c>
      <c r="P659" s="149" t="s">
        <v>2735</v>
      </c>
      <c r="Q659" s="140" t="s">
        <v>2709</v>
      </c>
      <c r="R659" s="158" t="s">
        <v>2713</v>
      </c>
      <c r="S659" s="149">
        <f t="shared" si="28"/>
        <v>1.2999999999999999E-3</v>
      </c>
      <c r="T659" s="149">
        <v>0</v>
      </c>
      <c r="U659" s="157">
        <v>1.2999999999999999E-3</v>
      </c>
      <c r="V659" s="157">
        <v>1.3049999999999999</v>
      </c>
      <c r="W659" s="157">
        <v>8.2560000000000002</v>
      </c>
      <c r="X659" s="149">
        <f t="shared" si="29"/>
        <v>10.77408</v>
      </c>
      <c r="Y659" s="149"/>
    </row>
    <row r="660" spans="1:25" ht="16">
      <c r="A660" s="149" t="s">
        <v>12</v>
      </c>
      <c r="B660" s="150" t="s">
        <v>494</v>
      </c>
      <c r="C660" s="149" t="s">
        <v>1744</v>
      </c>
      <c r="D660" s="149" t="s">
        <v>3555</v>
      </c>
      <c r="E660" s="149" t="s">
        <v>466</v>
      </c>
      <c r="F660" s="149">
        <v>-26.423333299999999</v>
      </c>
      <c r="G660" s="149">
        <v>135.51333299999999</v>
      </c>
      <c r="H660" s="149">
        <v>201</v>
      </c>
      <c r="I660" s="151">
        <v>42816</v>
      </c>
      <c r="J660" s="149" t="s">
        <v>36</v>
      </c>
      <c r="K660" s="149" t="s">
        <v>419</v>
      </c>
      <c r="L660" s="155" t="s">
        <v>2566</v>
      </c>
      <c r="M660" s="155" t="s">
        <v>2567</v>
      </c>
      <c r="N660" s="155" t="s">
        <v>2668</v>
      </c>
      <c r="O660" s="155" t="s">
        <v>2105</v>
      </c>
      <c r="P660" s="140" t="s">
        <v>2105</v>
      </c>
      <c r="Q660" s="140" t="s">
        <v>2387</v>
      </c>
      <c r="R660" s="155" t="s">
        <v>2713</v>
      </c>
      <c r="S660" s="149">
        <f t="shared" si="28"/>
        <v>8.9999999999999998E-4</v>
      </c>
      <c r="T660" s="149">
        <v>0</v>
      </c>
      <c r="U660" s="157">
        <v>8.9999999999999998E-4</v>
      </c>
      <c r="V660" s="157">
        <v>1.3640000000000001</v>
      </c>
      <c r="W660" s="157">
        <v>6.9779999999999998</v>
      </c>
      <c r="X660" s="149">
        <f t="shared" si="29"/>
        <v>9.5179919999999996</v>
      </c>
      <c r="Y660" s="149"/>
    </row>
    <row r="661" spans="1:25" ht="16">
      <c r="A661" s="149" t="s">
        <v>12</v>
      </c>
      <c r="B661" s="150" t="s">
        <v>495</v>
      </c>
      <c r="C661" s="149" t="s">
        <v>1744</v>
      </c>
      <c r="D661" s="149" t="s">
        <v>3555</v>
      </c>
      <c r="E661" s="149" t="s">
        <v>466</v>
      </c>
      <c r="F661" s="149">
        <v>-26.423333299999999</v>
      </c>
      <c r="G661" s="149">
        <v>135.51333299999999</v>
      </c>
      <c r="H661" s="149">
        <v>201</v>
      </c>
      <c r="I661" s="151">
        <v>42816</v>
      </c>
      <c r="J661" s="149" t="s">
        <v>36</v>
      </c>
      <c r="K661" s="149" t="s">
        <v>419</v>
      </c>
      <c r="L661" s="140" t="s">
        <v>2566</v>
      </c>
      <c r="M661" s="140" t="s">
        <v>2567</v>
      </c>
      <c r="N661" s="140" t="s">
        <v>2668</v>
      </c>
      <c r="O661" s="140" t="s">
        <v>2600</v>
      </c>
      <c r="P661" s="149" t="s">
        <v>2735</v>
      </c>
      <c r="Q661" s="140" t="s">
        <v>2709</v>
      </c>
      <c r="R661" s="140" t="s">
        <v>2713</v>
      </c>
      <c r="S661" s="149">
        <f t="shared" si="28"/>
        <v>1.9E-3</v>
      </c>
      <c r="T661" s="149">
        <v>0</v>
      </c>
      <c r="U661" s="157">
        <v>1.9E-3</v>
      </c>
      <c r="V661" s="157">
        <v>1.4990000000000001</v>
      </c>
      <c r="W661" s="157">
        <v>6.9130000000000003</v>
      </c>
      <c r="X661" s="149">
        <f t="shared" si="29"/>
        <v>10.362587000000001</v>
      </c>
      <c r="Y661" s="149"/>
    </row>
    <row r="662" spans="1:25" ht="16">
      <c r="A662" s="149" t="s">
        <v>12</v>
      </c>
      <c r="B662" s="150" t="s">
        <v>496</v>
      </c>
      <c r="C662" s="149" t="s">
        <v>1744</v>
      </c>
      <c r="D662" s="149" t="s">
        <v>3555</v>
      </c>
      <c r="E662" s="149" t="s">
        <v>466</v>
      </c>
      <c r="F662" s="149">
        <v>-26.423333299999999</v>
      </c>
      <c r="G662" s="149">
        <v>135.51333299999999</v>
      </c>
      <c r="H662" s="149">
        <v>201</v>
      </c>
      <c r="I662" s="151">
        <v>42816</v>
      </c>
      <c r="J662" s="149" t="s">
        <v>36</v>
      </c>
      <c r="K662" s="149" t="s">
        <v>419</v>
      </c>
      <c r="L662" s="140" t="s">
        <v>2566</v>
      </c>
      <c r="M662" s="140" t="s">
        <v>2574</v>
      </c>
      <c r="N662" s="140" t="s">
        <v>3191</v>
      </c>
      <c r="O662" s="149" t="s">
        <v>2111</v>
      </c>
      <c r="P662" s="149" t="s">
        <v>2739</v>
      </c>
      <c r="Q662" s="140" t="s">
        <v>2692</v>
      </c>
      <c r="R662" s="140" t="s">
        <v>2713</v>
      </c>
      <c r="S662" s="149">
        <f t="shared" si="28"/>
        <v>2.5999999999999999E-3</v>
      </c>
      <c r="T662" s="149">
        <v>0</v>
      </c>
      <c r="U662" s="157">
        <v>2.5999999999999999E-3</v>
      </c>
      <c r="V662" s="157">
        <v>2.2509999999999999</v>
      </c>
      <c r="W662" s="157">
        <v>9.8940000000000001</v>
      </c>
      <c r="X662" s="149">
        <f t="shared" si="29"/>
        <v>22.271394000000001</v>
      </c>
      <c r="Y662" s="149"/>
    </row>
    <row r="663" spans="1:25" ht="16">
      <c r="A663" s="149" t="s">
        <v>12</v>
      </c>
      <c r="B663" s="150" t="s">
        <v>497</v>
      </c>
      <c r="C663" s="149" t="s">
        <v>1744</v>
      </c>
      <c r="D663" s="149" t="s">
        <v>3555</v>
      </c>
      <c r="E663" s="149" t="s">
        <v>466</v>
      </c>
      <c r="F663" s="149">
        <v>-26.423333299999999</v>
      </c>
      <c r="G663" s="149">
        <v>135.51333299999999</v>
      </c>
      <c r="H663" s="149">
        <v>201</v>
      </c>
      <c r="I663" s="151">
        <v>42816</v>
      </c>
      <c r="J663" s="149" t="s">
        <v>36</v>
      </c>
      <c r="K663" s="149" t="s">
        <v>419</v>
      </c>
      <c r="L663" s="140" t="s">
        <v>2566</v>
      </c>
      <c r="M663" s="140" t="s">
        <v>2567</v>
      </c>
      <c r="N663" s="140" t="s">
        <v>2668</v>
      </c>
      <c r="O663" s="140" t="s">
        <v>2105</v>
      </c>
      <c r="P663" s="140" t="s">
        <v>2105</v>
      </c>
      <c r="Q663" s="140" t="s">
        <v>2387</v>
      </c>
      <c r="R663" s="140" t="s">
        <v>2713</v>
      </c>
      <c r="S663" s="149">
        <f t="shared" si="28"/>
        <v>6.9999999999999999E-4</v>
      </c>
      <c r="T663" s="149">
        <v>0</v>
      </c>
      <c r="U663" s="157">
        <v>6.9999999999999999E-4</v>
      </c>
      <c r="V663" s="157">
        <v>1.5269999999999999</v>
      </c>
      <c r="W663" s="157">
        <v>6.7670000000000003</v>
      </c>
      <c r="X663" s="149">
        <f t="shared" si="29"/>
        <v>10.333209</v>
      </c>
      <c r="Y663" s="149"/>
    </row>
    <row r="664" spans="1:25" ht="16">
      <c r="A664" s="149" t="s">
        <v>12</v>
      </c>
      <c r="B664" s="150" t="s">
        <v>498</v>
      </c>
      <c r="C664" s="149" t="s">
        <v>1744</v>
      </c>
      <c r="D664" s="149" t="s">
        <v>3555</v>
      </c>
      <c r="E664" s="149" t="s">
        <v>466</v>
      </c>
      <c r="F664" s="149">
        <v>-26.423333299999999</v>
      </c>
      <c r="G664" s="149">
        <v>135.51333299999999</v>
      </c>
      <c r="H664" s="149">
        <v>201</v>
      </c>
      <c r="I664" s="151">
        <v>42816</v>
      </c>
      <c r="J664" s="149" t="s">
        <v>36</v>
      </c>
      <c r="K664" s="149" t="s">
        <v>419</v>
      </c>
      <c r="L664" s="140" t="s">
        <v>2566</v>
      </c>
      <c r="M664" s="140" t="s">
        <v>2567</v>
      </c>
      <c r="N664" s="140" t="s">
        <v>2668</v>
      </c>
      <c r="O664" s="140" t="s">
        <v>2600</v>
      </c>
      <c r="P664" s="149" t="s">
        <v>2735</v>
      </c>
      <c r="Q664" s="140" t="s">
        <v>2709</v>
      </c>
      <c r="R664" s="140" t="s">
        <v>2713</v>
      </c>
      <c r="S664" s="149">
        <f t="shared" si="28"/>
        <v>6.9999999999999999E-4</v>
      </c>
      <c r="T664" s="149">
        <v>0</v>
      </c>
      <c r="U664" s="157">
        <v>6.9999999999999999E-4</v>
      </c>
      <c r="V664" s="157">
        <v>1.722</v>
      </c>
      <c r="W664" s="157">
        <v>6.8520000000000003</v>
      </c>
      <c r="X664" s="149">
        <f t="shared" si="29"/>
        <v>11.799144</v>
      </c>
      <c r="Y664" s="149"/>
    </row>
    <row r="665" spans="1:25" ht="16">
      <c r="A665" s="149" t="s">
        <v>12</v>
      </c>
      <c r="B665" s="150" t="s">
        <v>499</v>
      </c>
      <c r="C665" s="149" t="s">
        <v>1744</v>
      </c>
      <c r="D665" s="149" t="s">
        <v>3555</v>
      </c>
      <c r="E665" s="149" t="s">
        <v>466</v>
      </c>
      <c r="F665" s="149">
        <v>-26.423333299999999</v>
      </c>
      <c r="G665" s="149">
        <v>135.51333299999999</v>
      </c>
      <c r="H665" s="149">
        <v>201</v>
      </c>
      <c r="I665" s="151">
        <v>42816</v>
      </c>
      <c r="J665" s="149" t="s">
        <v>36</v>
      </c>
      <c r="K665" s="149" t="s">
        <v>419</v>
      </c>
      <c r="L665" s="140" t="s">
        <v>2566</v>
      </c>
      <c r="M665" s="140" t="s">
        <v>2574</v>
      </c>
      <c r="N665" s="140" t="s">
        <v>3191</v>
      </c>
      <c r="O665" s="149" t="s">
        <v>2111</v>
      </c>
      <c r="P665" s="149" t="s">
        <v>2739</v>
      </c>
      <c r="Q665" s="140" t="s">
        <v>2692</v>
      </c>
      <c r="R665" s="140" t="s">
        <v>2713</v>
      </c>
      <c r="S665" s="149">
        <f t="shared" si="28"/>
        <v>3.3999999999999998E-3</v>
      </c>
      <c r="T665" s="149">
        <v>0</v>
      </c>
      <c r="U665" s="157">
        <v>3.3999999999999998E-3</v>
      </c>
      <c r="V665" s="157">
        <v>2.5590000000000002</v>
      </c>
      <c r="W665" s="157">
        <v>10.59</v>
      </c>
      <c r="X665" s="149">
        <f t="shared" si="29"/>
        <v>27.099810000000002</v>
      </c>
      <c r="Y665" s="149"/>
    </row>
    <row r="666" spans="1:25" ht="16">
      <c r="A666" s="149" t="s">
        <v>12</v>
      </c>
      <c r="B666" s="150" t="s">
        <v>429</v>
      </c>
      <c r="C666" s="149" t="s">
        <v>1744</v>
      </c>
      <c r="D666" s="149" t="s">
        <v>3555</v>
      </c>
      <c r="E666" s="149" t="s">
        <v>418</v>
      </c>
      <c r="F666" s="149">
        <v>-26.284722200000001</v>
      </c>
      <c r="G666" s="149">
        <v>136.09805556000001</v>
      </c>
      <c r="H666" s="149">
        <v>201</v>
      </c>
      <c r="I666" s="151">
        <v>42816</v>
      </c>
      <c r="J666" s="149" t="s">
        <v>36</v>
      </c>
      <c r="K666" s="149" t="s">
        <v>419</v>
      </c>
      <c r="L666" s="140" t="s">
        <v>2566</v>
      </c>
      <c r="M666" s="140" t="s">
        <v>2567</v>
      </c>
      <c r="N666" s="140" t="s">
        <v>2668</v>
      </c>
      <c r="O666" s="140" t="s">
        <v>2600</v>
      </c>
      <c r="P666" s="149" t="s">
        <v>2735</v>
      </c>
      <c r="Q666" s="140" t="s">
        <v>2667</v>
      </c>
      <c r="R666" s="140" t="s">
        <v>2713</v>
      </c>
      <c r="S666" s="149">
        <f t="shared" si="28"/>
        <v>4.7000000000000002E-3</v>
      </c>
      <c r="T666" s="149">
        <v>0</v>
      </c>
      <c r="U666" s="157">
        <v>4.7000000000000002E-3</v>
      </c>
      <c r="V666" s="157">
        <v>2.5</v>
      </c>
      <c r="W666" s="157">
        <v>9.9930000000000003</v>
      </c>
      <c r="X666" s="149">
        <f t="shared" si="29"/>
        <v>24.982500000000002</v>
      </c>
      <c r="Y666" s="149"/>
    </row>
    <row r="667" spans="1:25" ht="16">
      <c r="A667" s="149" t="s">
        <v>12</v>
      </c>
      <c r="B667" s="150" t="s">
        <v>501</v>
      </c>
      <c r="C667" s="149" t="s">
        <v>1744</v>
      </c>
      <c r="D667" s="149" t="s">
        <v>3555</v>
      </c>
      <c r="E667" s="149" t="s">
        <v>466</v>
      </c>
      <c r="F667" s="149">
        <v>-26.423333299999999</v>
      </c>
      <c r="G667" s="149">
        <v>135.51333299999999</v>
      </c>
      <c r="H667" s="149">
        <v>201</v>
      </c>
      <c r="I667" s="151">
        <v>42816</v>
      </c>
      <c r="J667" s="149" t="s">
        <v>36</v>
      </c>
      <c r="K667" s="149" t="s">
        <v>419</v>
      </c>
      <c r="L667" s="155" t="s">
        <v>2566</v>
      </c>
      <c r="M667" s="155" t="s">
        <v>2567</v>
      </c>
      <c r="N667" s="155" t="s">
        <v>2668</v>
      </c>
      <c r="O667" s="155" t="s">
        <v>2105</v>
      </c>
      <c r="P667" s="140" t="s">
        <v>2105</v>
      </c>
      <c r="Q667" s="140" t="s">
        <v>2387</v>
      </c>
      <c r="R667" s="155" t="s">
        <v>2713</v>
      </c>
      <c r="S667" s="149">
        <f t="shared" si="28"/>
        <v>6.9999999999999999E-4</v>
      </c>
      <c r="T667" s="149">
        <v>0</v>
      </c>
      <c r="U667" s="157">
        <v>6.9999999999999999E-4</v>
      </c>
      <c r="V667" s="157">
        <v>1.5629999999999999</v>
      </c>
      <c r="W667" s="157">
        <v>6.9390000000000001</v>
      </c>
      <c r="X667" s="149">
        <f t="shared" si="29"/>
        <v>10.845656999999999</v>
      </c>
      <c r="Y667" s="149"/>
    </row>
    <row r="668" spans="1:25" ht="16">
      <c r="A668" s="149" t="s">
        <v>12</v>
      </c>
      <c r="B668" s="150" t="s">
        <v>502</v>
      </c>
      <c r="C668" s="149" t="s">
        <v>1744</v>
      </c>
      <c r="D668" s="149" t="s">
        <v>3555</v>
      </c>
      <c r="E668" s="149" t="s">
        <v>466</v>
      </c>
      <c r="F668" s="149">
        <v>-26.423333299999999</v>
      </c>
      <c r="G668" s="149">
        <v>135.51333299999999</v>
      </c>
      <c r="H668" s="149">
        <v>201</v>
      </c>
      <c r="I668" s="151">
        <v>42816</v>
      </c>
      <c r="J668" s="149" t="s">
        <v>36</v>
      </c>
      <c r="K668" s="149" t="s">
        <v>419</v>
      </c>
      <c r="L668" s="140" t="s">
        <v>2569</v>
      </c>
      <c r="M668" s="140" t="s">
        <v>2570</v>
      </c>
      <c r="N668" s="140" t="s">
        <v>2571</v>
      </c>
      <c r="O668" s="140" t="s">
        <v>2369</v>
      </c>
      <c r="P668" s="140" t="s">
        <v>3556</v>
      </c>
      <c r="Q668" s="140" t="s">
        <v>2669</v>
      </c>
      <c r="R668" s="140" t="s">
        <v>2712</v>
      </c>
      <c r="S668" s="149">
        <f t="shared" si="28"/>
        <v>4.8999999999999998E-3</v>
      </c>
      <c r="T668" s="149">
        <v>0</v>
      </c>
      <c r="U668" s="157">
        <v>4.8999999999999998E-3</v>
      </c>
      <c r="V668" s="157">
        <v>2.7269999999999999</v>
      </c>
      <c r="W668" s="157">
        <v>11.72</v>
      </c>
      <c r="X668" s="149">
        <f t="shared" si="29"/>
        <v>31.960440000000002</v>
      </c>
      <c r="Y668" s="149"/>
    </row>
    <row r="669" spans="1:25" ht="16">
      <c r="A669" s="149" t="s">
        <v>12</v>
      </c>
      <c r="B669" s="150" t="s">
        <v>503</v>
      </c>
      <c r="C669" s="149" t="s">
        <v>1744</v>
      </c>
      <c r="D669" s="149" t="s">
        <v>3555</v>
      </c>
      <c r="E669" s="149" t="s">
        <v>466</v>
      </c>
      <c r="F669" s="149">
        <v>-26.423333299999999</v>
      </c>
      <c r="G669" s="149">
        <v>135.51333299999999</v>
      </c>
      <c r="H669" s="149">
        <v>201</v>
      </c>
      <c r="I669" s="151">
        <v>42816</v>
      </c>
      <c r="J669" s="149" t="s">
        <v>36</v>
      </c>
      <c r="K669" s="149" t="s">
        <v>419</v>
      </c>
      <c r="L669" s="140" t="s">
        <v>2566</v>
      </c>
      <c r="M669" s="140" t="s">
        <v>2574</v>
      </c>
      <c r="N669" s="140" t="s">
        <v>3191</v>
      </c>
      <c r="O669" s="149" t="s">
        <v>2111</v>
      </c>
      <c r="P669" s="149" t="s">
        <v>2739</v>
      </c>
      <c r="Q669" s="140" t="s">
        <v>2692</v>
      </c>
      <c r="R669" s="140" t="s">
        <v>2713</v>
      </c>
      <c r="S669" s="149">
        <f t="shared" si="28"/>
        <v>4.1999999999999997E-3</v>
      </c>
      <c r="T669" s="149">
        <v>0</v>
      </c>
      <c r="U669" s="157">
        <v>4.1999999999999997E-3</v>
      </c>
      <c r="V669" s="157">
        <v>2.573</v>
      </c>
      <c r="W669" s="157">
        <v>11.587</v>
      </c>
      <c r="X669" s="149">
        <f t="shared" si="29"/>
        <v>29.813350999999997</v>
      </c>
      <c r="Y669" s="149"/>
    </row>
    <row r="670" spans="1:25" ht="16">
      <c r="A670" s="149" t="s">
        <v>12</v>
      </c>
      <c r="B670" s="150" t="s">
        <v>504</v>
      </c>
      <c r="C670" s="149" t="s">
        <v>1744</v>
      </c>
      <c r="D670" s="149" t="s">
        <v>3555</v>
      </c>
      <c r="E670" s="149" t="s">
        <v>466</v>
      </c>
      <c r="F670" s="149">
        <v>-26.423333299999999</v>
      </c>
      <c r="G670" s="149">
        <v>135.51333299999999</v>
      </c>
      <c r="H670" s="149">
        <v>201</v>
      </c>
      <c r="I670" s="151">
        <v>42816</v>
      </c>
      <c r="J670" s="149" t="s">
        <v>36</v>
      </c>
      <c r="K670" s="149" t="s">
        <v>419</v>
      </c>
      <c r="L670" s="155" t="s">
        <v>2566</v>
      </c>
      <c r="M670" s="155" t="s">
        <v>2567</v>
      </c>
      <c r="N670" s="155" t="s">
        <v>2668</v>
      </c>
      <c r="O670" s="155" t="s">
        <v>2105</v>
      </c>
      <c r="P670" s="140" t="s">
        <v>2105</v>
      </c>
      <c r="Q670" s="140" t="s">
        <v>2387</v>
      </c>
      <c r="R670" s="155" t="s">
        <v>2713</v>
      </c>
      <c r="S670" s="149">
        <f t="shared" si="28"/>
        <v>6.9999999999999999E-4</v>
      </c>
      <c r="T670" s="149">
        <v>0</v>
      </c>
      <c r="U670" s="157">
        <v>6.9999999999999999E-4</v>
      </c>
      <c r="V670" s="157">
        <v>1.2909999999999999</v>
      </c>
      <c r="W670" s="157">
        <v>5.7009999999999996</v>
      </c>
      <c r="X670" s="149">
        <f t="shared" si="29"/>
        <v>7.3599909999999991</v>
      </c>
      <c r="Y670" s="149"/>
    </row>
    <row r="671" spans="1:25" ht="16">
      <c r="A671" s="149" t="s">
        <v>12</v>
      </c>
      <c r="B671" s="150" t="s">
        <v>505</v>
      </c>
      <c r="C671" s="149" t="s">
        <v>1744</v>
      </c>
      <c r="D671" s="149" t="s">
        <v>3555</v>
      </c>
      <c r="E671" s="149" t="s">
        <v>466</v>
      </c>
      <c r="F671" s="149">
        <v>-26.423333299999999</v>
      </c>
      <c r="G671" s="149">
        <v>135.51333299999999</v>
      </c>
      <c r="H671" s="149">
        <v>201</v>
      </c>
      <c r="I671" s="151">
        <v>42816</v>
      </c>
      <c r="J671" s="149" t="s">
        <v>36</v>
      </c>
      <c r="K671" s="149" t="s">
        <v>419</v>
      </c>
      <c r="L671" s="140" t="s">
        <v>2566</v>
      </c>
      <c r="M671" s="140" t="s">
        <v>2574</v>
      </c>
      <c r="N671" s="140" t="s">
        <v>3191</v>
      </c>
      <c r="O671" s="149" t="s">
        <v>2111</v>
      </c>
      <c r="P671" s="149" t="s">
        <v>2739</v>
      </c>
      <c r="Q671" s="140" t="s">
        <v>2692</v>
      </c>
      <c r="R671" s="140" t="s">
        <v>2712</v>
      </c>
      <c r="S671" s="149">
        <f t="shared" si="28"/>
        <v>3.0000000000000001E-3</v>
      </c>
      <c r="T671" s="149">
        <v>0</v>
      </c>
      <c r="U671" s="157">
        <v>3.0000000000000001E-3</v>
      </c>
      <c r="V671" s="157">
        <v>2.2189999999999999</v>
      </c>
      <c r="W671" s="157">
        <v>9.8740000000000006</v>
      </c>
      <c r="X671" s="149">
        <f t="shared" si="29"/>
        <v>21.910405999999998</v>
      </c>
      <c r="Y671" s="149"/>
    </row>
    <row r="672" spans="1:25" ht="16">
      <c r="A672" s="149" t="s">
        <v>12</v>
      </c>
      <c r="B672" s="150" t="s">
        <v>507</v>
      </c>
      <c r="C672" s="149" t="s">
        <v>1744</v>
      </c>
      <c r="D672" s="149" t="s">
        <v>3555</v>
      </c>
      <c r="E672" s="149" t="s">
        <v>466</v>
      </c>
      <c r="F672" s="149">
        <v>-26.423333299999999</v>
      </c>
      <c r="G672" s="149">
        <v>135.51333299999999</v>
      </c>
      <c r="H672" s="149">
        <v>201</v>
      </c>
      <c r="I672" s="151">
        <v>42816</v>
      </c>
      <c r="J672" s="149" t="s">
        <v>36</v>
      </c>
      <c r="K672" s="149" t="s">
        <v>419</v>
      </c>
      <c r="L672" s="155" t="s">
        <v>2566</v>
      </c>
      <c r="M672" s="155" t="s">
        <v>2567</v>
      </c>
      <c r="N672" s="155" t="s">
        <v>2668</v>
      </c>
      <c r="O672" s="155" t="s">
        <v>2105</v>
      </c>
      <c r="P672" s="140" t="s">
        <v>2105</v>
      </c>
      <c r="Q672" s="140" t="s">
        <v>2387</v>
      </c>
      <c r="R672" s="155" t="s">
        <v>2713</v>
      </c>
      <c r="S672" s="149">
        <f t="shared" si="28"/>
        <v>5.9999999999999995E-4</v>
      </c>
      <c r="T672" s="149">
        <v>0</v>
      </c>
      <c r="U672" s="157">
        <v>5.9999999999999995E-4</v>
      </c>
      <c r="V672" s="157">
        <v>1.3839999999999999</v>
      </c>
      <c r="W672" s="157">
        <v>7.1020000000000003</v>
      </c>
      <c r="X672" s="149">
        <f t="shared" si="29"/>
        <v>9.8291679999999992</v>
      </c>
      <c r="Y672" s="149"/>
    </row>
    <row r="673" spans="1:25" ht="16">
      <c r="A673" s="149" t="s">
        <v>12</v>
      </c>
      <c r="B673" s="150" t="s">
        <v>508</v>
      </c>
      <c r="C673" s="149" t="s">
        <v>1744</v>
      </c>
      <c r="D673" s="149" t="s">
        <v>3555</v>
      </c>
      <c r="E673" s="149" t="s">
        <v>466</v>
      </c>
      <c r="F673" s="149">
        <v>-26.423333299999999</v>
      </c>
      <c r="G673" s="149">
        <v>135.51333299999999</v>
      </c>
      <c r="H673" s="149">
        <v>201</v>
      </c>
      <c r="I673" s="151">
        <v>42816</v>
      </c>
      <c r="J673" s="149" t="s">
        <v>36</v>
      </c>
      <c r="K673" s="149" t="s">
        <v>419</v>
      </c>
      <c r="L673" s="155" t="s">
        <v>2566</v>
      </c>
      <c r="M673" s="155" t="s">
        <v>2567</v>
      </c>
      <c r="N673" s="155" t="s">
        <v>2668</v>
      </c>
      <c r="O673" s="140" t="s">
        <v>2600</v>
      </c>
      <c r="P673" s="149" t="s">
        <v>2735</v>
      </c>
      <c r="Q673" s="140" t="s">
        <v>2709</v>
      </c>
      <c r="R673" s="158" t="s">
        <v>2713</v>
      </c>
      <c r="S673" s="149">
        <f t="shared" si="28"/>
        <v>8.9999999999999998E-4</v>
      </c>
      <c r="T673" s="149">
        <v>0</v>
      </c>
      <c r="U673" s="157">
        <v>8.9999999999999998E-4</v>
      </c>
      <c r="V673" s="157">
        <v>1.446</v>
      </c>
      <c r="W673" s="157">
        <v>7.3680000000000003</v>
      </c>
      <c r="X673" s="149">
        <f t="shared" si="29"/>
        <v>10.654128</v>
      </c>
      <c r="Y673" s="149"/>
    </row>
    <row r="674" spans="1:25" ht="16">
      <c r="A674" s="149" t="s">
        <v>12</v>
      </c>
      <c r="B674" s="150" t="s">
        <v>509</v>
      </c>
      <c r="C674" s="149" t="s">
        <v>1744</v>
      </c>
      <c r="D674" s="149" t="s">
        <v>3555</v>
      </c>
      <c r="E674" s="149" t="s">
        <v>466</v>
      </c>
      <c r="F674" s="149">
        <v>-26.423333299999999</v>
      </c>
      <c r="G674" s="149">
        <v>135.51333299999999</v>
      </c>
      <c r="H674" s="149">
        <v>201</v>
      </c>
      <c r="I674" s="151">
        <v>42816</v>
      </c>
      <c r="J674" s="149" t="s">
        <v>36</v>
      </c>
      <c r="K674" s="149" t="s">
        <v>419</v>
      </c>
      <c r="L674" s="140" t="s">
        <v>2566</v>
      </c>
      <c r="M674" s="140" t="s">
        <v>2567</v>
      </c>
      <c r="N674" s="140" t="s">
        <v>2668</v>
      </c>
      <c r="O674" s="140" t="s">
        <v>2600</v>
      </c>
      <c r="P674" s="149" t="s">
        <v>2735</v>
      </c>
      <c r="Q674" s="140" t="s">
        <v>2708</v>
      </c>
      <c r="R674" s="140" t="s">
        <v>2713</v>
      </c>
      <c r="S674" s="149">
        <f t="shared" si="28"/>
        <v>2.3E-3</v>
      </c>
      <c r="T674" s="149">
        <v>0</v>
      </c>
      <c r="U674" s="157">
        <v>2.3E-3</v>
      </c>
      <c r="V674" s="157">
        <v>1.486</v>
      </c>
      <c r="W674" s="157">
        <v>6.2030000000000003</v>
      </c>
      <c r="X674" s="149">
        <f t="shared" si="29"/>
        <v>9.2176580000000001</v>
      </c>
      <c r="Y674" s="149"/>
    </row>
    <row r="675" spans="1:25" ht="16">
      <c r="A675" s="149" t="s">
        <v>12</v>
      </c>
      <c r="B675" s="150" t="s">
        <v>510</v>
      </c>
      <c r="C675" s="149" t="s">
        <v>1744</v>
      </c>
      <c r="D675" s="149" t="s">
        <v>3555</v>
      </c>
      <c r="E675" s="149" t="s">
        <v>463</v>
      </c>
      <c r="F675" s="149">
        <v>-25.754722220000001</v>
      </c>
      <c r="G675" s="149">
        <v>135.26305556</v>
      </c>
      <c r="H675" s="149">
        <v>202</v>
      </c>
      <c r="I675" s="151">
        <v>42815</v>
      </c>
      <c r="J675" s="149" t="s">
        <v>36</v>
      </c>
      <c r="K675" s="149" t="s">
        <v>419</v>
      </c>
      <c r="L675" s="140" t="s">
        <v>2566</v>
      </c>
      <c r="M675" s="140" t="s">
        <v>2574</v>
      </c>
      <c r="N675" s="140" t="s">
        <v>3191</v>
      </c>
      <c r="O675" s="149" t="s">
        <v>2111</v>
      </c>
      <c r="P675" s="149" t="s">
        <v>2739</v>
      </c>
      <c r="Q675" s="140" t="s">
        <v>2692</v>
      </c>
      <c r="R675" s="140" t="s">
        <v>2712</v>
      </c>
      <c r="S675" s="149">
        <f t="shared" si="28"/>
        <v>5.3E-3</v>
      </c>
      <c r="T675" s="149">
        <v>0</v>
      </c>
      <c r="U675" s="157">
        <v>5.3E-3</v>
      </c>
      <c r="V675" s="157">
        <v>2.8490000000000002</v>
      </c>
      <c r="W675" s="157">
        <v>12.414999999999999</v>
      </c>
      <c r="X675" s="149">
        <f t="shared" si="29"/>
        <v>35.370334999999997</v>
      </c>
      <c r="Y675" s="149"/>
    </row>
    <row r="676" spans="1:25" ht="16">
      <c r="A676" s="149" t="s">
        <v>12</v>
      </c>
      <c r="B676" s="150" t="s">
        <v>512</v>
      </c>
      <c r="C676" s="149" t="s">
        <v>1744</v>
      </c>
      <c r="D676" s="149" t="s">
        <v>3555</v>
      </c>
      <c r="E676" s="149" t="s">
        <v>463</v>
      </c>
      <c r="F676" s="149">
        <v>-25.754722220000001</v>
      </c>
      <c r="G676" s="149">
        <v>135.26305556</v>
      </c>
      <c r="H676" s="149">
        <v>202</v>
      </c>
      <c r="I676" s="151">
        <v>42815</v>
      </c>
      <c r="J676" s="149" t="s">
        <v>36</v>
      </c>
      <c r="K676" s="149" t="s">
        <v>419</v>
      </c>
      <c r="L676" s="140" t="s">
        <v>2569</v>
      </c>
      <c r="M676" s="140" t="s">
        <v>2570</v>
      </c>
      <c r="N676" s="140" t="s">
        <v>2571</v>
      </c>
      <c r="O676" s="140" t="s">
        <v>2369</v>
      </c>
      <c r="P676" s="140" t="s">
        <v>3556</v>
      </c>
      <c r="Q676" s="140" t="s">
        <v>2673</v>
      </c>
      <c r="R676" s="140" t="s">
        <v>2713</v>
      </c>
      <c r="S676" s="149">
        <f t="shared" si="28"/>
        <v>4.1999999999999997E-3</v>
      </c>
      <c r="T676" s="149">
        <v>0</v>
      </c>
      <c r="U676" s="157">
        <v>4.1999999999999997E-3</v>
      </c>
      <c r="V676" s="157">
        <v>2.4449999999999998</v>
      </c>
      <c r="W676" s="157">
        <v>11.102</v>
      </c>
      <c r="X676" s="149">
        <f t="shared" si="29"/>
        <v>27.144389999999998</v>
      </c>
      <c r="Y676" s="149"/>
    </row>
    <row r="677" spans="1:25" ht="16">
      <c r="A677" s="149" t="s">
        <v>12</v>
      </c>
      <c r="B677" s="150" t="s">
        <v>513</v>
      </c>
      <c r="C677" s="149" t="s">
        <v>1744</v>
      </c>
      <c r="D677" s="149" t="s">
        <v>3555</v>
      </c>
      <c r="E677" s="149" t="s">
        <v>463</v>
      </c>
      <c r="F677" s="149">
        <v>-25.754722220000001</v>
      </c>
      <c r="G677" s="149">
        <v>135.26305556</v>
      </c>
      <c r="H677" s="149">
        <v>202</v>
      </c>
      <c r="I677" s="151">
        <v>42815</v>
      </c>
      <c r="J677" s="149" t="s">
        <v>36</v>
      </c>
      <c r="K677" s="149" t="s">
        <v>419</v>
      </c>
      <c r="L677" s="140" t="s">
        <v>2569</v>
      </c>
      <c r="M677" s="140" t="s">
        <v>2570</v>
      </c>
      <c r="N677" s="140" t="s">
        <v>2571</v>
      </c>
      <c r="O677" s="140" t="s">
        <v>2369</v>
      </c>
      <c r="P677" s="140" t="s">
        <v>2737</v>
      </c>
      <c r="Q677" s="140" t="s">
        <v>2671</v>
      </c>
      <c r="R677" s="140" t="s">
        <v>2712</v>
      </c>
      <c r="S677" s="149">
        <f t="shared" si="28"/>
        <v>8.2000000000000007E-3</v>
      </c>
      <c r="T677" s="149">
        <v>0</v>
      </c>
      <c r="U677" s="157">
        <v>8.2000000000000007E-3</v>
      </c>
      <c r="V677" s="157">
        <v>3.367</v>
      </c>
      <c r="W677" s="157">
        <v>13.137</v>
      </c>
      <c r="X677" s="149">
        <f t="shared" si="29"/>
        <v>44.232278999999998</v>
      </c>
      <c r="Y677" s="149"/>
    </row>
    <row r="678" spans="1:25" ht="16">
      <c r="A678" s="149" t="s">
        <v>12</v>
      </c>
      <c r="B678" s="150" t="s">
        <v>514</v>
      </c>
      <c r="C678" s="149" t="s">
        <v>1744</v>
      </c>
      <c r="D678" s="149" t="s">
        <v>3555</v>
      </c>
      <c r="E678" s="149" t="s">
        <v>466</v>
      </c>
      <c r="F678" s="149">
        <v>-26.423333299999999</v>
      </c>
      <c r="G678" s="149">
        <v>135.51333299999999</v>
      </c>
      <c r="H678" s="149">
        <v>201</v>
      </c>
      <c r="I678" s="151">
        <v>42816</v>
      </c>
      <c r="J678" s="149" t="s">
        <v>36</v>
      </c>
      <c r="K678" s="149" t="s">
        <v>419</v>
      </c>
      <c r="L678" s="155" t="s">
        <v>2566</v>
      </c>
      <c r="M678" s="155" t="s">
        <v>2567</v>
      </c>
      <c r="N678" s="155" t="s">
        <v>2668</v>
      </c>
      <c r="O678" s="140" t="s">
        <v>2600</v>
      </c>
      <c r="P678" s="149" t="s">
        <v>2735</v>
      </c>
      <c r="Q678" s="140" t="s">
        <v>2709</v>
      </c>
      <c r="R678" s="158" t="s">
        <v>2713</v>
      </c>
      <c r="S678" s="149">
        <f t="shared" si="28"/>
        <v>5.9999999999999995E-4</v>
      </c>
      <c r="T678" s="149">
        <v>0</v>
      </c>
      <c r="U678" s="157">
        <v>5.9999999999999995E-4</v>
      </c>
      <c r="V678" s="157">
        <v>1.52</v>
      </c>
      <c r="W678" s="157">
        <v>8.0730000000000004</v>
      </c>
      <c r="X678" s="149">
        <f t="shared" si="29"/>
        <v>12.270960000000001</v>
      </c>
      <c r="Y678" s="149"/>
    </row>
    <row r="679" spans="1:25" ht="16">
      <c r="A679" s="149" t="s">
        <v>12</v>
      </c>
      <c r="B679" s="150" t="s">
        <v>515</v>
      </c>
      <c r="C679" s="149" t="s">
        <v>1744</v>
      </c>
      <c r="D679" s="149" t="s">
        <v>3555</v>
      </c>
      <c r="E679" s="149" t="s">
        <v>463</v>
      </c>
      <c r="F679" s="149">
        <v>-25.754722220000001</v>
      </c>
      <c r="G679" s="149">
        <v>135.26305556</v>
      </c>
      <c r="H679" s="149">
        <v>202</v>
      </c>
      <c r="I679" s="151">
        <v>42815</v>
      </c>
      <c r="J679" s="149" t="s">
        <v>36</v>
      </c>
      <c r="K679" s="149" t="s">
        <v>419</v>
      </c>
      <c r="L679" s="140" t="s">
        <v>2569</v>
      </c>
      <c r="M679" s="140" t="s">
        <v>2570</v>
      </c>
      <c r="N679" s="140" t="s">
        <v>2571</v>
      </c>
      <c r="O679" s="140" t="s">
        <v>2369</v>
      </c>
      <c r="P679" s="140" t="s">
        <v>3556</v>
      </c>
      <c r="Q679" s="140" t="s">
        <v>2669</v>
      </c>
      <c r="R679" s="140" t="s">
        <v>2713</v>
      </c>
      <c r="S679" s="149">
        <f t="shared" si="28"/>
        <v>6.1000000000000004E-3</v>
      </c>
      <c r="T679" s="149">
        <v>0</v>
      </c>
      <c r="U679" s="157">
        <v>6.1000000000000004E-3</v>
      </c>
      <c r="V679" s="157">
        <v>2.7959999999999998</v>
      </c>
      <c r="W679" s="157">
        <v>11.231999999999999</v>
      </c>
      <c r="X679" s="149">
        <f t="shared" si="29"/>
        <v>31.404671999999994</v>
      </c>
      <c r="Y679" s="149"/>
    </row>
    <row r="680" spans="1:25" ht="16">
      <c r="A680" s="149" t="s">
        <v>12</v>
      </c>
      <c r="B680" s="150" t="s">
        <v>516</v>
      </c>
      <c r="C680" s="149" t="s">
        <v>1744</v>
      </c>
      <c r="D680" s="149" t="s">
        <v>3555</v>
      </c>
      <c r="E680" s="149" t="s">
        <v>463</v>
      </c>
      <c r="F680" s="149">
        <v>-25.754722220000001</v>
      </c>
      <c r="G680" s="149">
        <v>135.26305556</v>
      </c>
      <c r="H680" s="149">
        <v>202</v>
      </c>
      <c r="I680" s="151">
        <v>42815</v>
      </c>
      <c r="J680" s="149" t="s">
        <v>36</v>
      </c>
      <c r="K680" s="149" t="s">
        <v>419</v>
      </c>
      <c r="L680" s="140" t="s">
        <v>2566</v>
      </c>
      <c r="M680" s="140" t="s">
        <v>2574</v>
      </c>
      <c r="N680" s="140" t="s">
        <v>3191</v>
      </c>
      <c r="O680" s="149" t="s">
        <v>2111</v>
      </c>
      <c r="P680" s="149" t="s">
        <v>2739</v>
      </c>
      <c r="Q680" s="140" t="s">
        <v>2692</v>
      </c>
      <c r="R680" s="140" t="s">
        <v>2713</v>
      </c>
      <c r="S680" s="149">
        <f t="shared" ref="S680:S704" si="30">T680+U680</f>
        <v>6.0000000000000001E-3</v>
      </c>
      <c r="T680" s="149">
        <v>0</v>
      </c>
      <c r="U680" s="157">
        <v>6.0000000000000001E-3</v>
      </c>
      <c r="V680" s="157">
        <v>2.5659999999999998</v>
      </c>
      <c r="W680" s="157">
        <v>11.362</v>
      </c>
      <c r="X680" s="149">
        <f t="shared" si="29"/>
        <v>29.154891999999997</v>
      </c>
      <c r="Y680" s="149"/>
    </row>
    <row r="681" spans="1:25" ht="16">
      <c r="A681" s="149" t="s">
        <v>12</v>
      </c>
      <c r="B681" s="150" t="s">
        <v>517</v>
      </c>
      <c r="C681" s="149" t="s">
        <v>1744</v>
      </c>
      <c r="D681" s="149" t="s">
        <v>3555</v>
      </c>
      <c r="E681" s="149" t="s">
        <v>463</v>
      </c>
      <c r="F681" s="149">
        <v>-25.754722220000001</v>
      </c>
      <c r="G681" s="149">
        <v>135.26305556</v>
      </c>
      <c r="H681" s="149">
        <v>202</v>
      </c>
      <c r="I681" s="151">
        <v>42815</v>
      </c>
      <c r="J681" s="149" t="s">
        <v>36</v>
      </c>
      <c r="K681" s="149" t="s">
        <v>419</v>
      </c>
      <c r="L681" s="140" t="s">
        <v>2566</v>
      </c>
      <c r="M681" s="140" t="s">
        <v>2574</v>
      </c>
      <c r="N681" s="140" t="s">
        <v>3191</v>
      </c>
      <c r="O681" s="149" t="s">
        <v>2111</v>
      </c>
      <c r="P681" s="149" t="s">
        <v>2739</v>
      </c>
      <c r="Q681" s="140" t="s">
        <v>2692</v>
      </c>
      <c r="R681" s="140" t="s">
        <v>2712</v>
      </c>
      <c r="S681" s="149">
        <f t="shared" si="30"/>
        <v>5.1999999999999998E-3</v>
      </c>
      <c r="T681" s="149">
        <v>0</v>
      </c>
      <c r="U681" s="157">
        <v>5.1999999999999998E-3</v>
      </c>
      <c r="V681" s="157">
        <v>2.5329999999999999</v>
      </c>
      <c r="W681" s="157">
        <v>8.9090000000000007</v>
      </c>
      <c r="X681" s="149">
        <f t="shared" si="29"/>
        <v>22.566497000000002</v>
      </c>
      <c r="Y681" s="149"/>
    </row>
    <row r="682" spans="1:25" ht="16">
      <c r="A682" s="149" t="s">
        <v>12</v>
      </c>
      <c r="B682" s="150" t="s">
        <v>518</v>
      </c>
      <c r="C682" s="149" t="s">
        <v>1744</v>
      </c>
      <c r="D682" s="149" t="s">
        <v>3555</v>
      </c>
      <c r="E682" s="149" t="s">
        <v>466</v>
      </c>
      <c r="F682" s="149">
        <v>-26.423333299999999</v>
      </c>
      <c r="G682" s="149">
        <v>135.51333299999999</v>
      </c>
      <c r="H682" s="149">
        <v>201</v>
      </c>
      <c r="I682" s="151">
        <v>42816</v>
      </c>
      <c r="J682" s="149" t="s">
        <v>36</v>
      </c>
      <c r="K682" s="149" t="s">
        <v>419</v>
      </c>
      <c r="L682" s="155" t="s">
        <v>2566</v>
      </c>
      <c r="M682" s="155" t="s">
        <v>2567</v>
      </c>
      <c r="N682" s="155" t="s">
        <v>2668</v>
      </c>
      <c r="O682" s="158" t="s">
        <v>2105</v>
      </c>
      <c r="P682" s="140" t="s">
        <v>2105</v>
      </c>
      <c r="Q682" s="140" t="s">
        <v>2387</v>
      </c>
      <c r="R682" s="158" t="s">
        <v>2713</v>
      </c>
      <c r="S682" s="149">
        <f t="shared" si="30"/>
        <v>5.9999999999999995E-4</v>
      </c>
      <c r="T682" s="149">
        <v>0</v>
      </c>
      <c r="U682" s="157">
        <v>5.9999999999999995E-4</v>
      </c>
      <c r="V682" s="157">
        <v>1.405</v>
      </c>
      <c r="W682" s="157">
        <v>6.5369999999999999</v>
      </c>
      <c r="X682" s="149">
        <f t="shared" si="29"/>
        <v>9.1844850000000005</v>
      </c>
      <c r="Y682" s="149"/>
    </row>
    <row r="683" spans="1:25" ht="16">
      <c r="A683" s="149" t="s">
        <v>12</v>
      </c>
      <c r="B683" s="150" t="s">
        <v>519</v>
      </c>
      <c r="C683" s="149" t="s">
        <v>1744</v>
      </c>
      <c r="D683" s="149" t="s">
        <v>3555</v>
      </c>
      <c r="E683" s="149" t="s">
        <v>466</v>
      </c>
      <c r="F683" s="149">
        <v>-26.423333299999999</v>
      </c>
      <c r="G683" s="149">
        <v>135.51333299999999</v>
      </c>
      <c r="H683" s="149">
        <v>201</v>
      </c>
      <c r="I683" s="151">
        <v>42816</v>
      </c>
      <c r="J683" s="149" t="s">
        <v>36</v>
      </c>
      <c r="K683" s="149" t="s">
        <v>419</v>
      </c>
      <c r="L683" s="155" t="s">
        <v>2566</v>
      </c>
      <c r="M683" s="155" t="s">
        <v>2567</v>
      </c>
      <c r="N683" s="155" t="s">
        <v>2668</v>
      </c>
      <c r="O683" s="140" t="s">
        <v>2600</v>
      </c>
      <c r="P683" s="149" t="s">
        <v>2735</v>
      </c>
      <c r="Q683" s="140" t="s">
        <v>2709</v>
      </c>
      <c r="R683" s="158" t="s">
        <v>2713</v>
      </c>
      <c r="S683" s="149">
        <f t="shared" si="30"/>
        <v>8.9999999999999998E-4</v>
      </c>
      <c r="T683" s="149">
        <v>0</v>
      </c>
      <c r="U683" s="157">
        <v>8.9999999999999998E-4</v>
      </c>
      <c r="V683" s="157">
        <v>1.6160000000000001</v>
      </c>
      <c r="W683" s="157">
        <v>7.0720000000000001</v>
      </c>
      <c r="X683" s="149">
        <f t="shared" si="29"/>
        <v>11.428352</v>
      </c>
      <c r="Y683" s="149"/>
    </row>
    <row r="684" spans="1:25" ht="16">
      <c r="A684" s="149" t="s">
        <v>12</v>
      </c>
      <c r="B684" s="150" t="s">
        <v>520</v>
      </c>
      <c r="C684" s="149" t="s">
        <v>1744</v>
      </c>
      <c r="D684" s="149" t="s">
        <v>3555</v>
      </c>
      <c r="E684" s="149" t="s">
        <v>463</v>
      </c>
      <c r="F684" s="149">
        <v>-25.754722220000001</v>
      </c>
      <c r="G684" s="149">
        <v>135.26305556</v>
      </c>
      <c r="H684" s="149">
        <v>202</v>
      </c>
      <c r="I684" s="151">
        <v>42815</v>
      </c>
      <c r="J684" s="149" t="s">
        <v>36</v>
      </c>
      <c r="K684" s="149" t="s">
        <v>419</v>
      </c>
      <c r="L684" s="140" t="s">
        <v>2572</v>
      </c>
      <c r="M684" s="140" t="s">
        <v>2576</v>
      </c>
      <c r="N684" s="140" t="s">
        <v>36</v>
      </c>
      <c r="O684" s="140" t="s">
        <v>2679</v>
      </c>
      <c r="P684" s="140" t="s">
        <v>2679</v>
      </c>
      <c r="Q684" s="140" t="s">
        <v>2680</v>
      </c>
      <c r="R684" s="140" t="s">
        <v>2712</v>
      </c>
      <c r="S684" s="149">
        <f t="shared" si="30"/>
        <v>5.4000000000000003E-3</v>
      </c>
      <c r="T684" s="149">
        <v>0</v>
      </c>
      <c r="U684" s="157">
        <v>5.4000000000000003E-3</v>
      </c>
      <c r="V684" s="157">
        <v>3.141</v>
      </c>
      <c r="W684" s="157">
        <v>13.755000000000001</v>
      </c>
      <c r="X684" s="149">
        <f t="shared" si="29"/>
        <v>43.204455000000003</v>
      </c>
      <c r="Y684" s="149"/>
    </row>
    <row r="685" spans="1:25" ht="16">
      <c r="A685" s="149" t="s">
        <v>12</v>
      </c>
      <c r="B685" s="150" t="s">
        <v>432</v>
      </c>
      <c r="C685" s="149" t="s">
        <v>1744</v>
      </c>
      <c r="D685" s="149" t="s">
        <v>3555</v>
      </c>
      <c r="E685" s="149" t="s">
        <v>418</v>
      </c>
      <c r="F685" s="149">
        <v>-26.284722200000001</v>
      </c>
      <c r="G685" s="149">
        <v>136.09805556000001</v>
      </c>
      <c r="H685" s="149">
        <v>201</v>
      </c>
      <c r="I685" s="151">
        <v>42816</v>
      </c>
      <c r="J685" s="149" t="s">
        <v>36</v>
      </c>
      <c r="K685" s="149" t="s">
        <v>419</v>
      </c>
      <c r="L685" s="140" t="s">
        <v>2566</v>
      </c>
      <c r="M685" s="140" t="s">
        <v>2574</v>
      </c>
      <c r="N685" s="140" t="s">
        <v>3191</v>
      </c>
      <c r="O685" s="149" t="s">
        <v>2111</v>
      </c>
      <c r="P685" s="149" t="s">
        <v>2739</v>
      </c>
      <c r="Q685" s="140" t="s">
        <v>2693</v>
      </c>
      <c r="R685" s="140" t="s">
        <v>2713</v>
      </c>
      <c r="S685" s="149">
        <f t="shared" si="30"/>
        <v>5.04E-2</v>
      </c>
      <c r="T685" s="140">
        <v>3.8671999999999998E-2</v>
      </c>
      <c r="U685" s="157">
        <v>1.1728000000000002E-2</v>
      </c>
      <c r="V685" s="157">
        <v>3.2669999999999999</v>
      </c>
      <c r="W685" s="157">
        <v>15.914</v>
      </c>
      <c r="X685" s="149">
        <f t="shared" si="29"/>
        <v>51.991037999999996</v>
      </c>
      <c r="Y685" s="149"/>
    </row>
    <row r="686" spans="1:25" ht="16">
      <c r="A686" s="149" t="s">
        <v>12</v>
      </c>
      <c r="B686" s="150" t="s">
        <v>521</v>
      </c>
      <c r="C686" s="149" t="s">
        <v>1744</v>
      </c>
      <c r="D686" s="149" t="s">
        <v>3555</v>
      </c>
      <c r="E686" s="149" t="s">
        <v>466</v>
      </c>
      <c r="F686" s="149">
        <v>-26.423333299999999</v>
      </c>
      <c r="G686" s="149">
        <v>135.51333299999999</v>
      </c>
      <c r="H686" s="149">
        <v>201</v>
      </c>
      <c r="I686" s="151">
        <v>42816</v>
      </c>
      <c r="J686" s="149" t="s">
        <v>36</v>
      </c>
      <c r="K686" s="149" t="s">
        <v>419</v>
      </c>
      <c r="L686" s="155" t="s">
        <v>2566</v>
      </c>
      <c r="M686" s="155" t="s">
        <v>2567</v>
      </c>
      <c r="N686" s="155" t="s">
        <v>2668</v>
      </c>
      <c r="O686" s="155" t="s">
        <v>2105</v>
      </c>
      <c r="P686" s="140" t="s">
        <v>2105</v>
      </c>
      <c r="Q686" s="140" t="s">
        <v>2387</v>
      </c>
      <c r="R686" s="155" t="s">
        <v>2712</v>
      </c>
      <c r="S686" s="149">
        <f t="shared" si="30"/>
        <v>5.0000000000000001E-4</v>
      </c>
      <c r="T686" s="149">
        <v>0</v>
      </c>
      <c r="U686" s="157">
        <v>5.0000000000000001E-4</v>
      </c>
      <c r="V686" s="157">
        <v>1.1539999999999999</v>
      </c>
      <c r="W686" s="157">
        <v>5.1740000000000004</v>
      </c>
      <c r="X686" s="149">
        <f t="shared" ref="X686:X694" si="31">V686*W686</f>
        <v>5.970796</v>
      </c>
      <c r="Y686" s="149"/>
    </row>
    <row r="687" spans="1:25" ht="16">
      <c r="A687" s="149" t="s">
        <v>12</v>
      </c>
      <c r="B687" s="150" t="s">
        <v>523</v>
      </c>
      <c r="C687" s="149" t="s">
        <v>1744</v>
      </c>
      <c r="D687" s="149" t="s">
        <v>3555</v>
      </c>
      <c r="E687" s="149" t="s">
        <v>466</v>
      </c>
      <c r="F687" s="149">
        <v>-26.423333299999999</v>
      </c>
      <c r="G687" s="149">
        <v>135.51333299999999</v>
      </c>
      <c r="H687" s="149">
        <v>201</v>
      </c>
      <c r="I687" s="151">
        <v>42816</v>
      </c>
      <c r="J687" s="149" t="s">
        <v>36</v>
      </c>
      <c r="K687" s="149" t="s">
        <v>419</v>
      </c>
      <c r="L687" s="155" t="s">
        <v>2566</v>
      </c>
      <c r="M687" s="155" t="s">
        <v>2567</v>
      </c>
      <c r="N687" s="155" t="s">
        <v>2668</v>
      </c>
      <c r="O687" s="155" t="s">
        <v>2105</v>
      </c>
      <c r="P687" s="140" t="s">
        <v>2105</v>
      </c>
      <c r="Q687" s="140" t="s">
        <v>2387</v>
      </c>
      <c r="R687" s="155" t="s">
        <v>2712</v>
      </c>
      <c r="S687" s="149">
        <f t="shared" si="30"/>
        <v>4.0000000000000002E-4</v>
      </c>
      <c r="T687" s="149">
        <v>0</v>
      </c>
      <c r="U687" s="157">
        <v>4.0000000000000002E-4</v>
      </c>
      <c r="V687" s="157">
        <v>1.1020000000000001</v>
      </c>
      <c r="W687" s="157">
        <v>4.835</v>
      </c>
      <c r="X687" s="149">
        <f t="shared" si="31"/>
        <v>5.3281700000000001</v>
      </c>
      <c r="Y687" s="149"/>
    </row>
    <row r="688" spans="1:25" ht="16">
      <c r="A688" s="149" t="s">
        <v>12</v>
      </c>
      <c r="B688" s="150" t="s">
        <v>524</v>
      </c>
      <c r="C688" s="149" t="s">
        <v>1744</v>
      </c>
      <c r="D688" s="149" t="s">
        <v>3555</v>
      </c>
      <c r="E688" s="149" t="s">
        <v>466</v>
      </c>
      <c r="F688" s="149">
        <v>-26.423333299999999</v>
      </c>
      <c r="G688" s="149">
        <v>135.51333299999999</v>
      </c>
      <c r="H688" s="149">
        <v>201</v>
      </c>
      <c r="I688" s="151">
        <v>42816</v>
      </c>
      <c r="J688" s="149" t="s">
        <v>36</v>
      </c>
      <c r="K688" s="149" t="s">
        <v>419</v>
      </c>
      <c r="L688" s="140" t="s">
        <v>2566</v>
      </c>
      <c r="M688" s="140" t="s">
        <v>2567</v>
      </c>
      <c r="N688" s="140" t="s">
        <v>2668</v>
      </c>
      <c r="O688" s="140" t="s">
        <v>2105</v>
      </c>
      <c r="P688" s="140" t="s">
        <v>2105</v>
      </c>
      <c r="Q688" s="140" t="s">
        <v>2387</v>
      </c>
      <c r="R688" s="140" t="s">
        <v>2713</v>
      </c>
      <c r="S688" s="149">
        <f t="shared" si="30"/>
        <v>8.0000000000000004E-4</v>
      </c>
      <c r="T688" s="149">
        <v>0</v>
      </c>
      <c r="U688" s="157">
        <v>8.0000000000000004E-4</v>
      </c>
      <c r="V688" s="157">
        <v>1.5129999999999999</v>
      </c>
      <c r="W688" s="157">
        <v>6.62</v>
      </c>
      <c r="X688" s="149">
        <f t="shared" si="31"/>
        <v>10.01606</v>
      </c>
      <c r="Y688" s="149"/>
    </row>
    <row r="689" spans="1:25" ht="16">
      <c r="A689" s="149" t="s">
        <v>12</v>
      </c>
      <c r="B689" s="150" t="s">
        <v>525</v>
      </c>
      <c r="C689" s="149" t="s">
        <v>1744</v>
      </c>
      <c r="D689" s="149" t="s">
        <v>3555</v>
      </c>
      <c r="E689" s="149" t="s">
        <v>466</v>
      </c>
      <c r="F689" s="149">
        <v>-26.423333299999999</v>
      </c>
      <c r="G689" s="149">
        <v>135.51333299999999</v>
      </c>
      <c r="H689" s="149">
        <v>201</v>
      </c>
      <c r="I689" s="151">
        <v>42816</v>
      </c>
      <c r="J689" s="149" t="s">
        <v>36</v>
      </c>
      <c r="K689" s="149" t="s">
        <v>419</v>
      </c>
      <c r="L689" s="155" t="s">
        <v>2566</v>
      </c>
      <c r="M689" s="155" t="s">
        <v>2567</v>
      </c>
      <c r="N689" s="155" t="s">
        <v>2668</v>
      </c>
      <c r="O689" s="155" t="s">
        <v>2105</v>
      </c>
      <c r="P689" s="140" t="s">
        <v>2105</v>
      </c>
      <c r="Q689" s="140" t="s">
        <v>2387</v>
      </c>
      <c r="R689" s="155" t="s">
        <v>2712</v>
      </c>
      <c r="S689" s="149">
        <f t="shared" si="30"/>
        <v>5.9999999999999995E-4</v>
      </c>
      <c r="T689" s="149">
        <v>0</v>
      </c>
      <c r="U689" s="157">
        <v>5.9999999999999995E-4</v>
      </c>
      <c r="V689" s="157">
        <v>1.157</v>
      </c>
      <c r="W689" s="157">
        <v>5.2859999999999996</v>
      </c>
      <c r="X689" s="149">
        <f t="shared" si="31"/>
        <v>6.1159019999999993</v>
      </c>
      <c r="Y689" s="149"/>
    </row>
    <row r="690" spans="1:25" ht="16">
      <c r="A690" s="149" t="s">
        <v>12</v>
      </c>
      <c r="B690" s="150" t="s">
        <v>526</v>
      </c>
      <c r="C690" s="149" t="s">
        <v>1744</v>
      </c>
      <c r="D690" s="149" t="s">
        <v>3555</v>
      </c>
      <c r="E690" s="149" t="s">
        <v>466</v>
      </c>
      <c r="F690" s="149">
        <v>-26.423333299999999</v>
      </c>
      <c r="G690" s="149">
        <v>135.51333299999999</v>
      </c>
      <c r="H690" s="149">
        <v>201</v>
      </c>
      <c r="I690" s="151">
        <v>42816</v>
      </c>
      <c r="J690" s="149" t="s">
        <v>36</v>
      </c>
      <c r="K690" s="149" t="s">
        <v>419</v>
      </c>
      <c r="L690" s="140" t="s">
        <v>2566</v>
      </c>
      <c r="M690" s="140" t="s">
        <v>2567</v>
      </c>
      <c r="N690" s="140" t="s">
        <v>2668</v>
      </c>
      <c r="O690" s="140" t="s">
        <v>2105</v>
      </c>
      <c r="P690" s="140" t="s">
        <v>2105</v>
      </c>
      <c r="Q690" s="140" t="s">
        <v>2387</v>
      </c>
      <c r="R690" s="140" t="s">
        <v>2712</v>
      </c>
      <c r="S690" s="149">
        <f t="shared" si="30"/>
        <v>4.0000000000000002E-4</v>
      </c>
      <c r="T690" s="149">
        <v>0</v>
      </c>
      <c r="U690" s="157">
        <v>4.0000000000000002E-4</v>
      </c>
      <c r="V690" s="157">
        <v>0.998</v>
      </c>
      <c r="W690" s="157">
        <v>4.3440000000000003</v>
      </c>
      <c r="X690" s="149">
        <f t="shared" si="31"/>
        <v>4.3353120000000001</v>
      </c>
      <c r="Y690" s="149"/>
    </row>
    <row r="691" spans="1:25" ht="16">
      <c r="A691" s="149" t="s">
        <v>12</v>
      </c>
      <c r="B691" s="150" t="s">
        <v>527</v>
      </c>
      <c r="C691" s="149" t="s">
        <v>1744</v>
      </c>
      <c r="D691" s="149" t="s">
        <v>3555</v>
      </c>
      <c r="E691" s="149" t="s">
        <v>466</v>
      </c>
      <c r="F691" s="149">
        <v>-26.423333299999999</v>
      </c>
      <c r="G691" s="149">
        <v>135.51333299999999</v>
      </c>
      <c r="H691" s="149">
        <v>201</v>
      </c>
      <c r="I691" s="151">
        <v>42816</v>
      </c>
      <c r="J691" s="149" t="s">
        <v>36</v>
      </c>
      <c r="K691" s="149" t="s">
        <v>419</v>
      </c>
      <c r="L691" s="140" t="s">
        <v>2566</v>
      </c>
      <c r="M691" s="140" t="s">
        <v>2567</v>
      </c>
      <c r="N691" s="140" t="s">
        <v>2668</v>
      </c>
      <c r="O691" s="140" t="s">
        <v>2105</v>
      </c>
      <c r="P691" s="140" t="s">
        <v>2105</v>
      </c>
      <c r="Q691" s="140" t="s">
        <v>2387</v>
      </c>
      <c r="R691" s="140" t="s">
        <v>2713</v>
      </c>
      <c r="S691" s="149">
        <f t="shared" si="30"/>
        <v>5.0000000000000001E-4</v>
      </c>
      <c r="T691" s="149">
        <v>0</v>
      </c>
      <c r="U691" s="157">
        <v>5.0000000000000001E-4</v>
      </c>
      <c r="V691" s="157">
        <v>1.671</v>
      </c>
      <c r="W691" s="157">
        <v>6.907</v>
      </c>
      <c r="X691" s="149">
        <f t="shared" si="31"/>
        <v>11.541597000000001</v>
      </c>
      <c r="Y691" s="149"/>
    </row>
    <row r="692" spans="1:25" ht="16">
      <c r="A692" s="149" t="s">
        <v>12</v>
      </c>
      <c r="B692" s="150" t="s">
        <v>528</v>
      </c>
      <c r="C692" s="149" t="s">
        <v>1744</v>
      </c>
      <c r="D692" s="149" t="s">
        <v>3555</v>
      </c>
      <c r="E692" s="149" t="s">
        <v>466</v>
      </c>
      <c r="F692" s="149">
        <v>-26.423333299999999</v>
      </c>
      <c r="G692" s="149">
        <v>135.51333299999999</v>
      </c>
      <c r="H692" s="149">
        <v>201</v>
      </c>
      <c r="I692" s="151">
        <v>42816</v>
      </c>
      <c r="J692" s="149" t="s">
        <v>36</v>
      </c>
      <c r="K692" s="149" t="s">
        <v>419</v>
      </c>
      <c r="L692" s="140" t="s">
        <v>2566</v>
      </c>
      <c r="M692" s="140" t="s">
        <v>2567</v>
      </c>
      <c r="N692" s="140" t="s">
        <v>2668</v>
      </c>
      <c r="O692" s="140" t="s">
        <v>2105</v>
      </c>
      <c r="P692" s="140" t="s">
        <v>2105</v>
      </c>
      <c r="Q692" s="140" t="s">
        <v>2387</v>
      </c>
      <c r="R692" s="140" t="s">
        <v>2713</v>
      </c>
      <c r="S692" s="149">
        <f t="shared" si="30"/>
        <v>5.9999999999999995E-4</v>
      </c>
      <c r="T692" s="149">
        <v>0</v>
      </c>
      <c r="U692" s="157">
        <v>5.9999999999999995E-4</v>
      </c>
      <c r="V692" s="157">
        <v>1.776</v>
      </c>
      <c r="W692" s="157">
        <v>7.0839999999999996</v>
      </c>
      <c r="X692" s="149">
        <f t="shared" si="31"/>
        <v>12.581184</v>
      </c>
      <c r="Y692" s="149"/>
    </row>
    <row r="693" spans="1:25" ht="16">
      <c r="A693" s="149" t="s">
        <v>12</v>
      </c>
      <c r="B693" s="150" t="s">
        <v>529</v>
      </c>
      <c r="C693" s="149" t="s">
        <v>1744</v>
      </c>
      <c r="D693" s="149" t="s">
        <v>3555</v>
      </c>
      <c r="E693" s="149" t="s">
        <v>466</v>
      </c>
      <c r="F693" s="149">
        <v>-26.423333299999999</v>
      </c>
      <c r="G693" s="149">
        <v>135.51333299999999</v>
      </c>
      <c r="H693" s="149">
        <v>201</v>
      </c>
      <c r="I693" s="151">
        <v>42816</v>
      </c>
      <c r="J693" s="149" t="s">
        <v>36</v>
      </c>
      <c r="K693" s="149" t="s">
        <v>419</v>
      </c>
      <c r="L693" s="140" t="s">
        <v>2566</v>
      </c>
      <c r="M693" s="140" t="s">
        <v>2567</v>
      </c>
      <c r="N693" s="140" t="s">
        <v>2668</v>
      </c>
      <c r="O693" s="140" t="s">
        <v>2105</v>
      </c>
      <c r="P693" s="140" t="s">
        <v>2105</v>
      </c>
      <c r="Q693" s="140" t="s">
        <v>2387</v>
      </c>
      <c r="R693" s="140" t="s">
        <v>2712</v>
      </c>
      <c r="S693" s="149">
        <f t="shared" si="30"/>
        <v>2.0000000000000001E-4</v>
      </c>
      <c r="T693" s="149">
        <v>0</v>
      </c>
      <c r="U693" s="157">
        <v>2.0000000000000001E-4</v>
      </c>
      <c r="V693" s="157">
        <v>1.212</v>
      </c>
      <c r="W693" s="157">
        <v>4.4989999999999997</v>
      </c>
      <c r="X693" s="149">
        <f t="shared" si="31"/>
        <v>5.4527879999999991</v>
      </c>
      <c r="Y693" s="149"/>
    </row>
    <row r="694" spans="1:25" ht="16">
      <c r="A694" s="149" t="s">
        <v>12</v>
      </c>
      <c r="B694" s="150" t="s">
        <v>530</v>
      </c>
      <c r="C694" s="149" t="s">
        <v>1744</v>
      </c>
      <c r="D694" s="149" t="s">
        <v>3555</v>
      </c>
      <c r="E694" s="149" t="s">
        <v>466</v>
      </c>
      <c r="F694" s="149">
        <v>-26.423333299999999</v>
      </c>
      <c r="G694" s="149">
        <v>135.51333299999999</v>
      </c>
      <c r="H694" s="149">
        <v>201</v>
      </c>
      <c r="I694" s="151">
        <v>42816</v>
      </c>
      <c r="J694" s="149" t="s">
        <v>36</v>
      </c>
      <c r="K694" s="149" t="s">
        <v>419</v>
      </c>
      <c r="L694" s="155" t="s">
        <v>2566</v>
      </c>
      <c r="M694" s="155" t="s">
        <v>2567</v>
      </c>
      <c r="N694" s="155" t="s">
        <v>2668</v>
      </c>
      <c r="O694" s="155" t="s">
        <v>2105</v>
      </c>
      <c r="P694" s="140" t="s">
        <v>2105</v>
      </c>
      <c r="Q694" s="140" t="s">
        <v>2387</v>
      </c>
      <c r="R694" s="155" t="s">
        <v>2712</v>
      </c>
      <c r="S694" s="149">
        <f t="shared" si="30"/>
        <v>5.0000000000000001E-4</v>
      </c>
      <c r="T694" s="149">
        <v>0</v>
      </c>
      <c r="U694" s="157">
        <v>5.0000000000000001E-4</v>
      </c>
      <c r="V694" s="157">
        <v>1.179</v>
      </c>
      <c r="W694" s="157">
        <v>5.3810000000000002</v>
      </c>
      <c r="X694" s="149">
        <f t="shared" si="31"/>
        <v>6.3441990000000006</v>
      </c>
      <c r="Y694" s="149"/>
    </row>
    <row r="695" spans="1:25" ht="18" customHeight="1">
      <c r="A695" s="149" t="s">
        <v>12</v>
      </c>
      <c r="B695" s="150" t="s">
        <v>536</v>
      </c>
      <c r="C695" s="149" t="s">
        <v>1744</v>
      </c>
      <c r="D695" s="149" t="s">
        <v>3555</v>
      </c>
      <c r="E695" s="149" t="s">
        <v>466</v>
      </c>
      <c r="F695" s="149">
        <v>-26.423333299999999</v>
      </c>
      <c r="G695" s="149">
        <v>135.51333299999999</v>
      </c>
      <c r="H695" s="149">
        <v>201</v>
      </c>
      <c r="I695" s="151">
        <v>42816</v>
      </c>
      <c r="J695" s="149" t="s">
        <v>36</v>
      </c>
      <c r="K695" s="149" t="s">
        <v>419</v>
      </c>
      <c r="L695" s="140" t="s">
        <v>2566</v>
      </c>
      <c r="M695" s="140" t="s">
        <v>2567</v>
      </c>
      <c r="N695" s="140" t="s">
        <v>2668</v>
      </c>
      <c r="O695" s="140" t="s">
        <v>2600</v>
      </c>
      <c r="P695" s="149" t="s">
        <v>2735</v>
      </c>
      <c r="Q695" s="140" t="s">
        <v>2709</v>
      </c>
      <c r="R695" s="149" t="s">
        <v>2713</v>
      </c>
      <c r="S695" s="149">
        <f t="shared" si="30"/>
        <v>1E-3</v>
      </c>
      <c r="T695" s="149">
        <v>0</v>
      </c>
      <c r="U695" s="157">
        <v>1E-3</v>
      </c>
      <c r="V695" s="157">
        <v>1.5329999999999999</v>
      </c>
      <c r="W695" s="157">
        <v>7.1879999999999997</v>
      </c>
      <c r="X695" s="149">
        <f t="shared" ref="X695:X704" si="32">V695*W695</f>
        <v>11.019203999999998</v>
      </c>
      <c r="Y695" s="149"/>
    </row>
    <row r="696" spans="1:25" ht="16">
      <c r="A696" s="149" t="s">
        <v>12</v>
      </c>
      <c r="B696" s="150" t="s">
        <v>506</v>
      </c>
      <c r="C696" s="149" t="s">
        <v>1744</v>
      </c>
      <c r="D696" s="149" t="s">
        <v>3555</v>
      </c>
      <c r="E696" s="149" t="s">
        <v>466</v>
      </c>
      <c r="F696" s="149">
        <v>-26.423333299999999</v>
      </c>
      <c r="G696" s="149">
        <v>135.51333299999999</v>
      </c>
      <c r="H696" s="149">
        <v>201</v>
      </c>
      <c r="I696" s="151">
        <v>42816</v>
      </c>
      <c r="J696" s="149" t="s">
        <v>36</v>
      </c>
      <c r="K696" s="149" t="s">
        <v>419</v>
      </c>
      <c r="L696" s="140" t="s">
        <v>2569</v>
      </c>
      <c r="M696" s="140" t="s">
        <v>2570</v>
      </c>
      <c r="N696" s="140" t="s">
        <v>2571</v>
      </c>
      <c r="O696" s="140" t="s">
        <v>2369</v>
      </c>
      <c r="P696" s="140" t="s">
        <v>3556</v>
      </c>
      <c r="Q696" s="140" t="s">
        <v>2669</v>
      </c>
      <c r="R696" s="149" t="s">
        <v>2713</v>
      </c>
      <c r="S696" s="149">
        <f t="shared" si="30"/>
        <v>7.3000000000000001E-3</v>
      </c>
      <c r="T696" s="149">
        <v>0</v>
      </c>
      <c r="U696" s="157">
        <v>7.3000000000000001E-3</v>
      </c>
      <c r="V696" s="157">
        <v>2.9889999999999999</v>
      </c>
      <c r="W696" s="157">
        <v>11.215</v>
      </c>
      <c r="X696" s="149">
        <f t="shared" si="32"/>
        <v>33.521634999999996</v>
      </c>
      <c r="Y696" s="149"/>
    </row>
    <row r="697" spans="1:25" ht="16">
      <c r="A697" s="149" t="s">
        <v>12</v>
      </c>
      <c r="B697" s="150" t="s">
        <v>805</v>
      </c>
      <c r="C697" s="149" t="s">
        <v>1744</v>
      </c>
      <c r="D697" s="149" t="s">
        <v>3555</v>
      </c>
      <c r="E697" s="149" t="s">
        <v>593</v>
      </c>
      <c r="F697" s="149">
        <v>-26.365555560000001</v>
      </c>
      <c r="G697" s="149">
        <v>135.79</v>
      </c>
      <c r="H697" s="149">
        <v>201</v>
      </c>
      <c r="I697" s="151">
        <v>42816</v>
      </c>
      <c r="J697" s="149" t="s">
        <v>36</v>
      </c>
      <c r="K697" s="149" t="s">
        <v>419</v>
      </c>
      <c r="L697" s="140" t="s">
        <v>2566</v>
      </c>
      <c r="M697" s="140" t="s">
        <v>2567</v>
      </c>
      <c r="N697" s="140" t="s">
        <v>2668</v>
      </c>
      <c r="O697" s="140" t="s">
        <v>2105</v>
      </c>
      <c r="P697" s="140" t="s">
        <v>2105</v>
      </c>
      <c r="Q697" s="140" t="s">
        <v>2387</v>
      </c>
      <c r="R697" s="149" t="s">
        <v>2713</v>
      </c>
      <c r="S697" s="149">
        <f t="shared" si="30"/>
        <v>5.0000000000000001E-4</v>
      </c>
      <c r="T697" s="149">
        <v>0</v>
      </c>
      <c r="U697" s="157">
        <v>5.0000000000000001E-4</v>
      </c>
      <c r="V697" s="157">
        <v>1.5820000000000001</v>
      </c>
      <c r="W697" s="157">
        <v>6.226</v>
      </c>
      <c r="X697" s="149">
        <f t="shared" si="32"/>
        <v>9.849532</v>
      </c>
      <c r="Y697" s="149"/>
    </row>
    <row r="698" spans="1:25" ht="16">
      <c r="A698" s="149" t="s">
        <v>12</v>
      </c>
      <c r="B698" s="150" t="s">
        <v>806</v>
      </c>
      <c r="C698" s="149" t="s">
        <v>1744</v>
      </c>
      <c r="D698" s="149" t="s">
        <v>3555</v>
      </c>
      <c r="E698" s="149" t="s">
        <v>593</v>
      </c>
      <c r="F698" s="149">
        <v>-26.365555560000001</v>
      </c>
      <c r="G698" s="149">
        <v>135.79</v>
      </c>
      <c r="H698" s="149">
        <v>201</v>
      </c>
      <c r="I698" s="151">
        <v>42816</v>
      </c>
      <c r="J698" s="149" t="s">
        <v>36</v>
      </c>
      <c r="K698" s="149" t="s">
        <v>419</v>
      </c>
      <c r="L698" s="140" t="s">
        <v>2566</v>
      </c>
      <c r="M698" s="140" t="s">
        <v>2567</v>
      </c>
      <c r="N698" s="140" t="s">
        <v>2668</v>
      </c>
      <c r="O698" s="140" t="s">
        <v>2105</v>
      </c>
      <c r="P698" s="140" t="s">
        <v>2105</v>
      </c>
      <c r="Q698" s="140" t="s">
        <v>2387</v>
      </c>
      <c r="R698" s="149" t="s">
        <v>2713</v>
      </c>
      <c r="S698" s="149">
        <f t="shared" si="30"/>
        <v>6.9999999999999999E-4</v>
      </c>
      <c r="T698" s="149">
        <v>0</v>
      </c>
      <c r="U698" s="157">
        <v>6.9999999999999999E-4</v>
      </c>
      <c r="V698" s="157">
        <v>1.4650000000000001</v>
      </c>
      <c r="W698" s="157">
        <v>5.96</v>
      </c>
      <c r="X698" s="149">
        <f t="shared" si="32"/>
        <v>8.7314000000000007</v>
      </c>
      <c r="Y698" s="149"/>
    </row>
    <row r="699" spans="1:25" ht="16">
      <c r="A699" s="149" t="s">
        <v>12</v>
      </c>
      <c r="B699" s="150" t="s">
        <v>808</v>
      </c>
      <c r="C699" s="149" t="s">
        <v>1744</v>
      </c>
      <c r="D699" s="149" t="s">
        <v>3555</v>
      </c>
      <c r="E699" s="149" t="s">
        <v>593</v>
      </c>
      <c r="F699" s="149">
        <v>-26.365555560000001</v>
      </c>
      <c r="G699" s="149">
        <v>135.79</v>
      </c>
      <c r="H699" s="149">
        <v>201</v>
      </c>
      <c r="I699" s="151">
        <v>42816</v>
      </c>
      <c r="J699" s="149" t="s">
        <v>36</v>
      </c>
      <c r="K699" s="149" t="s">
        <v>419</v>
      </c>
      <c r="L699" s="140" t="s">
        <v>2566</v>
      </c>
      <c r="M699" s="140" t="s">
        <v>2567</v>
      </c>
      <c r="N699" s="140" t="s">
        <v>2668</v>
      </c>
      <c r="O699" s="140" t="s">
        <v>2105</v>
      </c>
      <c r="P699" s="140" t="s">
        <v>2105</v>
      </c>
      <c r="Q699" s="140" t="s">
        <v>2387</v>
      </c>
      <c r="R699" s="149" t="s">
        <v>2713</v>
      </c>
      <c r="S699" s="149">
        <f t="shared" si="30"/>
        <v>8.0000000000000004E-4</v>
      </c>
      <c r="T699" s="149">
        <v>0</v>
      </c>
      <c r="U699" s="157">
        <v>8.0000000000000004E-4</v>
      </c>
      <c r="V699" s="157">
        <v>1.407</v>
      </c>
      <c r="W699" s="157">
        <v>6.2460000000000004</v>
      </c>
      <c r="X699" s="149">
        <f t="shared" si="32"/>
        <v>8.7881220000000013</v>
      </c>
      <c r="Y699" s="149"/>
    </row>
    <row r="700" spans="1:25" ht="16">
      <c r="A700" s="149" t="s">
        <v>12</v>
      </c>
      <c r="B700" s="150" t="s">
        <v>801</v>
      </c>
      <c r="C700" s="149" t="s">
        <v>1744</v>
      </c>
      <c r="D700" s="149" t="s">
        <v>3555</v>
      </c>
      <c r="E700" s="149" t="s">
        <v>593</v>
      </c>
      <c r="F700" s="149">
        <v>-26.365555560000001</v>
      </c>
      <c r="G700" s="149">
        <v>135.79</v>
      </c>
      <c r="H700" s="149">
        <v>201</v>
      </c>
      <c r="I700" s="151">
        <v>42816</v>
      </c>
      <c r="J700" s="149" t="s">
        <v>36</v>
      </c>
      <c r="K700" s="149" t="s">
        <v>419</v>
      </c>
      <c r="L700" s="140" t="s">
        <v>2566</v>
      </c>
      <c r="M700" s="140" t="s">
        <v>2567</v>
      </c>
      <c r="N700" s="140" t="s">
        <v>2668</v>
      </c>
      <c r="O700" s="140" t="s">
        <v>2105</v>
      </c>
      <c r="P700" s="140" t="s">
        <v>2105</v>
      </c>
      <c r="Q700" s="140" t="s">
        <v>2387</v>
      </c>
      <c r="R700" s="149" t="s">
        <v>2713</v>
      </c>
      <c r="S700" s="149">
        <f t="shared" si="30"/>
        <v>8.9999999999999998E-4</v>
      </c>
      <c r="T700" s="149">
        <v>0</v>
      </c>
      <c r="U700" s="157">
        <v>8.9999999999999998E-4</v>
      </c>
      <c r="V700" s="157">
        <v>1.55</v>
      </c>
      <c r="W700" s="157">
        <v>6.2039999999999997</v>
      </c>
      <c r="X700" s="149">
        <f t="shared" si="32"/>
        <v>9.6161999999999992</v>
      </c>
      <c r="Y700" s="149"/>
    </row>
    <row r="701" spans="1:25" ht="16">
      <c r="A701" s="149" t="s">
        <v>12</v>
      </c>
      <c r="B701" s="150" t="s">
        <v>672</v>
      </c>
      <c r="C701" s="149" t="s">
        <v>1744</v>
      </c>
      <c r="D701" s="149" t="s">
        <v>3555</v>
      </c>
      <c r="E701" s="149" t="s">
        <v>593</v>
      </c>
      <c r="F701" s="149">
        <v>-26.365555560000001</v>
      </c>
      <c r="G701" s="149">
        <v>135.79</v>
      </c>
      <c r="H701" s="149">
        <v>201</v>
      </c>
      <c r="I701" s="151">
        <v>42816</v>
      </c>
      <c r="J701" s="149" t="s">
        <v>36</v>
      </c>
      <c r="K701" s="149" t="s">
        <v>419</v>
      </c>
      <c r="L701" s="140" t="s">
        <v>2566</v>
      </c>
      <c r="M701" s="140" t="s">
        <v>2567</v>
      </c>
      <c r="N701" s="140" t="s">
        <v>2668</v>
      </c>
      <c r="O701" s="140" t="s">
        <v>2105</v>
      </c>
      <c r="P701" s="140" t="s">
        <v>2105</v>
      </c>
      <c r="Q701" s="140" t="s">
        <v>2387</v>
      </c>
      <c r="R701" s="149" t="s">
        <v>2713</v>
      </c>
      <c r="S701" s="149">
        <f t="shared" si="30"/>
        <v>6.9999999999999999E-4</v>
      </c>
      <c r="T701" s="149">
        <v>0</v>
      </c>
      <c r="U701" s="157">
        <v>6.9999999999999999E-4</v>
      </c>
      <c r="V701" s="157">
        <v>1.476</v>
      </c>
      <c r="W701" s="157">
        <v>4.8319999999999999</v>
      </c>
      <c r="X701" s="149">
        <f t="shared" si="32"/>
        <v>7.1320319999999997</v>
      </c>
      <c r="Y701" s="149"/>
    </row>
    <row r="702" spans="1:25" ht="18" customHeight="1">
      <c r="A702" s="149" t="s">
        <v>12</v>
      </c>
      <c r="B702" s="150" t="s">
        <v>622</v>
      </c>
      <c r="C702" s="149" t="s">
        <v>1744</v>
      </c>
      <c r="D702" s="149" t="s">
        <v>3555</v>
      </c>
      <c r="E702" s="149" t="s">
        <v>593</v>
      </c>
      <c r="F702" s="149">
        <v>-26.365555560000001</v>
      </c>
      <c r="G702" s="149">
        <v>135.79</v>
      </c>
      <c r="H702" s="149">
        <v>201</v>
      </c>
      <c r="I702" s="151">
        <v>42816</v>
      </c>
      <c r="J702" s="149" t="s">
        <v>36</v>
      </c>
      <c r="K702" s="149" t="s">
        <v>419</v>
      </c>
      <c r="L702" s="140" t="s">
        <v>2566</v>
      </c>
      <c r="M702" s="140" t="s">
        <v>2567</v>
      </c>
      <c r="N702" s="140" t="s">
        <v>2668</v>
      </c>
      <c r="O702" s="140" t="s">
        <v>2105</v>
      </c>
      <c r="P702" s="140" t="s">
        <v>2105</v>
      </c>
      <c r="Q702" s="140" t="s">
        <v>2387</v>
      </c>
      <c r="R702" s="149" t="s">
        <v>2713</v>
      </c>
      <c r="S702" s="149">
        <f t="shared" si="30"/>
        <v>5.0000000000000001E-4</v>
      </c>
      <c r="T702" s="149">
        <v>0</v>
      </c>
      <c r="U702" s="157">
        <v>5.0000000000000001E-4</v>
      </c>
      <c r="V702" s="157">
        <v>1.5069999999999999</v>
      </c>
      <c r="W702" s="157">
        <v>5.7839999999999998</v>
      </c>
      <c r="X702" s="149">
        <f t="shared" si="32"/>
        <v>8.7164879999999982</v>
      </c>
      <c r="Y702" s="149"/>
    </row>
    <row r="703" spans="1:25" ht="18" customHeight="1">
      <c r="A703" s="149" t="s">
        <v>12</v>
      </c>
      <c r="B703" s="150" t="s">
        <v>610</v>
      </c>
      <c r="C703" s="149" t="s">
        <v>1744</v>
      </c>
      <c r="D703" s="149" t="s">
        <v>3555</v>
      </c>
      <c r="E703" s="149" t="s">
        <v>593</v>
      </c>
      <c r="F703" s="149">
        <v>-26.365555560000001</v>
      </c>
      <c r="G703" s="149">
        <v>135.79</v>
      </c>
      <c r="H703" s="149">
        <v>201</v>
      </c>
      <c r="I703" s="151">
        <v>42816</v>
      </c>
      <c r="J703" s="149" t="s">
        <v>36</v>
      </c>
      <c r="K703" s="149" t="s">
        <v>419</v>
      </c>
      <c r="L703" s="140" t="s">
        <v>2566</v>
      </c>
      <c r="M703" s="140" t="s">
        <v>2567</v>
      </c>
      <c r="N703" s="140" t="s">
        <v>2668</v>
      </c>
      <c r="O703" s="140" t="s">
        <v>2105</v>
      </c>
      <c r="P703" s="140" t="s">
        <v>2105</v>
      </c>
      <c r="Q703" s="140" t="s">
        <v>2387</v>
      </c>
      <c r="R703" s="149" t="s">
        <v>2713</v>
      </c>
      <c r="S703" s="149">
        <f t="shared" si="30"/>
        <v>1.1000000000000001E-3</v>
      </c>
      <c r="T703" s="149">
        <v>0</v>
      </c>
      <c r="U703" s="157">
        <v>1.1000000000000001E-3</v>
      </c>
      <c r="V703" s="157">
        <v>1.58</v>
      </c>
      <c r="W703" s="157">
        <v>7.1539999999999999</v>
      </c>
      <c r="X703" s="149">
        <f t="shared" si="32"/>
        <v>11.303320000000001</v>
      </c>
      <c r="Y703" s="149"/>
    </row>
    <row r="704" spans="1:25" ht="18" customHeight="1">
      <c r="A704" s="149" t="s">
        <v>12</v>
      </c>
      <c r="B704" s="150" t="s">
        <v>571</v>
      </c>
      <c r="C704" s="149" t="s">
        <v>1744</v>
      </c>
      <c r="D704" s="149" t="s">
        <v>3555</v>
      </c>
      <c r="E704" s="149" t="s">
        <v>564</v>
      </c>
      <c r="F704" s="149">
        <v>-25.999166670000001</v>
      </c>
      <c r="G704" s="149">
        <v>135.33250000000001</v>
      </c>
      <c r="H704" s="149">
        <v>206</v>
      </c>
      <c r="I704" s="151">
        <v>42811</v>
      </c>
      <c r="J704" s="149" t="s">
        <v>36</v>
      </c>
      <c r="K704" s="149" t="s">
        <v>419</v>
      </c>
      <c r="L704" s="140" t="s">
        <v>2566</v>
      </c>
      <c r="M704" s="140" t="s">
        <v>2567</v>
      </c>
      <c r="N704" s="140" t="s">
        <v>2668</v>
      </c>
      <c r="O704" s="140" t="s">
        <v>2105</v>
      </c>
      <c r="P704" s="140" t="s">
        <v>2105</v>
      </c>
      <c r="Q704" s="140" t="s">
        <v>2387</v>
      </c>
      <c r="R704" s="149" t="s">
        <v>2713</v>
      </c>
      <c r="S704" s="149">
        <f t="shared" si="30"/>
        <v>1.1000000000000001E-3</v>
      </c>
      <c r="T704" s="149">
        <v>0</v>
      </c>
      <c r="U704" s="157">
        <v>1.1000000000000001E-3</v>
      </c>
      <c r="V704" s="157">
        <v>1.6439999999999999</v>
      </c>
      <c r="W704" s="157">
        <v>6.5830000000000002</v>
      </c>
      <c r="X704" s="149">
        <f t="shared" si="32"/>
        <v>10.822452</v>
      </c>
      <c r="Y704" s="149"/>
    </row>
    <row r="705" spans="1:25" ht="16">
      <c r="A705" s="149" t="s">
        <v>12</v>
      </c>
      <c r="B705" s="150" t="s">
        <v>879</v>
      </c>
      <c r="C705" s="149" t="s">
        <v>1744</v>
      </c>
      <c r="D705" s="149" t="s">
        <v>3555</v>
      </c>
      <c r="E705" s="149" t="s">
        <v>564</v>
      </c>
      <c r="F705" s="149">
        <v>-25.999166670000001</v>
      </c>
      <c r="G705" s="149">
        <v>135.33250000000001</v>
      </c>
      <c r="H705" s="149">
        <v>206</v>
      </c>
      <c r="I705" s="151">
        <v>42811</v>
      </c>
      <c r="J705" s="149" t="s">
        <v>36</v>
      </c>
      <c r="K705" s="149" t="s">
        <v>419</v>
      </c>
      <c r="L705" s="140" t="s">
        <v>2566</v>
      </c>
      <c r="M705" s="140" t="s">
        <v>2567</v>
      </c>
      <c r="N705" s="140" t="s">
        <v>2668</v>
      </c>
      <c r="O705" s="140" t="s">
        <v>2600</v>
      </c>
      <c r="P705" s="149" t="s">
        <v>2735</v>
      </c>
      <c r="Q705" s="140" t="s">
        <v>2705</v>
      </c>
      <c r="R705" s="149" t="s">
        <v>2713</v>
      </c>
      <c r="S705" s="149">
        <f>T705+U705</f>
        <v>3.0000000000000001E-3</v>
      </c>
      <c r="T705" s="149">
        <v>0</v>
      </c>
      <c r="U705" s="157">
        <v>3.0000000000000001E-3</v>
      </c>
      <c r="V705" s="157">
        <v>2.4209999999999998</v>
      </c>
      <c r="W705" s="157">
        <v>10.018000000000001</v>
      </c>
      <c r="X705" s="149">
        <f>V705*W705</f>
        <v>24.253578000000001</v>
      </c>
      <c r="Y705" s="149"/>
    </row>
    <row r="706" spans="1:25" ht="16">
      <c r="A706" s="149" t="s">
        <v>12</v>
      </c>
      <c r="B706" s="139" t="s">
        <v>3256</v>
      </c>
      <c r="C706" s="140" t="s">
        <v>1744</v>
      </c>
      <c r="D706" s="140" t="s">
        <v>3551</v>
      </c>
      <c r="E706" s="140" t="s">
        <v>3194</v>
      </c>
      <c r="F706" s="140">
        <v>81</v>
      </c>
      <c r="G706" s="140"/>
      <c r="H706" s="140"/>
      <c r="I706" s="141">
        <v>42095</v>
      </c>
      <c r="J706" s="140" t="s">
        <v>36</v>
      </c>
      <c r="K706" s="140" t="s">
        <v>154</v>
      </c>
      <c r="L706" s="140" t="s">
        <v>2566</v>
      </c>
      <c r="M706" s="140" t="s">
        <v>2574</v>
      </c>
      <c r="N706" s="140" t="s">
        <v>3191</v>
      </c>
      <c r="O706" s="140" t="s">
        <v>2111</v>
      </c>
      <c r="P706" s="140" t="s">
        <v>2739</v>
      </c>
      <c r="Q706" s="140" t="s">
        <v>2399</v>
      </c>
      <c r="R706" s="149" t="s">
        <v>2713</v>
      </c>
      <c r="S706" s="140">
        <v>5.4800000000000001E-2</v>
      </c>
      <c r="T706" s="140">
        <v>3.5361290322580646E-2</v>
      </c>
      <c r="U706" s="140">
        <f>S706-T706</f>
        <v>1.9438709677419355E-2</v>
      </c>
      <c r="V706" s="140">
        <v>4.1639999999999997</v>
      </c>
      <c r="W706" s="140">
        <f>7.729+4.511+4.271</f>
        <v>16.510999999999999</v>
      </c>
      <c r="X706" s="149">
        <f t="shared" ref="X706:X769" si="33">V706*W706</f>
        <v>68.751803999999993</v>
      </c>
      <c r="Y706" s="149"/>
    </row>
    <row r="707" spans="1:25" ht="16">
      <c r="A707" s="149" t="s">
        <v>12</v>
      </c>
      <c r="B707" s="139" t="s">
        <v>3257</v>
      </c>
      <c r="C707" s="140" t="s">
        <v>1744</v>
      </c>
      <c r="D707" s="140" t="s">
        <v>3551</v>
      </c>
      <c r="E707" s="140" t="s">
        <v>3195</v>
      </c>
      <c r="F707" s="140" t="s">
        <v>36</v>
      </c>
      <c r="G707" s="140"/>
      <c r="H707" s="140"/>
      <c r="I707" s="141">
        <v>42096</v>
      </c>
      <c r="J707" s="140" t="s">
        <v>36</v>
      </c>
      <c r="K707" s="140" t="s">
        <v>154</v>
      </c>
      <c r="L707" s="140" t="s">
        <v>2566</v>
      </c>
      <c r="M707" s="140" t="s">
        <v>2574</v>
      </c>
      <c r="N707" s="140" t="s">
        <v>3191</v>
      </c>
      <c r="O707" s="140" t="s">
        <v>2111</v>
      </c>
      <c r="P707" s="140" t="s">
        <v>2739</v>
      </c>
      <c r="Q707" s="140" t="s">
        <v>2399</v>
      </c>
      <c r="R707" s="149" t="s">
        <v>2713</v>
      </c>
      <c r="S707" s="140">
        <v>5.79E-2</v>
      </c>
      <c r="T707" s="140">
        <v>3.5361290322580646E-2</v>
      </c>
      <c r="U707" s="140">
        <f t="shared" ref="U707:U770" si="34">S707-T707</f>
        <v>2.2538709677419354E-2</v>
      </c>
      <c r="V707" s="140">
        <v>4.2729999999999997</v>
      </c>
      <c r="W707" s="140">
        <f>8.358+3.367+4.703</f>
        <v>16.428000000000001</v>
      </c>
      <c r="X707" s="149">
        <f t="shared" si="33"/>
        <v>70.196843999999999</v>
      </c>
      <c r="Y707" s="149"/>
    </row>
    <row r="708" spans="1:25" ht="16">
      <c r="A708" s="149" t="s">
        <v>12</v>
      </c>
      <c r="B708" s="139" t="s">
        <v>3258</v>
      </c>
      <c r="C708" s="140" t="s">
        <v>1744</v>
      </c>
      <c r="D708" s="140" t="s">
        <v>3551</v>
      </c>
      <c r="E708" s="140" t="s">
        <v>3196</v>
      </c>
      <c r="F708" s="140">
        <v>74</v>
      </c>
      <c r="G708" s="140"/>
      <c r="H708" s="140"/>
      <c r="I708" s="141">
        <v>42097</v>
      </c>
      <c r="J708" s="140" t="s">
        <v>36</v>
      </c>
      <c r="K708" s="140" t="s">
        <v>154</v>
      </c>
      <c r="L708" s="140" t="s">
        <v>2566</v>
      </c>
      <c r="M708" s="140" t="s">
        <v>2574</v>
      </c>
      <c r="N708" s="140" t="s">
        <v>3191</v>
      </c>
      <c r="O708" s="140" t="s">
        <v>2111</v>
      </c>
      <c r="P708" s="140" t="s">
        <v>2739</v>
      </c>
      <c r="Q708" s="140" t="s">
        <v>2399</v>
      </c>
      <c r="R708" s="140" t="s">
        <v>2712</v>
      </c>
      <c r="S708" s="140">
        <v>5.4800000000000001E-2</v>
      </c>
      <c r="T708" s="140">
        <v>3.5361290322580646E-2</v>
      </c>
      <c r="U708" s="140">
        <f t="shared" si="34"/>
        <v>1.9438709677419355E-2</v>
      </c>
      <c r="V708" s="140">
        <v>4.1109999999999998</v>
      </c>
      <c r="W708" s="140">
        <f>7.567+3.711+4.605</f>
        <v>15.883000000000001</v>
      </c>
      <c r="X708" s="149">
        <f t="shared" si="33"/>
        <v>65.295012999999997</v>
      </c>
      <c r="Y708" s="149"/>
    </row>
    <row r="709" spans="1:25" ht="18" customHeight="1">
      <c r="A709" s="149" t="s">
        <v>12</v>
      </c>
      <c r="B709" s="139" t="s">
        <v>3255</v>
      </c>
      <c r="C709" s="140" t="s">
        <v>1744</v>
      </c>
      <c r="D709" s="140" t="s">
        <v>3551</v>
      </c>
      <c r="E709" s="140" t="s">
        <v>3197</v>
      </c>
      <c r="F709" s="140">
        <v>15</v>
      </c>
      <c r="G709" s="140"/>
      <c r="H709" s="140"/>
      <c r="I709" s="141">
        <v>42098</v>
      </c>
      <c r="J709" s="140" t="s">
        <v>36</v>
      </c>
      <c r="K709" s="140" t="s">
        <v>154</v>
      </c>
      <c r="L709" s="140" t="s">
        <v>2566</v>
      </c>
      <c r="M709" s="140" t="s">
        <v>2574</v>
      </c>
      <c r="N709" s="140" t="s">
        <v>3191</v>
      </c>
      <c r="O709" s="140" t="s">
        <v>2111</v>
      </c>
      <c r="P709" s="140" t="s">
        <v>2739</v>
      </c>
      <c r="Q709" s="140" t="s">
        <v>2399</v>
      </c>
      <c r="R709" s="149" t="s">
        <v>2713</v>
      </c>
      <c r="S709" s="140">
        <v>5.4899999999999997E-2</v>
      </c>
      <c r="T709" s="140">
        <v>3.5361290322580646E-2</v>
      </c>
      <c r="U709" s="140">
        <f t="shared" si="34"/>
        <v>1.9538709677419351E-2</v>
      </c>
      <c r="V709" s="140">
        <v>4.125</v>
      </c>
      <c r="W709" s="140">
        <f>7.954+9.355</f>
        <v>17.309000000000001</v>
      </c>
      <c r="X709" s="149">
        <f t="shared" si="33"/>
        <v>71.399625</v>
      </c>
      <c r="Y709" s="149"/>
    </row>
    <row r="710" spans="1:25" ht="14.25" customHeight="1">
      <c r="A710" s="149" t="s">
        <v>12</v>
      </c>
      <c r="B710" s="139" t="s">
        <v>3259</v>
      </c>
      <c r="C710" s="140" t="s">
        <v>1744</v>
      </c>
      <c r="D710" s="140" t="s">
        <v>3551</v>
      </c>
      <c r="E710" s="140" t="s">
        <v>3198</v>
      </c>
      <c r="F710" s="140">
        <v>386</v>
      </c>
      <c r="G710" s="140"/>
      <c r="H710" s="140"/>
      <c r="I710" s="141">
        <v>42099</v>
      </c>
      <c r="J710" s="140" t="s">
        <v>36</v>
      </c>
      <c r="K710" s="140" t="s">
        <v>154</v>
      </c>
      <c r="L710" s="140" t="s">
        <v>2566</v>
      </c>
      <c r="M710" s="140" t="s">
        <v>2574</v>
      </c>
      <c r="N710" s="140" t="s">
        <v>3191</v>
      </c>
      <c r="O710" s="140" t="s">
        <v>2111</v>
      </c>
      <c r="P710" s="140" t="s">
        <v>2739</v>
      </c>
      <c r="Q710" s="140" t="s">
        <v>2399</v>
      </c>
      <c r="R710" s="149" t="s">
        <v>2713</v>
      </c>
      <c r="S710" s="140">
        <v>5.6300000000000003E-2</v>
      </c>
      <c r="T710" s="140">
        <v>3.5361290322580646E-2</v>
      </c>
      <c r="U710" s="140">
        <f t="shared" si="34"/>
        <v>2.0938709677419357E-2</v>
      </c>
      <c r="V710" s="140">
        <v>4.37</v>
      </c>
      <c r="W710" s="140">
        <f>7.924+8.865</f>
        <v>16.789000000000001</v>
      </c>
      <c r="X710" s="149">
        <f t="shared" si="33"/>
        <v>73.367930000000001</v>
      </c>
      <c r="Y710" s="149"/>
    </row>
    <row r="711" spans="1:25" ht="14.25" customHeight="1">
      <c r="A711" s="149" t="s">
        <v>12</v>
      </c>
      <c r="B711" s="139" t="s">
        <v>3260</v>
      </c>
      <c r="C711" s="140" t="s">
        <v>1744</v>
      </c>
      <c r="D711" s="140" t="s">
        <v>3551</v>
      </c>
      <c r="E711" s="140" t="s">
        <v>3197</v>
      </c>
      <c r="F711" s="140">
        <v>24</v>
      </c>
      <c r="G711" s="140"/>
      <c r="H711" s="140"/>
      <c r="I711" s="141">
        <v>42100</v>
      </c>
      <c r="J711" s="140" t="s">
        <v>36</v>
      </c>
      <c r="K711" s="140" t="s">
        <v>154</v>
      </c>
      <c r="L711" s="140" t="s">
        <v>2566</v>
      </c>
      <c r="M711" s="140" t="s">
        <v>2574</v>
      </c>
      <c r="N711" s="140" t="s">
        <v>3191</v>
      </c>
      <c r="O711" s="140" t="s">
        <v>2111</v>
      </c>
      <c r="P711" s="140" t="s">
        <v>2739</v>
      </c>
      <c r="Q711" s="140" t="s">
        <v>2399</v>
      </c>
      <c r="R711" s="149" t="s">
        <v>2713</v>
      </c>
      <c r="S711" s="140">
        <v>5.4399999999999997E-2</v>
      </c>
      <c r="T711" s="140">
        <v>3.5361290322580646E-2</v>
      </c>
      <c r="U711" s="140">
        <f t="shared" si="34"/>
        <v>1.9038709677419351E-2</v>
      </c>
      <c r="V711" s="140">
        <v>4.1740000000000004</v>
      </c>
      <c r="W711" s="140">
        <f>7.492+9.102</f>
        <v>16.594000000000001</v>
      </c>
      <c r="X711" s="149">
        <f t="shared" si="33"/>
        <v>69.263356000000016</v>
      </c>
      <c r="Y711" s="149"/>
    </row>
    <row r="712" spans="1:25" ht="14.25" customHeight="1">
      <c r="A712" s="149" t="s">
        <v>12</v>
      </c>
      <c r="B712" s="139" t="s">
        <v>3261</v>
      </c>
      <c r="C712" s="140" t="s">
        <v>1744</v>
      </c>
      <c r="D712" s="140" t="s">
        <v>3551</v>
      </c>
      <c r="E712" s="140" t="s">
        <v>3199</v>
      </c>
      <c r="F712" s="140" t="s">
        <v>36</v>
      </c>
      <c r="G712" s="140"/>
      <c r="H712" s="140"/>
      <c r="I712" s="141">
        <v>42101</v>
      </c>
      <c r="J712" s="140" t="s">
        <v>36</v>
      </c>
      <c r="K712" s="140" t="s">
        <v>154</v>
      </c>
      <c r="L712" s="140" t="s">
        <v>2566</v>
      </c>
      <c r="M712" s="140" t="s">
        <v>2574</v>
      </c>
      <c r="N712" s="140" t="s">
        <v>3191</v>
      </c>
      <c r="O712" s="140" t="s">
        <v>2111</v>
      </c>
      <c r="P712" s="140" t="s">
        <v>2739</v>
      </c>
      <c r="Q712" s="140" t="s">
        <v>2399</v>
      </c>
      <c r="R712" s="149" t="s">
        <v>2713</v>
      </c>
      <c r="S712" s="140">
        <v>5.3600000000000002E-2</v>
      </c>
      <c r="T712" s="140">
        <v>3.5361290322580646E-2</v>
      </c>
      <c r="U712" s="140">
        <f t="shared" si="34"/>
        <v>1.8238709677419356E-2</v>
      </c>
      <c r="V712" s="140">
        <v>3.8730000000000002</v>
      </c>
      <c r="W712" s="140">
        <f>7.739+8.027</f>
        <v>15.765999999999998</v>
      </c>
      <c r="X712" s="149">
        <f t="shared" si="33"/>
        <v>61.061717999999999</v>
      </c>
      <c r="Y712" s="149"/>
    </row>
    <row r="713" spans="1:25" ht="14.25" customHeight="1">
      <c r="A713" s="149" t="s">
        <v>12</v>
      </c>
      <c r="B713" s="139" t="s">
        <v>3262</v>
      </c>
      <c r="C713" s="140" t="s">
        <v>1744</v>
      </c>
      <c r="D713" s="140" t="s">
        <v>3551</v>
      </c>
      <c r="E713" s="140" t="s">
        <v>3201</v>
      </c>
      <c r="F713" s="140" t="s">
        <v>36</v>
      </c>
      <c r="G713" s="140"/>
      <c r="H713" s="140"/>
      <c r="I713" s="141">
        <v>42102</v>
      </c>
      <c r="J713" s="140" t="s">
        <v>36</v>
      </c>
      <c r="K713" s="140" t="s">
        <v>154</v>
      </c>
      <c r="L713" s="140" t="s">
        <v>2566</v>
      </c>
      <c r="M713" s="140" t="s">
        <v>2574</v>
      </c>
      <c r="N713" s="140" t="s">
        <v>3191</v>
      </c>
      <c r="O713" s="140" t="s">
        <v>2111</v>
      </c>
      <c r="P713" s="140" t="s">
        <v>2739</v>
      </c>
      <c r="Q713" s="140" t="s">
        <v>2399</v>
      </c>
      <c r="R713" s="149" t="s">
        <v>2713</v>
      </c>
      <c r="S713" s="140">
        <v>5.1499999999999997E-2</v>
      </c>
      <c r="T713" s="140">
        <v>3.5361290322580646E-2</v>
      </c>
      <c r="U713" s="140">
        <f t="shared" si="34"/>
        <v>1.6138709677419351E-2</v>
      </c>
      <c r="V713" s="140">
        <v>3.5510000000000002</v>
      </c>
      <c r="W713" s="140">
        <f>7.37+7.005</f>
        <v>14.375</v>
      </c>
      <c r="X713" s="149">
        <f t="shared" si="33"/>
        <v>51.045625000000001</v>
      </c>
      <c r="Y713" s="149"/>
    </row>
    <row r="714" spans="1:25" ht="14.25" customHeight="1">
      <c r="A714" s="149" t="s">
        <v>12</v>
      </c>
      <c r="B714" s="139" t="s">
        <v>3263</v>
      </c>
      <c r="C714" s="140" t="s">
        <v>1744</v>
      </c>
      <c r="D714" s="140" t="s">
        <v>3551</v>
      </c>
      <c r="E714" s="140" t="s">
        <v>3202</v>
      </c>
      <c r="F714" s="140">
        <v>680</v>
      </c>
      <c r="G714" s="140"/>
      <c r="H714" s="140"/>
      <c r="I714" s="141">
        <v>42103</v>
      </c>
      <c r="J714" s="140" t="s">
        <v>36</v>
      </c>
      <c r="K714" s="140" t="s">
        <v>154</v>
      </c>
      <c r="L714" s="140" t="s">
        <v>2566</v>
      </c>
      <c r="M714" s="140" t="s">
        <v>2574</v>
      </c>
      <c r="N714" s="140" t="s">
        <v>3191</v>
      </c>
      <c r="O714" s="140" t="s">
        <v>2111</v>
      </c>
      <c r="P714" s="140" t="s">
        <v>2739</v>
      </c>
      <c r="Q714" s="140" t="s">
        <v>3546</v>
      </c>
      <c r="R714" s="149" t="s">
        <v>2713</v>
      </c>
      <c r="S714" s="140">
        <v>4.2999999999999997E-2</v>
      </c>
      <c r="T714" s="140">
        <v>3.5361290322580646E-2</v>
      </c>
      <c r="U714" s="140">
        <f t="shared" si="34"/>
        <v>7.6387096774193503E-3</v>
      </c>
      <c r="V714" s="140">
        <v>2.798</v>
      </c>
      <c r="W714" s="140">
        <v>10.964</v>
      </c>
      <c r="X714" s="149">
        <f t="shared" si="33"/>
        <v>30.677272000000002</v>
      </c>
      <c r="Y714" s="149"/>
    </row>
    <row r="715" spans="1:25" ht="14.25" customHeight="1">
      <c r="A715" s="149" t="s">
        <v>12</v>
      </c>
      <c r="B715" s="139" t="s">
        <v>3264</v>
      </c>
      <c r="C715" s="140" t="s">
        <v>1744</v>
      </c>
      <c r="D715" s="140" t="s">
        <v>3551</v>
      </c>
      <c r="E715" s="140" t="s">
        <v>3203</v>
      </c>
      <c r="F715" s="140" t="s">
        <v>36</v>
      </c>
      <c r="G715" s="140"/>
      <c r="H715" s="140"/>
      <c r="I715" s="141">
        <v>42104</v>
      </c>
      <c r="J715" s="140" t="s">
        <v>36</v>
      </c>
      <c r="K715" s="140" t="s">
        <v>154</v>
      </c>
      <c r="L715" s="140" t="s">
        <v>2566</v>
      </c>
      <c r="M715" s="140" t="s">
        <v>2574</v>
      </c>
      <c r="N715" s="140" t="s">
        <v>3191</v>
      </c>
      <c r="O715" s="140" t="s">
        <v>2111</v>
      </c>
      <c r="P715" s="140" t="s">
        <v>2739</v>
      </c>
      <c r="Q715" s="140" t="s">
        <v>3546</v>
      </c>
      <c r="R715" s="149" t="s">
        <v>2713</v>
      </c>
      <c r="S715" s="140">
        <v>4.02E-2</v>
      </c>
      <c r="T715" s="140">
        <v>3.5361290322580646E-2</v>
      </c>
      <c r="U715" s="140">
        <f t="shared" si="34"/>
        <v>4.8387096774193533E-3</v>
      </c>
      <c r="V715" s="140">
        <v>2.4</v>
      </c>
      <c r="W715" s="140">
        <f>4.785+4.623</f>
        <v>9.4080000000000013</v>
      </c>
      <c r="X715" s="149">
        <f t="shared" si="33"/>
        <v>22.579200000000004</v>
      </c>
      <c r="Y715" s="149"/>
    </row>
    <row r="716" spans="1:25" ht="14.25" customHeight="1">
      <c r="A716" s="149" t="s">
        <v>12</v>
      </c>
      <c r="B716" s="139" t="s">
        <v>3265</v>
      </c>
      <c r="C716" s="140" t="s">
        <v>1744</v>
      </c>
      <c r="D716" s="140" t="s">
        <v>3551</v>
      </c>
      <c r="E716" s="140" t="s">
        <v>3204</v>
      </c>
      <c r="F716" s="140" t="s">
        <v>36</v>
      </c>
      <c r="G716" s="140"/>
      <c r="H716" s="140"/>
      <c r="I716" s="141">
        <v>42105</v>
      </c>
      <c r="J716" s="140" t="s">
        <v>36</v>
      </c>
      <c r="K716" s="140" t="s">
        <v>154</v>
      </c>
      <c r="L716" s="140" t="s">
        <v>2566</v>
      </c>
      <c r="M716" s="140" t="s">
        <v>2574</v>
      </c>
      <c r="N716" s="140" t="s">
        <v>3191</v>
      </c>
      <c r="O716" s="140" t="s">
        <v>2111</v>
      </c>
      <c r="P716" s="140" t="s">
        <v>2739</v>
      </c>
      <c r="Q716" s="140" t="s">
        <v>3546</v>
      </c>
      <c r="R716" s="149" t="s">
        <v>2713</v>
      </c>
      <c r="S716" s="140">
        <v>4.2900000000000001E-2</v>
      </c>
      <c r="T716" s="140">
        <v>3.5361290322580646E-2</v>
      </c>
      <c r="U716" s="140">
        <f t="shared" si="34"/>
        <v>7.5387096774193543E-3</v>
      </c>
      <c r="V716" s="140">
        <v>2.669</v>
      </c>
      <c r="W716" s="140">
        <f>5.961+5.605</f>
        <v>11.566000000000001</v>
      </c>
      <c r="X716" s="149">
        <f t="shared" si="33"/>
        <v>30.869654000000004</v>
      </c>
      <c r="Y716" s="149"/>
    </row>
    <row r="717" spans="1:25" ht="14.25" customHeight="1">
      <c r="A717" s="149" t="s">
        <v>12</v>
      </c>
      <c r="B717" s="139" t="s">
        <v>3266</v>
      </c>
      <c r="C717" s="140" t="s">
        <v>1744</v>
      </c>
      <c r="D717" s="140" t="s">
        <v>3551</v>
      </c>
      <c r="E717" s="140" t="s">
        <v>3206</v>
      </c>
      <c r="F717" s="140">
        <v>84</v>
      </c>
      <c r="G717" s="140"/>
      <c r="H717" s="140"/>
      <c r="I717" s="141">
        <v>42106</v>
      </c>
      <c r="J717" s="140" t="s">
        <v>36</v>
      </c>
      <c r="K717" s="140" t="s">
        <v>154</v>
      </c>
      <c r="L717" s="140" t="s">
        <v>2566</v>
      </c>
      <c r="M717" s="140" t="s">
        <v>2574</v>
      </c>
      <c r="N717" s="140" t="s">
        <v>3191</v>
      </c>
      <c r="O717" s="140" t="s">
        <v>2111</v>
      </c>
      <c r="P717" s="140" t="s">
        <v>2739</v>
      </c>
      <c r="Q717" s="140" t="s">
        <v>3547</v>
      </c>
      <c r="R717" s="149" t="s">
        <v>2713</v>
      </c>
      <c r="S717" s="140">
        <v>4.5199999999999997E-2</v>
      </c>
      <c r="T717" s="140">
        <v>3.5361290322580646E-2</v>
      </c>
      <c r="U717" s="140">
        <f t="shared" si="34"/>
        <v>9.8387096774193508E-3</v>
      </c>
      <c r="V717" s="140">
        <v>2.9470000000000001</v>
      </c>
      <c r="W717" s="140">
        <f>6.359+5.274</f>
        <v>11.632999999999999</v>
      </c>
      <c r="X717" s="149">
        <f t="shared" si="33"/>
        <v>34.282450999999995</v>
      </c>
      <c r="Y717" s="149"/>
    </row>
    <row r="718" spans="1:25" ht="14.25" customHeight="1">
      <c r="A718" s="149" t="s">
        <v>12</v>
      </c>
      <c r="B718" s="139" t="s">
        <v>3267</v>
      </c>
      <c r="C718" s="140" t="s">
        <v>1744</v>
      </c>
      <c r="D718" s="140" t="s">
        <v>3551</v>
      </c>
      <c r="E718" s="140" t="s">
        <v>3207</v>
      </c>
      <c r="F718" s="140">
        <v>55</v>
      </c>
      <c r="G718" s="140"/>
      <c r="H718" s="140"/>
      <c r="I718" s="141">
        <v>42107</v>
      </c>
      <c r="J718" s="140" t="s">
        <v>36</v>
      </c>
      <c r="K718" s="140" t="s">
        <v>154</v>
      </c>
      <c r="L718" s="140" t="s">
        <v>2566</v>
      </c>
      <c r="M718" s="140" t="s">
        <v>2574</v>
      </c>
      <c r="N718" s="140" t="s">
        <v>3191</v>
      </c>
      <c r="O718" s="140" t="s">
        <v>2111</v>
      </c>
      <c r="P718" s="140" t="s">
        <v>2739</v>
      </c>
      <c r="Q718" s="140" t="s">
        <v>3547</v>
      </c>
      <c r="R718" s="149" t="s">
        <v>2713</v>
      </c>
      <c r="S718" s="140">
        <v>4.48E-2</v>
      </c>
      <c r="T718" s="140">
        <v>3.5361290322580646E-2</v>
      </c>
      <c r="U718" s="140">
        <f t="shared" si="34"/>
        <v>9.4387096774193532E-3</v>
      </c>
      <c r="V718" s="140">
        <v>3.0569999999999999</v>
      </c>
      <c r="W718" s="140">
        <f>5.948+5.947</f>
        <v>11.895</v>
      </c>
      <c r="X718" s="149">
        <f t="shared" si="33"/>
        <v>36.363014999999997</v>
      </c>
      <c r="Y718" s="149"/>
    </row>
    <row r="719" spans="1:25" ht="14.25" customHeight="1">
      <c r="A719" s="149" t="s">
        <v>12</v>
      </c>
      <c r="B719" s="139" t="s">
        <v>3268</v>
      </c>
      <c r="C719" s="140" t="s">
        <v>1744</v>
      </c>
      <c r="D719" s="140" t="s">
        <v>3551</v>
      </c>
      <c r="E719" s="140" t="s">
        <v>3208</v>
      </c>
      <c r="F719" s="140" t="s">
        <v>36</v>
      </c>
      <c r="G719" s="140"/>
      <c r="H719" s="140"/>
      <c r="I719" s="141">
        <v>42108</v>
      </c>
      <c r="J719" s="140" t="s">
        <v>36</v>
      </c>
      <c r="K719" s="140" t="s">
        <v>154</v>
      </c>
      <c r="L719" s="140" t="s">
        <v>2566</v>
      </c>
      <c r="M719" s="140" t="s">
        <v>2574</v>
      </c>
      <c r="N719" s="140" t="s">
        <v>3191</v>
      </c>
      <c r="O719" s="140" t="s">
        <v>2111</v>
      </c>
      <c r="P719" s="140" t="s">
        <v>2739</v>
      </c>
      <c r="Q719" s="140" t="s">
        <v>3547</v>
      </c>
      <c r="R719" s="149" t="s">
        <v>2713</v>
      </c>
      <c r="S719" s="140">
        <v>4.5499999999999999E-2</v>
      </c>
      <c r="T719" s="140">
        <v>3.5361290322580646E-2</v>
      </c>
      <c r="U719" s="140">
        <f t="shared" si="34"/>
        <v>1.0138709677419352E-2</v>
      </c>
      <c r="V719" s="140">
        <v>2.9510000000000001</v>
      </c>
      <c r="W719" s="140">
        <f>5.805+6.409</f>
        <v>12.213999999999999</v>
      </c>
      <c r="X719" s="149">
        <f t="shared" si="33"/>
        <v>36.043513999999995</v>
      </c>
      <c r="Y719" s="149"/>
    </row>
    <row r="720" spans="1:25" ht="14.25" customHeight="1">
      <c r="A720" s="149" t="s">
        <v>12</v>
      </c>
      <c r="B720" s="139" t="s">
        <v>3269</v>
      </c>
      <c r="C720" s="140" t="s">
        <v>1744</v>
      </c>
      <c r="D720" s="140" t="s">
        <v>3551</v>
      </c>
      <c r="E720" s="140" t="s">
        <v>3209</v>
      </c>
      <c r="F720" s="140">
        <v>225</v>
      </c>
      <c r="G720" s="140"/>
      <c r="H720" s="140"/>
      <c r="I720" s="141">
        <v>42109</v>
      </c>
      <c r="J720" s="140" t="s">
        <v>36</v>
      </c>
      <c r="K720" s="140" t="s">
        <v>154</v>
      </c>
      <c r="L720" s="140" t="s">
        <v>2566</v>
      </c>
      <c r="M720" s="140" t="s">
        <v>2574</v>
      </c>
      <c r="N720" s="140" t="s">
        <v>3191</v>
      </c>
      <c r="O720" s="140" t="s">
        <v>2111</v>
      </c>
      <c r="P720" s="140" t="s">
        <v>2739</v>
      </c>
      <c r="Q720" s="140" t="s">
        <v>3547</v>
      </c>
      <c r="R720" s="149" t="s">
        <v>2713</v>
      </c>
      <c r="S720" s="140">
        <v>4.5999999999999999E-2</v>
      </c>
      <c r="T720" s="140">
        <v>3.5361290322580646E-2</v>
      </c>
      <c r="U720" s="140">
        <f t="shared" si="34"/>
        <v>1.0638709677419353E-2</v>
      </c>
      <c r="V720" s="140">
        <v>3.2040000000000002</v>
      </c>
      <c r="W720" s="140">
        <f>5.943+7.258</f>
        <v>13.201000000000001</v>
      </c>
      <c r="X720" s="149">
        <f t="shared" si="33"/>
        <v>42.296004000000003</v>
      </c>
      <c r="Y720" s="149"/>
    </row>
    <row r="721" spans="1:25" ht="14.25" customHeight="1">
      <c r="A721" s="149" t="s">
        <v>12</v>
      </c>
      <c r="B721" s="139" t="s">
        <v>3270</v>
      </c>
      <c r="C721" s="140" t="s">
        <v>1744</v>
      </c>
      <c r="D721" s="140" t="s">
        <v>3551</v>
      </c>
      <c r="E721" s="140" t="s">
        <v>3210</v>
      </c>
      <c r="F721" s="140">
        <v>347</v>
      </c>
      <c r="G721" s="140"/>
      <c r="H721" s="140"/>
      <c r="I721" s="141">
        <v>42110</v>
      </c>
      <c r="J721" s="140" t="s">
        <v>36</v>
      </c>
      <c r="K721" s="140" t="s">
        <v>154</v>
      </c>
      <c r="L721" s="140" t="s">
        <v>2566</v>
      </c>
      <c r="M721" s="140" t="s">
        <v>2574</v>
      </c>
      <c r="N721" s="140" t="s">
        <v>3191</v>
      </c>
      <c r="O721" s="140" t="s">
        <v>2111</v>
      </c>
      <c r="P721" s="140" t="s">
        <v>2739</v>
      </c>
      <c r="Q721" s="140" t="s">
        <v>3547</v>
      </c>
      <c r="R721" s="149" t="s">
        <v>2713</v>
      </c>
      <c r="S721" s="140">
        <v>4.41E-2</v>
      </c>
      <c r="T721" s="140">
        <v>3.5361290322580646E-2</v>
      </c>
      <c r="U721" s="140">
        <f t="shared" si="34"/>
        <v>8.738709677419354E-3</v>
      </c>
      <c r="V721" s="140">
        <v>2.7759999999999998</v>
      </c>
      <c r="W721" s="140">
        <f>5.415+5.846</f>
        <v>11.260999999999999</v>
      </c>
      <c r="X721" s="149">
        <f t="shared" si="33"/>
        <v>31.260535999999995</v>
      </c>
      <c r="Y721" s="149"/>
    </row>
    <row r="722" spans="1:25" ht="14.25" customHeight="1">
      <c r="A722" s="149" t="s">
        <v>12</v>
      </c>
      <c r="B722" s="139" t="s">
        <v>3271</v>
      </c>
      <c r="C722" s="140" t="s">
        <v>1744</v>
      </c>
      <c r="D722" s="140" t="s">
        <v>3551</v>
      </c>
      <c r="E722" s="140" t="s">
        <v>3211</v>
      </c>
      <c r="F722" s="140" t="s">
        <v>36</v>
      </c>
      <c r="G722" s="140"/>
      <c r="H722" s="140"/>
      <c r="I722" s="141">
        <v>42111</v>
      </c>
      <c r="J722" s="140" t="s">
        <v>36</v>
      </c>
      <c r="K722" s="140" t="s">
        <v>154</v>
      </c>
      <c r="L722" s="140" t="s">
        <v>2566</v>
      </c>
      <c r="M722" s="140" t="s">
        <v>2574</v>
      </c>
      <c r="N722" s="140" t="s">
        <v>3191</v>
      </c>
      <c r="O722" s="140" t="s">
        <v>2111</v>
      </c>
      <c r="P722" s="140" t="s">
        <v>2739</v>
      </c>
      <c r="Q722" s="140" t="s">
        <v>3547</v>
      </c>
      <c r="R722" s="149" t="s">
        <v>2713</v>
      </c>
      <c r="S722" s="140">
        <v>4.4299999999999999E-2</v>
      </c>
      <c r="T722" s="140">
        <v>3.5361290322580646E-2</v>
      </c>
      <c r="U722" s="140">
        <f t="shared" si="34"/>
        <v>8.9387096774193528E-3</v>
      </c>
      <c r="V722" s="140">
        <v>2.831</v>
      </c>
      <c r="W722" s="140">
        <f>5.621+6.436</f>
        <v>12.057</v>
      </c>
      <c r="X722" s="149">
        <f t="shared" si="33"/>
        <v>34.133367</v>
      </c>
      <c r="Y722" s="149"/>
    </row>
    <row r="723" spans="1:25" ht="14.25" customHeight="1">
      <c r="A723" s="149" t="s">
        <v>12</v>
      </c>
      <c r="B723" s="139" t="s">
        <v>3272</v>
      </c>
      <c r="C723" s="140" t="s">
        <v>1744</v>
      </c>
      <c r="D723" s="140" t="s">
        <v>3551</v>
      </c>
      <c r="E723" s="140" t="s">
        <v>3212</v>
      </c>
      <c r="F723" s="140">
        <v>144</v>
      </c>
      <c r="G723" s="140"/>
      <c r="H723" s="140"/>
      <c r="I723" s="141">
        <v>42112</v>
      </c>
      <c r="J723" s="140" t="s">
        <v>36</v>
      </c>
      <c r="K723" s="140" t="s">
        <v>154</v>
      </c>
      <c r="L723" s="140" t="s">
        <v>2566</v>
      </c>
      <c r="M723" s="140" t="s">
        <v>2574</v>
      </c>
      <c r="N723" s="140" t="s">
        <v>3191</v>
      </c>
      <c r="O723" s="140" t="s">
        <v>2111</v>
      </c>
      <c r="P723" s="140" t="s">
        <v>2739</v>
      </c>
      <c r="Q723" s="140" t="s">
        <v>3547</v>
      </c>
      <c r="R723" s="149" t="s">
        <v>2713</v>
      </c>
      <c r="S723" s="140">
        <v>4.53E-2</v>
      </c>
      <c r="T723" s="140">
        <v>3.5361290322580646E-2</v>
      </c>
      <c r="U723" s="140">
        <f t="shared" si="34"/>
        <v>9.9387096774193537E-3</v>
      </c>
      <c r="V723" s="140">
        <v>2.9590000000000001</v>
      </c>
      <c r="W723" s="140">
        <f>6.145+6.161</f>
        <v>12.305999999999999</v>
      </c>
      <c r="X723" s="149">
        <f t="shared" si="33"/>
        <v>36.413454000000002</v>
      </c>
      <c r="Y723" s="149"/>
    </row>
    <row r="724" spans="1:25" ht="14.25" customHeight="1">
      <c r="A724" s="149" t="s">
        <v>12</v>
      </c>
      <c r="B724" s="139" t="s">
        <v>3273</v>
      </c>
      <c r="C724" s="140" t="s">
        <v>1744</v>
      </c>
      <c r="D724" s="140" t="s">
        <v>3551</v>
      </c>
      <c r="E724" s="140" t="s">
        <v>3213</v>
      </c>
      <c r="F724" s="140" t="s">
        <v>36</v>
      </c>
      <c r="G724" s="140"/>
      <c r="H724" s="140"/>
      <c r="I724" s="141">
        <v>42113</v>
      </c>
      <c r="J724" s="140" t="s">
        <v>36</v>
      </c>
      <c r="K724" s="140" t="s">
        <v>154</v>
      </c>
      <c r="L724" s="140" t="s">
        <v>2566</v>
      </c>
      <c r="M724" s="140" t="s">
        <v>2574</v>
      </c>
      <c r="N724" s="140" t="s">
        <v>3191</v>
      </c>
      <c r="O724" s="140" t="s">
        <v>2111</v>
      </c>
      <c r="P724" s="140" t="s">
        <v>2739</v>
      </c>
      <c r="Q724" s="140" t="s">
        <v>3547</v>
      </c>
      <c r="R724" s="149" t="s">
        <v>2713</v>
      </c>
      <c r="S724" s="140">
        <v>4.4600000000000001E-2</v>
      </c>
      <c r="T724" s="140">
        <v>3.5361290322580646E-2</v>
      </c>
      <c r="U724" s="140">
        <f t="shared" si="34"/>
        <v>9.2387096774193544E-3</v>
      </c>
      <c r="V724" s="140">
        <v>3.0419999999999998</v>
      </c>
      <c r="W724" s="140">
        <f>6.029+6.628</f>
        <v>12.657</v>
      </c>
      <c r="X724" s="149">
        <f t="shared" si="33"/>
        <v>38.502593999999995</v>
      </c>
      <c r="Y724" s="149"/>
    </row>
    <row r="725" spans="1:25" ht="14.25" customHeight="1">
      <c r="A725" s="149" t="s">
        <v>12</v>
      </c>
      <c r="B725" s="139" t="s">
        <v>3274</v>
      </c>
      <c r="C725" s="140" t="s">
        <v>1744</v>
      </c>
      <c r="D725" s="140" t="s">
        <v>3551</v>
      </c>
      <c r="E725" s="140" t="s">
        <v>3214</v>
      </c>
      <c r="F725" s="140" t="s">
        <v>36</v>
      </c>
      <c r="G725" s="140"/>
      <c r="H725" s="140"/>
      <c r="I725" s="141">
        <v>42114</v>
      </c>
      <c r="J725" s="140" t="s">
        <v>36</v>
      </c>
      <c r="K725" s="140" t="s">
        <v>154</v>
      </c>
      <c r="L725" s="140" t="s">
        <v>2566</v>
      </c>
      <c r="M725" s="140" t="s">
        <v>2574</v>
      </c>
      <c r="N725" s="140" t="s">
        <v>3191</v>
      </c>
      <c r="O725" s="140" t="s">
        <v>2111</v>
      </c>
      <c r="P725" s="140" t="s">
        <v>2739</v>
      </c>
      <c r="Q725" s="140" t="s">
        <v>3547</v>
      </c>
      <c r="R725" s="149" t="s">
        <v>2713</v>
      </c>
      <c r="S725" s="140">
        <v>4.5100000000000001E-2</v>
      </c>
      <c r="T725" s="140">
        <v>3.5361290322580646E-2</v>
      </c>
      <c r="U725" s="140">
        <f t="shared" si="34"/>
        <v>9.7387096774193549E-3</v>
      </c>
      <c r="V725" s="140">
        <v>2.8130000000000002</v>
      </c>
      <c r="W725" s="140">
        <f>5.484+6.945</f>
        <v>12.429</v>
      </c>
      <c r="X725" s="149">
        <f t="shared" si="33"/>
        <v>34.962777000000003</v>
      </c>
      <c r="Y725" s="149"/>
    </row>
    <row r="726" spans="1:25" ht="14.25" customHeight="1">
      <c r="A726" s="149" t="s">
        <v>12</v>
      </c>
      <c r="B726" s="139" t="s">
        <v>3275</v>
      </c>
      <c r="C726" s="140" t="s">
        <v>1744</v>
      </c>
      <c r="D726" s="140" t="s">
        <v>3551</v>
      </c>
      <c r="E726" s="140" t="s">
        <v>3215</v>
      </c>
      <c r="F726" s="140" t="s">
        <v>36</v>
      </c>
      <c r="G726" s="140"/>
      <c r="H726" s="140"/>
      <c r="I726" s="141">
        <v>42115</v>
      </c>
      <c r="J726" s="140" t="s">
        <v>36</v>
      </c>
      <c r="K726" s="140" t="s">
        <v>154</v>
      </c>
      <c r="L726" s="140" t="s">
        <v>2566</v>
      </c>
      <c r="M726" s="140" t="s">
        <v>2574</v>
      </c>
      <c r="N726" s="140" t="s">
        <v>3191</v>
      </c>
      <c r="O726" s="140" t="s">
        <v>2111</v>
      </c>
      <c r="P726" s="140" t="s">
        <v>2739</v>
      </c>
      <c r="Q726" s="140" t="s">
        <v>3547</v>
      </c>
      <c r="R726" s="149" t="s">
        <v>2713</v>
      </c>
      <c r="S726" s="140">
        <v>4.58E-2</v>
      </c>
      <c r="T726" s="140">
        <v>3.5361290322580646E-2</v>
      </c>
      <c r="U726" s="140">
        <f t="shared" si="34"/>
        <v>1.0438709677419354E-2</v>
      </c>
      <c r="V726" s="140">
        <v>2.9159999999999999</v>
      </c>
      <c r="W726" s="140">
        <f>6.172+5.609</f>
        <v>11.780999999999999</v>
      </c>
      <c r="X726" s="149">
        <f t="shared" si="33"/>
        <v>34.353395999999996</v>
      </c>
      <c r="Y726" s="149"/>
    </row>
    <row r="727" spans="1:25" ht="14.25" customHeight="1">
      <c r="A727" s="149" t="s">
        <v>12</v>
      </c>
      <c r="B727" s="139" t="s">
        <v>3276</v>
      </c>
      <c r="C727" s="140" t="s">
        <v>1744</v>
      </c>
      <c r="D727" s="140" t="s">
        <v>3551</v>
      </c>
      <c r="E727" s="140" t="s">
        <v>3216</v>
      </c>
      <c r="F727" s="140" t="s">
        <v>36</v>
      </c>
      <c r="G727" s="140"/>
      <c r="H727" s="140"/>
      <c r="I727" s="141">
        <v>42116</v>
      </c>
      <c r="J727" s="140" t="s">
        <v>36</v>
      </c>
      <c r="K727" s="140" t="s">
        <v>154</v>
      </c>
      <c r="L727" s="140" t="s">
        <v>2566</v>
      </c>
      <c r="M727" s="140" t="s">
        <v>2574</v>
      </c>
      <c r="N727" s="140" t="s">
        <v>3191</v>
      </c>
      <c r="O727" s="140" t="s">
        <v>2111</v>
      </c>
      <c r="P727" s="140" t="s">
        <v>2739</v>
      </c>
      <c r="Q727" s="140" t="s">
        <v>3547</v>
      </c>
      <c r="R727" s="149" t="s">
        <v>2713</v>
      </c>
      <c r="S727" s="140">
        <v>4.41E-2</v>
      </c>
      <c r="T727" s="140">
        <v>3.5361290322580646E-2</v>
      </c>
      <c r="U727" s="140">
        <f t="shared" si="34"/>
        <v>8.738709677419354E-3</v>
      </c>
      <c r="V727" s="140">
        <v>2.8460000000000001</v>
      </c>
      <c r="W727" s="140">
        <f>5.653+6.067</f>
        <v>11.719999999999999</v>
      </c>
      <c r="X727" s="149">
        <f t="shared" si="33"/>
        <v>33.355119999999999</v>
      </c>
      <c r="Y727" s="149"/>
    </row>
    <row r="728" spans="1:25" ht="14.25" customHeight="1">
      <c r="A728" s="149" t="s">
        <v>12</v>
      </c>
      <c r="B728" s="139" t="s">
        <v>3277</v>
      </c>
      <c r="C728" s="140" t="s">
        <v>1744</v>
      </c>
      <c r="D728" s="140" t="s">
        <v>3551</v>
      </c>
      <c r="E728" s="140" t="s">
        <v>3217</v>
      </c>
      <c r="F728" s="140">
        <v>661</v>
      </c>
      <c r="G728" s="140"/>
      <c r="H728" s="140"/>
      <c r="I728" s="141">
        <v>42117</v>
      </c>
      <c r="J728" s="140" t="s">
        <v>36</v>
      </c>
      <c r="K728" s="140" t="s">
        <v>154</v>
      </c>
      <c r="L728" s="140" t="s">
        <v>2566</v>
      </c>
      <c r="M728" s="140" t="s">
        <v>2574</v>
      </c>
      <c r="N728" s="140" t="s">
        <v>3191</v>
      </c>
      <c r="O728" s="140" t="s">
        <v>2111</v>
      </c>
      <c r="P728" s="140" t="s">
        <v>2739</v>
      </c>
      <c r="Q728" s="140" t="s">
        <v>3547</v>
      </c>
      <c r="R728" s="149" t="s">
        <v>2713</v>
      </c>
      <c r="S728" s="140">
        <v>4.4499999999999998E-2</v>
      </c>
      <c r="T728" s="140">
        <v>3.5361290322580646E-2</v>
      </c>
      <c r="U728" s="140">
        <f t="shared" si="34"/>
        <v>9.1387096774193516E-3</v>
      </c>
      <c r="V728" s="140">
        <v>2.9940000000000002</v>
      </c>
      <c r="W728" s="140">
        <f>5.988+7.248</f>
        <v>13.236000000000001</v>
      </c>
      <c r="X728" s="149">
        <f t="shared" si="33"/>
        <v>39.628584000000004</v>
      </c>
      <c r="Y728" s="149"/>
    </row>
    <row r="729" spans="1:25" ht="14.25" customHeight="1">
      <c r="A729" s="149" t="s">
        <v>12</v>
      </c>
      <c r="B729" s="139" t="s">
        <v>3278</v>
      </c>
      <c r="C729" s="140" t="s">
        <v>1744</v>
      </c>
      <c r="D729" s="140" t="s">
        <v>3551</v>
      </c>
      <c r="E729" s="140" t="s">
        <v>3218</v>
      </c>
      <c r="F729" s="140">
        <v>663</v>
      </c>
      <c r="G729" s="140"/>
      <c r="H729" s="140"/>
      <c r="I729" s="141">
        <v>42118</v>
      </c>
      <c r="J729" s="140" t="s">
        <v>36</v>
      </c>
      <c r="K729" s="140" t="s">
        <v>154</v>
      </c>
      <c r="L729" s="140" t="s">
        <v>2566</v>
      </c>
      <c r="M729" s="140" t="s">
        <v>2574</v>
      </c>
      <c r="N729" s="140" t="s">
        <v>3191</v>
      </c>
      <c r="O729" s="140" t="s">
        <v>2111</v>
      </c>
      <c r="P729" s="140" t="s">
        <v>2739</v>
      </c>
      <c r="Q729" s="140" t="s">
        <v>3547</v>
      </c>
      <c r="R729" s="149" t="s">
        <v>2713</v>
      </c>
      <c r="S729" s="140">
        <v>4.3499999999999997E-2</v>
      </c>
      <c r="T729" s="140">
        <v>3.5361290322580646E-2</v>
      </c>
      <c r="U729" s="140">
        <f t="shared" si="34"/>
        <v>8.1387096774193507E-3</v>
      </c>
      <c r="V729" s="140">
        <v>2.887</v>
      </c>
      <c r="W729" s="140">
        <f>7.242+4.811</f>
        <v>12.053000000000001</v>
      </c>
      <c r="X729" s="149">
        <f t="shared" si="33"/>
        <v>34.797011000000005</v>
      </c>
      <c r="Y729" s="149"/>
    </row>
    <row r="730" spans="1:25" ht="14.25" customHeight="1">
      <c r="A730" s="149" t="s">
        <v>12</v>
      </c>
      <c r="B730" s="139" t="s">
        <v>3279</v>
      </c>
      <c r="C730" s="140" t="s">
        <v>1744</v>
      </c>
      <c r="D730" s="140" t="s">
        <v>3551</v>
      </c>
      <c r="E730" s="140" t="s">
        <v>3219</v>
      </c>
      <c r="F730" s="140" t="s">
        <v>36</v>
      </c>
      <c r="G730" s="140"/>
      <c r="H730" s="140"/>
      <c r="I730" s="141">
        <v>42119</v>
      </c>
      <c r="J730" s="140" t="s">
        <v>36</v>
      </c>
      <c r="K730" s="140" t="s">
        <v>154</v>
      </c>
      <c r="L730" s="140" t="s">
        <v>2566</v>
      </c>
      <c r="M730" s="140" t="s">
        <v>2574</v>
      </c>
      <c r="N730" s="140" t="s">
        <v>3191</v>
      </c>
      <c r="O730" s="140" t="s">
        <v>2111</v>
      </c>
      <c r="P730" s="140" t="s">
        <v>2739</v>
      </c>
      <c r="Q730" s="140" t="s">
        <v>3547</v>
      </c>
      <c r="R730" s="149" t="s">
        <v>2713</v>
      </c>
      <c r="S730" s="140">
        <v>4.5499999999999999E-2</v>
      </c>
      <c r="T730" s="140">
        <v>3.5361290322580646E-2</v>
      </c>
      <c r="U730" s="140">
        <f t="shared" si="34"/>
        <v>1.0138709677419352E-2</v>
      </c>
      <c r="V730" s="140">
        <v>3.056</v>
      </c>
      <c r="W730" s="140">
        <f>5.98+6.871</f>
        <v>12.851000000000001</v>
      </c>
      <c r="X730" s="149">
        <f t="shared" si="33"/>
        <v>39.272656000000005</v>
      </c>
      <c r="Y730" s="149"/>
    </row>
    <row r="731" spans="1:25" ht="14.25" customHeight="1">
      <c r="A731" s="149" t="s">
        <v>12</v>
      </c>
      <c r="B731" s="139" t="s">
        <v>3280</v>
      </c>
      <c r="C731" s="140" t="s">
        <v>1744</v>
      </c>
      <c r="D731" s="140" t="s">
        <v>3551</v>
      </c>
      <c r="E731" s="140" t="s">
        <v>3200</v>
      </c>
      <c r="F731" s="140" t="s">
        <v>3205</v>
      </c>
      <c r="G731" s="140"/>
      <c r="H731" s="140"/>
      <c r="I731" s="141">
        <v>42120</v>
      </c>
      <c r="J731" s="140" t="s">
        <v>36</v>
      </c>
      <c r="K731" s="140" t="s">
        <v>154</v>
      </c>
      <c r="L731" s="140" t="s">
        <v>2572</v>
      </c>
      <c r="M731" s="140" t="s">
        <v>2576</v>
      </c>
      <c r="N731" s="140" t="s">
        <v>3192</v>
      </c>
      <c r="O731" s="140" t="s">
        <v>2777</v>
      </c>
      <c r="P731" s="140" t="s">
        <v>2777</v>
      </c>
      <c r="Q731" s="140" t="s">
        <v>3220</v>
      </c>
      <c r="R731" s="149" t="s">
        <v>2713</v>
      </c>
      <c r="S731" s="140">
        <v>4.5999999999999999E-2</v>
      </c>
      <c r="T731" s="140">
        <v>3.5361290322580646E-2</v>
      </c>
      <c r="U731" s="140">
        <f t="shared" si="34"/>
        <v>1.0638709677419353E-2</v>
      </c>
      <c r="V731" s="140">
        <v>3.6869999999999998</v>
      </c>
      <c r="W731" s="140">
        <f>7.037+7.622</f>
        <v>14.658999999999999</v>
      </c>
      <c r="X731" s="149">
        <f t="shared" si="33"/>
        <v>54.047732999999994</v>
      </c>
      <c r="Y731" s="149"/>
    </row>
    <row r="732" spans="1:25" ht="14.25" customHeight="1">
      <c r="A732" s="149" t="s">
        <v>12</v>
      </c>
      <c r="B732" s="139" t="s">
        <v>3281</v>
      </c>
      <c r="C732" s="140" t="s">
        <v>1744</v>
      </c>
      <c r="D732" s="140" t="s">
        <v>3551</v>
      </c>
      <c r="E732" s="140" t="s">
        <v>3221</v>
      </c>
      <c r="F732" s="140" t="s">
        <v>3205</v>
      </c>
      <c r="G732" s="140"/>
      <c r="H732" s="140"/>
      <c r="I732" s="141">
        <v>42121</v>
      </c>
      <c r="J732" s="140" t="s">
        <v>36</v>
      </c>
      <c r="K732" s="140" t="s">
        <v>154</v>
      </c>
      <c r="L732" s="140" t="s">
        <v>2572</v>
      </c>
      <c r="M732" s="140" t="s">
        <v>2576</v>
      </c>
      <c r="N732" s="140" t="s">
        <v>3192</v>
      </c>
      <c r="O732" s="140" t="s">
        <v>2777</v>
      </c>
      <c r="P732" s="140" t="s">
        <v>2777</v>
      </c>
      <c r="Q732" s="140" t="s">
        <v>3222</v>
      </c>
      <c r="R732" s="140" t="s">
        <v>2712</v>
      </c>
      <c r="S732" s="140">
        <v>4.36E-2</v>
      </c>
      <c r="T732" s="140">
        <v>3.5361290322580646E-2</v>
      </c>
      <c r="U732" s="140">
        <f t="shared" si="34"/>
        <v>8.2387096774193536E-3</v>
      </c>
      <c r="V732" s="140">
        <v>3.18</v>
      </c>
      <c r="W732" s="140">
        <v>12.297000000000001</v>
      </c>
      <c r="X732" s="149">
        <f t="shared" si="33"/>
        <v>39.104460000000003</v>
      </c>
      <c r="Y732" s="149"/>
    </row>
    <row r="733" spans="1:25" ht="14.25" customHeight="1">
      <c r="A733" s="149" t="s">
        <v>12</v>
      </c>
      <c r="B733" s="139" t="s">
        <v>3282</v>
      </c>
      <c r="C733" s="140" t="s">
        <v>1744</v>
      </c>
      <c r="D733" s="140" t="s">
        <v>3551</v>
      </c>
      <c r="E733" s="140" t="s">
        <v>3223</v>
      </c>
      <c r="F733" s="140">
        <v>387</v>
      </c>
      <c r="G733" s="140"/>
      <c r="H733" s="140"/>
      <c r="I733" s="141">
        <v>42122</v>
      </c>
      <c r="J733" s="140" t="s">
        <v>36</v>
      </c>
      <c r="K733" s="140" t="s">
        <v>154</v>
      </c>
      <c r="L733" s="140" t="s">
        <v>2572</v>
      </c>
      <c r="M733" s="140" t="s">
        <v>2576</v>
      </c>
      <c r="N733" s="140" t="s">
        <v>3192</v>
      </c>
      <c r="O733" s="140" t="s">
        <v>2777</v>
      </c>
      <c r="P733" s="140" t="s">
        <v>2777</v>
      </c>
      <c r="Q733" s="140" t="s">
        <v>3222</v>
      </c>
      <c r="R733" s="140" t="s">
        <v>2712</v>
      </c>
      <c r="S733" s="140">
        <v>4.1700000000000001E-2</v>
      </c>
      <c r="T733" s="140">
        <v>3.5361290322580646E-2</v>
      </c>
      <c r="U733" s="140">
        <f t="shared" si="34"/>
        <v>6.3387096774193546E-3</v>
      </c>
      <c r="V733" s="140">
        <v>2.665</v>
      </c>
      <c r="W733" s="140">
        <f>5.496+5.051</f>
        <v>10.547000000000001</v>
      </c>
      <c r="X733" s="149">
        <f t="shared" si="33"/>
        <v>28.107755000000001</v>
      </c>
      <c r="Y733" s="149"/>
    </row>
    <row r="734" spans="1:25" ht="14.25" customHeight="1">
      <c r="A734" s="149" t="s">
        <v>12</v>
      </c>
      <c r="B734" s="139" t="s">
        <v>3283</v>
      </c>
      <c r="C734" s="140" t="s">
        <v>1744</v>
      </c>
      <c r="D734" s="140" t="s">
        <v>3551</v>
      </c>
      <c r="E734" s="140" t="s">
        <v>3224</v>
      </c>
      <c r="F734" s="140">
        <v>111</v>
      </c>
      <c r="G734" s="140"/>
      <c r="H734" s="140"/>
      <c r="I734" s="141">
        <v>42123</v>
      </c>
      <c r="J734" s="140" t="s">
        <v>36</v>
      </c>
      <c r="K734" s="140" t="s">
        <v>154</v>
      </c>
      <c r="L734" s="140" t="s">
        <v>2572</v>
      </c>
      <c r="M734" s="140" t="s">
        <v>2576</v>
      </c>
      <c r="N734" s="140" t="s">
        <v>3192</v>
      </c>
      <c r="O734" s="140" t="s">
        <v>2777</v>
      </c>
      <c r="P734" s="140" t="s">
        <v>2777</v>
      </c>
      <c r="Q734" s="140" t="s">
        <v>3222</v>
      </c>
      <c r="R734" s="140" t="s">
        <v>2712</v>
      </c>
      <c r="S734" s="140">
        <v>4.2900000000000001E-2</v>
      </c>
      <c r="T734" s="140">
        <v>3.5361290322580646E-2</v>
      </c>
      <c r="U734" s="140">
        <f t="shared" si="34"/>
        <v>7.5387096774193543E-3</v>
      </c>
      <c r="V734" s="140">
        <v>3.0670000000000002</v>
      </c>
      <c r="W734" s="140">
        <v>13.292</v>
      </c>
      <c r="X734" s="149">
        <f t="shared" si="33"/>
        <v>40.766564000000002</v>
      </c>
      <c r="Y734" s="149"/>
    </row>
    <row r="735" spans="1:25" ht="14.25" customHeight="1">
      <c r="A735" s="149" t="s">
        <v>12</v>
      </c>
      <c r="B735" s="139" t="s">
        <v>3284</v>
      </c>
      <c r="C735" s="140" t="s">
        <v>1744</v>
      </c>
      <c r="D735" s="140" t="s">
        <v>3551</v>
      </c>
      <c r="E735" s="140" t="s">
        <v>3223</v>
      </c>
      <c r="F735" s="140">
        <v>368</v>
      </c>
      <c r="G735" s="140"/>
      <c r="H735" s="140"/>
      <c r="I735" s="141">
        <v>42124</v>
      </c>
      <c r="J735" s="140" t="s">
        <v>36</v>
      </c>
      <c r="K735" s="140" t="s">
        <v>154</v>
      </c>
      <c r="L735" s="140" t="s">
        <v>2572</v>
      </c>
      <c r="M735" s="140" t="s">
        <v>2576</v>
      </c>
      <c r="N735" s="140" t="s">
        <v>3192</v>
      </c>
      <c r="O735" s="140" t="s">
        <v>2777</v>
      </c>
      <c r="P735" s="140" t="s">
        <v>2777</v>
      </c>
      <c r="Q735" s="140" t="s">
        <v>3222</v>
      </c>
      <c r="R735" s="140" t="s">
        <v>2712</v>
      </c>
      <c r="S735" s="140">
        <v>4.1500000000000002E-2</v>
      </c>
      <c r="T735" s="140">
        <v>3.5361290322580646E-2</v>
      </c>
      <c r="U735" s="140">
        <f t="shared" si="34"/>
        <v>6.1387096774193559E-3</v>
      </c>
      <c r="V735" s="140">
        <v>3.1110000000000002</v>
      </c>
      <c r="W735" s="140">
        <v>12.523</v>
      </c>
      <c r="X735" s="149">
        <f t="shared" si="33"/>
        <v>38.959053000000004</v>
      </c>
      <c r="Y735" s="149"/>
    </row>
    <row r="736" spans="1:25" ht="14.25" customHeight="1">
      <c r="A736" s="149" t="s">
        <v>12</v>
      </c>
      <c r="B736" s="139" t="s">
        <v>3285</v>
      </c>
      <c r="C736" s="140" t="s">
        <v>1744</v>
      </c>
      <c r="D736" s="140" t="s">
        <v>3551</v>
      </c>
      <c r="E736" s="140" t="s">
        <v>3225</v>
      </c>
      <c r="F736" s="140">
        <v>9</v>
      </c>
      <c r="G736" s="140"/>
      <c r="H736" s="140"/>
      <c r="I736" s="141">
        <v>42125</v>
      </c>
      <c r="J736" s="140" t="s">
        <v>36</v>
      </c>
      <c r="K736" s="140" t="s">
        <v>154</v>
      </c>
      <c r="L736" s="140" t="s">
        <v>2572</v>
      </c>
      <c r="M736" s="140" t="s">
        <v>2576</v>
      </c>
      <c r="N736" s="140" t="s">
        <v>3192</v>
      </c>
      <c r="O736" s="140" t="s">
        <v>2777</v>
      </c>
      <c r="P736" s="140" t="s">
        <v>2777</v>
      </c>
      <c r="Q736" s="140" t="s">
        <v>3222</v>
      </c>
      <c r="R736" s="140" t="s">
        <v>2712</v>
      </c>
      <c r="S736" s="140">
        <v>4.1099999999999998E-2</v>
      </c>
      <c r="T736" s="140">
        <v>3.5361290322580646E-2</v>
      </c>
      <c r="U736" s="140">
        <f t="shared" si="34"/>
        <v>5.7387096774193513E-3</v>
      </c>
      <c r="V736" s="140">
        <v>2.8210000000000002</v>
      </c>
      <c r="W736" s="140">
        <f>5.833+5.445</f>
        <v>11.278</v>
      </c>
      <c r="X736" s="149">
        <f t="shared" si="33"/>
        <v>31.815238000000004</v>
      </c>
      <c r="Y736" s="149"/>
    </row>
    <row r="737" spans="1:25" ht="14.25" customHeight="1">
      <c r="A737" s="149" t="s">
        <v>12</v>
      </c>
      <c r="B737" s="139" t="s">
        <v>3286</v>
      </c>
      <c r="C737" s="140" t="s">
        <v>1744</v>
      </c>
      <c r="D737" s="140" t="s">
        <v>3551</v>
      </c>
      <c r="E737" s="140" t="s">
        <v>3225</v>
      </c>
      <c r="F737" s="140">
        <v>2</v>
      </c>
      <c r="G737" s="140"/>
      <c r="H737" s="140"/>
      <c r="I737" s="141">
        <v>42126</v>
      </c>
      <c r="J737" s="140" t="s">
        <v>36</v>
      </c>
      <c r="K737" s="140" t="s">
        <v>154</v>
      </c>
      <c r="L737" s="140" t="s">
        <v>2572</v>
      </c>
      <c r="M737" s="140" t="s">
        <v>2576</v>
      </c>
      <c r="N737" s="140" t="s">
        <v>3192</v>
      </c>
      <c r="O737" s="140" t="s">
        <v>2777</v>
      </c>
      <c r="P737" s="140" t="s">
        <v>2777</v>
      </c>
      <c r="Q737" s="140" t="s">
        <v>3222</v>
      </c>
      <c r="R737" s="140" t="s">
        <v>2712</v>
      </c>
      <c r="S737" s="140">
        <v>4.1799999999999997E-2</v>
      </c>
      <c r="T737" s="140">
        <v>3.5361290322580646E-2</v>
      </c>
      <c r="U737" s="140">
        <f t="shared" si="34"/>
        <v>6.4387096774193506E-3</v>
      </c>
      <c r="V737" s="140">
        <v>2.899</v>
      </c>
      <c r="W737" s="140">
        <f>5.692+5.819</f>
        <v>11.510999999999999</v>
      </c>
      <c r="X737" s="149">
        <f t="shared" si="33"/>
        <v>33.370388999999996</v>
      </c>
      <c r="Y737" s="149"/>
    </row>
    <row r="738" spans="1:25" ht="14.25" customHeight="1">
      <c r="A738" s="149" t="s">
        <v>12</v>
      </c>
      <c r="B738" s="139" t="s">
        <v>3287</v>
      </c>
      <c r="C738" s="140" t="s">
        <v>1744</v>
      </c>
      <c r="D738" s="140" t="s">
        <v>3551</v>
      </c>
      <c r="E738" s="140" t="s">
        <v>3226</v>
      </c>
      <c r="F738" s="140">
        <v>119</v>
      </c>
      <c r="G738" s="140"/>
      <c r="H738" s="140"/>
      <c r="I738" s="141">
        <v>42127</v>
      </c>
      <c r="J738" s="140" t="s">
        <v>36</v>
      </c>
      <c r="K738" s="140" t="s">
        <v>154</v>
      </c>
      <c r="L738" s="140" t="s">
        <v>2572</v>
      </c>
      <c r="M738" s="140" t="s">
        <v>2576</v>
      </c>
      <c r="N738" s="140" t="s">
        <v>3192</v>
      </c>
      <c r="O738" s="140" t="s">
        <v>2777</v>
      </c>
      <c r="P738" s="140" t="s">
        <v>2777</v>
      </c>
      <c r="Q738" s="140" t="s">
        <v>3222</v>
      </c>
      <c r="R738" s="140" t="s">
        <v>2712</v>
      </c>
      <c r="S738" s="140">
        <v>4.2900000000000001E-2</v>
      </c>
      <c r="T738" s="140">
        <v>3.5361290322580646E-2</v>
      </c>
      <c r="U738" s="140">
        <f t="shared" si="34"/>
        <v>7.5387096774193543E-3</v>
      </c>
      <c r="V738" s="140">
        <v>3.2080000000000002</v>
      </c>
      <c r="W738" s="140">
        <v>11.914</v>
      </c>
      <c r="X738" s="149">
        <f t="shared" si="33"/>
        <v>38.220112</v>
      </c>
      <c r="Y738" s="149"/>
    </row>
    <row r="739" spans="1:25" ht="14.25" customHeight="1">
      <c r="A739" s="149" t="s">
        <v>12</v>
      </c>
      <c r="B739" s="139" t="s">
        <v>3288</v>
      </c>
      <c r="C739" s="140" t="s">
        <v>1744</v>
      </c>
      <c r="D739" s="140" t="s">
        <v>3551</v>
      </c>
      <c r="E739" s="140" t="s">
        <v>3227</v>
      </c>
      <c r="F739" s="140">
        <v>120</v>
      </c>
      <c r="G739" s="140"/>
      <c r="H739" s="140"/>
      <c r="I739" s="141">
        <v>42128</v>
      </c>
      <c r="J739" s="140" t="s">
        <v>36</v>
      </c>
      <c r="K739" s="140" t="s">
        <v>154</v>
      </c>
      <c r="L739" s="140" t="s">
        <v>2572</v>
      </c>
      <c r="M739" s="140" t="s">
        <v>2576</v>
      </c>
      <c r="N739" s="140" t="s">
        <v>3192</v>
      </c>
      <c r="O739" s="140" t="s">
        <v>2777</v>
      </c>
      <c r="P739" s="140" t="s">
        <v>2777</v>
      </c>
      <c r="Q739" s="140" t="s">
        <v>3222</v>
      </c>
      <c r="R739" s="140" t="s">
        <v>2712</v>
      </c>
      <c r="S739" s="140">
        <v>4.2299999999999997E-2</v>
      </c>
      <c r="T739" s="140">
        <v>3.5361290322580646E-2</v>
      </c>
      <c r="U739" s="140">
        <f t="shared" si="34"/>
        <v>6.938709677419351E-3</v>
      </c>
      <c r="V739" s="140">
        <v>3.1379999999999999</v>
      </c>
      <c r="W739" s="140">
        <v>11.95</v>
      </c>
      <c r="X739" s="149">
        <f t="shared" si="33"/>
        <v>37.499099999999999</v>
      </c>
      <c r="Y739" s="149"/>
    </row>
    <row r="740" spans="1:25" ht="14.25" customHeight="1">
      <c r="A740" s="149" t="s">
        <v>12</v>
      </c>
      <c r="B740" s="139" t="s">
        <v>3289</v>
      </c>
      <c r="C740" s="140" t="s">
        <v>1744</v>
      </c>
      <c r="D740" s="140" t="s">
        <v>3551</v>
      </c>
      <c r="E740" s="140" t="s">
        <v>3227</v>
      </c>
      <c r="F740" s="140">
        <v>8</v>
      </c>
      <c r="G740" s="140"/>
      <c r="H740" s="140"/>
      <c r="I740" s="141">
        <v>42129</v>
      </c>
      <c r="J740" s="140" t="s">
        <v>36</v>
      </c>
      <c r="K740" s="140" t="s">
        <v>154</v>
      </c>
      <c r="L740" s="140" t="s">
        <v>2572</v>
      </c>
      <c r="M740" s="140" t="s">
        <v>2576</v>
      </c>
      <c r="N740" s="140" t="s">
        <v>3192</v>
      </c>
      <c r="O740" s="140" t="s">
        <v>2777</v>
      </c>
      <c r="P740" s="140" t="s">
        <v>2777</v>
      </c>
      <c r="Q740" s="140" t="s">
        <v>3222</v>
      </c>
      <c r="R740" s="140" t="s">
        <v>2712</v>
      </c>
      <c r="S740" s="140">
        <v>4.24E-2</v>
      </c>
      <c r="T740" s="140">
        <v>3.5361290322580646E-2</v>
      </c>
      <c r="U740" s="140">
        <f t="shared" si="34"/>
        <v>7.0387096774193539E-3</v>
      </c>
      <c r="V740" s="140">
        <v>2.996</v>
      </c>
      <c r="W740" s="140">
        <f>6.172+6.469</f>
        <v>12.641</v>
      </c>
      <c r="X740" s="149">
        <f t="shared" si="33"/>
        <v>37.872436</v>
      </c>
      <c r="Y740" s="149"/>
    </row>
    <row r="741" spans="1:25" ht="14.25" customHeight="1">
      <c r="A741" s="149" t="s">
        <v>12</v>
      </c>
      <c r="B741" s="139" t="s">
        <v>3290</v>
      </c>
      <c r="C741" s="140" t="s">
        <v>1744</v>
      </c>
      <c r="D741" s="140" t="s">
        <v>3551</v>
      </c>
      <c r="E741" s="140" t="s">
        <v>3227</v>
      </c>
      <c r="F741" s="140">
        <v>5</v>
      </c>
      <c r="G741" s="140"/>
      <c r="H741" s="140"/>
      <c r="I741" s="141">
        <v>42130</v>
      </c>
      <c r="J741" s="140" t="s">
        <v>36</v>
      </c>
      <c r="K741" s="140" t="s">
        <v>154</v>
      </c>
      <c r="L741" s="140" t="s">
        <v>2572</v>
      </c>
      <c r="M741" s="140" t="s">
        <v>2576</v>
      </c>
      <c r="N741" s="140" t="s">
        <v>3192</v>
      </c>
      <c r="O741" s="140" t="s">
        <v>2777</v>
      </c>
      <c r="P741" s="140" t="s">
        <v>2777</v>
      </c>
      <c r="Q741" s="140" t="s">
        <v>3222</v>
      </c>
      <c r="R741" s="140" t="s">
        <v>2712</v>
      </c>
      <c r="S741" s="140">
        <v>4.2999999999999997E-2</v>
      </c>
      <c r="T741" s="140">
        <v>3.5361290322580646E-2</v>
      </c>
      <c r="U741" s="140">
        <f t="shared" si="34"/>
        <v>7.6387096774193503E-3</v>
      </c>
      <c r="V741" s="140">
        <v>3.4609999999999999</v>
      </c>
      <c r="W741" s="140">
        <f>6.214+5.908</f>
        <v>12.122</v>
      </c>
      <c r="X741" s="149">
        <f t="shared" si="33"/>
        <v>41.954242000000001</v>
      </c>
      <c r="Y741" s="149"/>
    </row>
    <row r="742" spans="1:25" ht="14.25" customHeight="1">
      <c r="A742" s="149" t="s">
        <v>12</v>
      </c>
      <c r="B742" s="139" t="s">
        <v>3291</v>
      </c>
      <c r="C742" s="140" t="s">
        <v>1744</v>
      </c>
      <c r="D742" s="140" t="s">
        <v>3551</v>
      </c>
      <c r="E742" s="140" t="s">
        <v>3227</v>
      </c>
      <c r="F742" s="140">
        <v>117</v>
      </c>
      <c r="G742" s="140"/>
      <c r="H742" s="140"/>
      <c r="I742" s="141">
        <v>42131</v>
      </c>
      <c r="J742" s="140" t="s">
        <v>36</v>
      </c>
      <c r="K742" s="140" t="s">
        <v>154</v>
      </c>
      <c r="L742" s="140" t="s">
        <v>2572</v>
      </c>
      <c r="M742" s="140" t="s">
        <v>2576</v>
      </c>
      <c r="N742" s="140" t="s">
        <v>3192</v>
      </c>
      <c r="O742" s="140" t="s">
        <v>2777</v>
      </c>
      <c r="P742" s="140" t="s">
        <v>2777</v>
      </c>
      <c r="Q742" s="140" t="s">
        <v>3222</v>
      </c>
      <c r="R742" s="140" t="s">
        <v>2712</v>
      </c>
      <c r="S742" s="140">
        <v>4.2200000000000001E-2</v>
      </c>
      <c r="T742" s="140">
        <v>3.5361290322580646E-2</v>
      </c>
      <c r="U742" s="140">
        <f t="shared" si="34"/>
        <v>6.8387096774193551E-3</v>
      </c>
      <c r="V742" s="140">
        <v>3.0720000000000001</v>
      </c>
      <c r="W742" s="140">
        <f>5.838+6.323</f>
        <v>12.161000000000001</v>
      </c>
      <c r="X742" s="149">
        <f t="shared" si="33"/>
        <v>37.358592000000002</v>
      </c>
      <c r="Y742" s="149"/>
    </row>
    <row r="743" spans="1:25" ht="14.25" customHeight="1">
      <c r="A743" s="149" t="s">
        <v>12</v>
      </c>
      <c r="B743" s="139" t="s">
        <v>3292</v>
      </c>
      <c r="C743" s="140" t="s">
        <v>1744</v>
      </c>
      <c r="D743" s="140" t="s">
        <v>3551</v>
      </c>
      <c r="E743" s="140" t="s">
        <v>3227</v>
      </c>
      <c r="F743" s="140">
        <v>118</v>
      </c>
      <c r="G743" s="140"/>
      <c r="H743" s="140"/>
      <c r="I743" s="141">
        <v>42132</v>
      </c>
      <c r="J743" s="140" t="s">
        <v>36</v>
      </c>
      <c r="K743" s="140" t="s">
        <v>154</v>
      </c>
      <c r="L743" s="140" t="s">
        <v>2572</v>
      </c>
      <c r="M743" s="140" t="s">
        <v>2576</v>
      </c>
      <c r="N743" s="140" t="s">
        <v>3192</v>
      </c>
      <c r="O743" s="140" t="s">
        <v>2777</v>
      </c>
      <c r="P743" s="140" t="s">
        <v>2777</v>
      </c>
      <c r="Q743" s="140" t="s">
        <v>3222</v>
      </c>
      <c r="R743" s="140" t="s">
        <v>2712</v>
      </c>
      <c r="S743" s="140">
        <v>4.2500000000000003E-2</v>
      </c>
      <c r="T743" s="140">
        <v>3.5361290322580646E-2</v>
      </c>
      <c r="U743" s="140">
        <f t="shared" si="34"/>
        <v>7.1387096774193567E-3</v>
      </c>
      <c r="V743" s="140">
        <v>3.1240000000000001</v>
      </c>
      <c r="W743" s="140">
        <f>5.961+6.32</f>
        <v>12.281000000000001</v>
      </c>
      <c r="X743" s="149">
        <f t="shared" si="33"/>
        <v>38.365844000000003</v>
      </c>
      <c r="Y743" s="149"/>
    </row>
    <row r="744" spans="1:25" ht="14.25" customHeight="1">
      <c r="A744" s="149" t="s">
        <v>12</v>
      </c>
      <c r="B744" s="139" t="s">
        <v>3293</v>
      </c>
      <c r="C744" s="140" t="s">
        <v>1744</v>
      </c>
      <c r="D744" s="140" t="s">
        <v>3551</v>
      </c>
      <c r="E744" s="140" t="s">
        <v>3228</v>
      </c>
      <c r="F744" s="140" t="s">
        <v>36</v>
      </c>
      <c r="G744" s="140"/>
      <c r="H744" s="140"/>
      <c r="I744" s="141">
        <v>42133</v>
      </c>
      <c r="J744" s="140" t="s">
        <v>36</v>
      </c>
      <c r="K744" s="140" t="s">
        <v>154</v>
      </c>
      <c r="L744" s="140" t="s">
        <v>2572</v>
      </c>
      <c r="M744" s="140" t="s">
        <v>2576</v>
      </c>
      <c r="N744" s="140" t="s">
        <v>3192</v>
      </c>
      <c r="O744" s="140" t="s">
        <v>2777</v>
      </c>
      <c r="P744" s="140" t="s">
        <v>2777</v>
      </c>
      <c r="Q744" s="140" t="s">
        <v>3222</v>
      </c>
      <c r="R744" s="140" t="s">
        <v>2712</v>
      </c>
      <c r="S744" s="140">
        <v>4.2000000000000003E-2</v>
      </c>
      <c r="T744" s="140">
        <v>3.5361290322580646E-2</v>
      </c>
      <c r="U744" s="140">
        <f t="shared" si="34"/>
        <v>6.6387096774193563E-3</v>
      </c>
      <c r="V744" s="140">
        <v>2.8919999999999999</v>
      </c>
      <c r="W744" s="140">
        <f>5.482+5.476</f>
        <v>10.958</v>
      </c>
      <c r="X744" s="149">
        <f t="shared" si="33"/>
        <v>31.690535999999998</v>
      </c>
      <c r="Y744" s="149"/>
    </row>
    <row r="745" spans="1:25" ht="14.25" customHeight="1">
      <c r="A745" s="149" t="s">
        <v>12</v>
      </c>
      <c r="B745" s="139" t="s">
        <v>3294</v>
      </c>
      <c r="C745" s="140" t="s">
        <v>1744</v>
      </c>
      <c r="D745" s="140" t="s">
        <v>3551</v>
      </c>
      <c r="E745" s="140" t="s">
        <v>3228</v>
      </c>
      <c r="F745" s="140" t="s">
        <v>36</v>
      </c>
      <c r="G745" s="140"/>
      <c r="H745" s="140"/>
      <c r="I745" s="141">
        <v>42134</v>
      </c>
      <c r="J745" s="140" t="s">
        <v>36</v>
      </c>
      <c r="K745" s="140" t="s">
        <v>154</v>
      </c>
      <c r="L745" s="140" t="s">
        <v>2572</v>
      </c>
      <c r="M745" s="140" t="s">
        <v>2576</v>
      </c>
      <c r="N745" s="140" t="s">
        <v>3192</v>
      </c>
      <c r="O745" s="140" t="s">
        <v>2777</v>
      </c>
      <c r="P745" s="140" t="s">
        <v>2777</v>
      </c>
      <c r="Q745" s="140" t="s">
        <v>3222</v>
      </c>
      <c r="R745" s="140" t="s">
        <v>2712</v>
      </c>
      <c r="S745" s="140">
        <v>4.2500000000000003E-2</v>
      </c>
      <c r="T745" s="140">
        <v>3.5361290322580646E-2</v>
      </c>
      <c r="U745" s="140">
        <f t="shared" si="34"/>
        <v>7.1387096774193567E-3</v>
      </c>
      <c r="V745" s="140">
        <v>3.0070000000000001</v>
      </c>
      <c r="W745" s="140">
        <f>6.332+5.63</f>
        <v>11.962</v>
      </c>
      <c r="X745" s="149">
        <f t="shared" si="33"/>
        <v>35.969734000000003</v>
      </c>
      <c r="Y745" s="149"/>
    </row>
    <row r="746" spans="1:25" ht="14.25" customHeight="1">
      <c r="A746" s="149" t="s">
        <v>12</v>
      </c>
      <c r="B746" s="139" t="s">
        <v>3295</v>
      </c>
      <c r="C746" s="140" t="s">
        <v>1744</v>
      </c>
      <c r="D746" s="140" t="s">
        <v>3551</v>
      </c>
      <c r="E746" s="140" t="s">
        <v>3229</v>
      </c>
      <c r="F746" s="140" t="s">
        <v>36</v>
      </c>
      <c r="G746" s="140"/>
      <c r="H746" s="140"/>
      <c r="I746" s="141">
        <v>42135</v>
      </c>
      <c r="J746" s="140" t="s">
        <v>36</v>
      </c>
      <c r="K746" s="140" t="s">
        <v>154</v>
      </c>
      <c r="L746" s="140" t="s">
        <v>2572</v>
      </c>
      <c r="M746" s="140" t="s">
        <v>2576</v>
      </c>
      <c r="N746" s="140" t="s">
        <v>3192</v>
      </c>
      <c r="O746" s="140" t="s">
        <v>2777</v>
      </c>
      <c r="P746" s="140" t="s">
        <v>2777</v>
      </c>
      <c r="Q746" s="140" t="s">
        <v>3222</v>
      </c>
      <c r="R746" s="140" t="s">
        <v>2712</v>
      </c>
      <c r="S746" s="140">
        <v>4.2200000000000001E-2</v>
      </c>
      <c r="T746" s="140">
        <v>3.5361290322580646E-2</v>
      </c>
      <c r="U746" s="140">
        <f t="shared" si="34"/>
        <v>6.8387096774193551E-3</v>
      </c>
      <c r="V746" s="140">
        <v>3.069</v>
      </c>
      <c r="W746" s="140">
        <f>5.975+5.595</f>
        <v>11.57</v>
      </c>
      <c r="X746" s="149">
        <f t="shared" si="33"/>
        <v>35.508330000000001</v>
      </c>
      <c r="Y746" s="149"/>
    </row>
    <row r="747" spans="1:25" ht="14.25" customHeight="1">
      <c r="A747" s="149" t="s">
        <v>12</v>
      </c>
      <c r="B747" s="139" t="s">
        <v>3296</v>
      </c>
      <c r="C747" s="140" t="s">
        <v>1744</v>
      </c>
      <c r="D747" s="140" t="s">
        <v>3551</v>
      </c>
      <c r="E747" s="140" t="s">
        <v>3201</v>
      </c>
      <c r="F747" s="140" t="s">
        <v>36</v>
      </c>
      <c r="G747" s="140"/>
      <c r="H747" s="140"/>
      <c r="I747" s="141">
        <v>42136</v>
      </c>
      <c r="J747" s="140" t="s">
        <v>36</v>
      </c>
      <c r="K747" s="140" t="s">
        <v>154</v>
      </c>
      <c r="L747" s="140" t="s">
        <v>2572</v>
      </c>
      <c r="M747" s="140" t="s">
        <v>2576</v>
      </c>
      <c r="N747" s="140" t="s">
        <v>3192</v>
      </c>
      <c r="O747" s="140" t="s">
        <v>2777</v>
      </c>
      <c r="P747" s="140" t="s">
        <v>2777</v>
      </c>
      <c r="Q747" s="140" t="s">
        <v>3222</v>
      </c>
      <c r="R747" s="140" t="s">
        <v>2712</v>
      </c>
      <c r="S747" s="140">
        <v>4.36E-2</v>
      </c>
      <c r="T747" s="140">
        <v>3.5361290322580646E-2</v>
      </c>
      <c r="U747" s="140">
        <f t="shared" si="34"/>
        <v>8.2387096774193536E-3</v>
      </c>
      <c r="V747" s="140">
        <v>3.0630000000000002</v>
      </c>
      <c r="W747" s="140">
        <f>6.49+6.488</f>
        <v>12.978000000000002</v>
      </c>
      <c r="X747" s="149">
        <f t="shared" si="33"/>
        <v>39.751614000000004</v>
      </c>
      <c r="Y747" s="149"/>
    </row>
    <row r="748" spans="1:25" ht="14.25" customHeight="1">
      <c r="A748" s="149" t="s">
        <v>12</v>
      </c>
      <c r="B748" s="139" t="s">
        <v>3297</v>
      </c>
      <c r="C748" s="140" t="s">
        <v>1744</v>
      </c>
      <c r="D748" s="140" t="s">
        <v>3551</v>
      </c>
      <c r="E748" s="140" t="s">
        <v>3230</v>
      </c>
      <c r="F748" s="140" t="s">
        <v>36</v>
      </c>
      <c r="G748" s="140"/>
      <c r="H748" s="140"/>
      <c r="I748" s="141">
        <v>42137</v>
      </c>
      <c r="J748" s="140" t="s">
        <v>36</v>
      </c>
      <c r="K748" s="140" t="s">
        <v>154</v>
      </c>
      <c r="L748" s="140" t="s">
        <v>2572</v>
      </c>
      <c r="M748" s="140" t="s">
        <v>2576</v>
      </c>
      <c r="N748" s="140" t="s">
        <v>3192</v>
      </c>
      <c r="O748" s="140" t="s">
        <v>2777</v>
      </c>
      <c r="P748" s="140" t="s">
        <v>2777</v>
      </c>
      <c r="Q748" s="140" t="s">
        <v>3222</v>
      </c>
      <c r="R748" s="140" t="s">
        <v>2712</v>
      </c>
      <c r="S748" s="140">
        <v>4.1200000000000001E-2</v>
      </c>
      <c r="T748" s="140">
        <v>3.5361290322580646E-2</v>
      </c>
      <c r="U748" s="140">
        <f t="shared" si="34"/>
        <v>5.8387096774193542E-3</v>
      </c>
      <c r="V748" s="140">
        <v>2.6850000000000001</v>
      </c>
      <c r="W748" s="140">
        <f>5.939+5.762</f>
        <v>11.701000000000001</v>
      </c>
      <c r="X748" s="149">
        <f t="shared" si="33"/>
        <v>31.417185000000003</v>
      </c>
      <c r="Y748" s="149"/>
    </row>
    <row r="749" spans="1:25" ht="14.25" customHeight="1">
      <c r="A749" s="149" t="s">
        <v>12</v>
      </c>
      <c r="B749" s="139" t="s">
        <v>3298</v>
      </c>
      <c r="C749" s="140" t="s">
        <v>1744</v>
      </c>
      <c r="D749" s="140" t="s">
        <v>3551</v>
      </c>
      <c r="E749" s="140" t="s">
        <v>3230</v>
      </c>
      <c r="F749" s="140" t="s">
        <v>36</v>
      </c>
      <c r="G749" s="140"/>
      <c r="H749" s="140"/>
      <c r="I749" s="141">
        <v>42138</v>
      </c>
      <c r="J749" s="140" t="s">
        <v>36</v>
      </c>
      <c r="K749" s="140" t="s">
        <v>154</v>
      </c>
      <c r="L749" s="140" t="s">
        <v>2572</v>
      </c>
      <c r="M749" s="140" t="s">
        <v>2576</v>
      </c>
      <c r="N749" s="140" t="s">
        <v>3192</v>
      </c>
      <c r="O749" s="140" t="s">
        <v>2777</v>
      </c>
      <c r="P749" s="140" t="s">
        <v>2777</v>
      </c>
      <c r="Q749" s="140" t="s">
        <v>3222</v>
      </c>
      <c r="R749" s="140" t="s">
        <v>2712</v>
      </c>
      <c r="S749" s="140">
        <v>4.1799999999999997E-2</v>
      </c>
      <c r="T749" s="140">
        <v>3.5361290322580646E-2</v>
      </c>
      <c r="U749" s="140">
        <f t="shared" si="34"/>
        <v>6.4387096774193506E-3</v>
      </c>
      <c r="V749" s="140">
        <v>2.9550000000000001</v>
      </c>
      <c r="W749" s="140">
        <f>6.037+6.078</f>
        <v>12.115</v>
      </c>
      <c r="X749" s="149">
        <f t="shared" si="33"/>
        <v>35.799824999999998</v>
      </c>
      <c r="Y749" s="149"/>
    </row>
    <row r="750" spans="1:25" ht="14.25" customHeight="1">
      <c r="A750" s="149" t="s">
        <v>12</v>
      </c>
      <c r="B750" s="139" t="s">
        <v>3299</v>
      </c>
      <c r="C750" s="140" t="s">
        <v>1744</v>
      </c>
      <c r="D750" s="140" t="s">
        <v>3551</v>
      </c>
      <c r="E750" s="140" t="s">
        <v>3230</v>
      </c>
      <c r="F750" s="140" t="s">
        <v>36</v>
      </c>
      <c r="G750" s="140"/>
      <c r="H750" s="140"/>
      <c r="I750" s="141">
        <v>42139</v>
      </c>
      <c r="J750" s="140" t="s">
        <v>36</v>
      </c>
      <c r="K750" s="140" t="s">
        <v>154</v>
      </c>
      <c r="L750" s="140" t="s">
        <v>2572</v>
      </c>
      <c r="M750" s="140" t="s">
        <v>2576</v>
      </c>
      <c r="N750" s="140" t="s">
        <v>3192</v>
      </c>
      <c r="O750" s="140" t="s">
        <v>2777</v>
      </c>
      <c r="P750" s="140" t="s">
        <v>2777</v>
      </c>
      <c r="Q750" s="140" t="s">
        <v>3222</v>
      </c>
      <c r="R750" s="140" t="s">
        <v>2712</v>
      </c>
      <c r="S750" s="140">
        <v>4.36E-2</v>
      </c>
      <c r="T750" s="140">
        <v>3.5361290322580646E-2</v>
      </c>
      <c r="U750" s="140">
        <f t="shared" si="34"/>
        <v>8.2387096774193536E-3</v>
      </c>
      <c r="V750" s="140">
        <v>3.0979999999999999</v>
      </c>
      <c r="W750" s="140">
        <f>6.33+6.363</f>
        <v>12.693000000000001</v>
      </c>
      <c r="X750" s="149">
        <f t="shared" si="33"/>
        <v>39.322914000000004</v>
      </c>
      <c r="Y750" s="149"/>
    </row>
    <row r="751" spans="1:25" ht="14.25" customHeight="1">
      <c r="A751" s="149" t="s">
        <v>12</v>
      </c>
      <c r="B751" s="139" t="s">
        <v>3300</v>
      </c>
      <c r="C751" s="140" t="s">
        <v>1744</v>
      </c>
      <c r="D751" s="140" t="s">
        <v>3551</v>
      </c>
      <c r="E751" s="140" t="s">
        <v>3230</v>
      </c>
      <c r="F751" s="140" t="s">
        <v>36</v>
      </c>
      <c r="G751" s="140"/>
      <c r="H751" s="140"/>
      <c r="I751" s="141">
        <v>42140</v>
      </c>
      <c r="J751" s="140" t="s">
        <v>36</v>
      </c>
      <c r="K751" s="140" t="s">
        <v>154</v>
      </c>
      <c r="L751" s="140" t="s">
        <v>2572</v>
      </c>
      <c r="M751" s="140" t="s">
        <v>2576</v>
      </c>
      <c r="N751" s="140" t="s">
        <v>3192</v>
      </c>
      <c r="O751" s="140" t="s">
        <v>2777</v>
      </c>
      <c r="P751" s="140" t="s">
        <v>2777</v>
      </c>
      <c r="Q751" s="140" t="s">
        <v>3222</v>
      </c>
      <c r="R751" s="140" t="s">
        <v>2712</v>
      </c>
      <c r="S751" s="140">
        <v>4.2999999999999997E-2</v>
      </c>
      <c r="T751" s="140">
        <v>3.5361290322580646E-2</v>
      </c>
      <c r="U751" s="140">
        <f t="shared" si="34"/>
        <v>7.6387096774193503E-3</v>
      </c>
      <c r="V751" s="140">
        <v>3.266</v>
      </c>
      <c r="W751" s="140">
        <v>12.067</v>
      </c>
      <c r="X751" s="149">
        <f t="shared" si="33"/>
        <v>39.410822000000003</v>
      </c>
      <c r="Y751" s="149"/>
    </row>
    <row r="752" spans="1:25" ht="14.25" customHeight="1">
      <c r="A752" s="149" t="s">
        <v>12</v>
      </c>
      <c r="B752" s="139" t="s">
        <v>3301</v>
      </c>
      <c r="C752" s="140" t="s">
        <v>1744</v>
      </c>
      <c r="D752" s="140" t="s">
        <v>3551</v>
      </c>
      <c r="E752" s="140" t="s">
        <v>3230</v>
      </c>
      <c r="F752" s="140" t="s">
        <v>36</v>
      </c>
      <c r="G752" s="140"/>
      <c r="H752" s="140"/>
      <c r="I752" s="141">
        <v>42141</v>
      </c>
      <c r="J752" s="140" t="s">
        <v>36</v>
      </c>
      <c r="K752" s="140" t="s">
        <v>154</v>
      </c>
      <c r="L752" s="140" t="s">
        <v>2572</v>
      </c>
      <c r="M752" s="140" t="s">
        <v>2576</v>
      </c>
      <c r="N752" s="140" t="s">
        <v>3192</v>
      </c>
      <c r="O752" s="140" t="s">
        <v>2777</v>
      </c>
      <c r="P752" s="140" t="s">
        <v>2777</v>
      </c>
      <c r="Q752" s="140" t="s">
        <v>3222</v>
      </c>
      <c r="R752" s="140" t="s">
        <v>2712</v>
      </c>
      <c r="S752" s="140">
        <v>4.24E-2</v>
      </c>
      <c r="T752" s="140">
        <v>3.5361290322580646E-2</v>
      </c>
      <c r="U752" s="140">
        <f t="shared" si="34"/>
        <v>7.0387096774193539E-3</v>
      </c>
      <c r="V752" s="140">
        <v>3.0590000000000002</v>
      </c>
      <c r="W752" s="140">
        <f>5.897+5.733</f>
        <v>11.629999999999999</v>
      </c>
      <c r="X752" s="149">
        <f t="shared" si="33"/>
        <v>35.576169999999998</v>
      </c>
      <c r="Y752" s="149"/>
    </row>
    <row r="753" spans="1:26" ht="14.25" customHeight="1">
      <c r="A753" s="149" t="s">
        <v>12</v>
      </c>
      <c r="B753" s="139" t="s">
        <v>3302</v>
      </c>
      <c r="C753" s="140" t="s">
        <v>1744</v>
      </c>
      <c r="D753" s="140" t="s">
        <v>3551</v>
      </c>
      <c r="E753" s="140" t="s">
        <v>3230</v>
      </c>
      <c r="F753" s="140" t="s">
        <v>36</v>
      </c>
      <c r="G753" s="140"/>
      <c r="H753" s="140"/>
      <c r="I753" s="141">
        <v>42142</v>
      </c>
      <c r="J753" s="140" t="s">
        <v>36</v>
      </c>
      <c r="K753" s="140" t="s">
        <v>154</v>
      </c>
      <c r="L753" s="140" t="s">
        <v>2572</v>
      </c>
      <c r="M753" s="140" t="s">
        <v>2576</v>
      </c>
      <c r="N753" s="140" t="s">
        <v>3192</v>
      </c>
      <c r="O753" s="140" t="s">
        <v>2777</v>
      </c>
      <c r="P753" s="140" t="s">
        <v>2777</v>
      </c>
      <c r="Q753" s="140" t="s">
        <v>3222</v>
      </c>
      <c r="R753" s="140" t="s">
        <v>2712</v>
      </c>
      <c r="S753" s="140">
        <v>4.1399999999999999E-2</v>
      </c>
      <c r="T753" s="140">
        <v>3.5361290322580646E-2</v>
      </c>
      <c r="U753" s="140">
        <f t="shared" si="34"/>
        <v>6.038709677419353E-3</v>
      </c>
      <c r="V753" s="140">
        <v>2.9089999999999998</v>
      </c>
      <c r="W753" s="140">
        <v>12.071999999999999</v>
      </c>
      <c r="X753" s="149">
        <f t="shared" si="33"/>
        <v>35.117447999999996</v>
      </c>
      <c r="Y753" s="149"/>
    </row>
    <row r="754" spans="1:26" ht="14.25" customHeight="1">
      <c r="A754" s="149" t="s">
        <v>12</v>
      </c>
      <c r="B754" s="139" t="s">
        <v>3303</v>
      </c>
      <c r="C754" s="140" t="s">
        <v>1744</v>
      </c>
      <c r="D754" s="140" t="s">
        <v>3551</v>
      </c>
      <c r="E754" s="140" t="s">
        <v>3230</v>
      </c>
      <c r="F754" s="140" t="s">
        <v>36</v>
      </c>
      <c r="G754" s="140"/>
      <c r="H754" s="140"/>
      <c r="I754" s="141">
        <v>42143</v>
      </c>
      <c r="J754" s="140" t="s">
        <v>36</v>
      </c>
      <c r="K754" s="140" t="s">
        <v>154</v>
      </c>
      <c r="L754" s="140" t="s">
        <v>2572</v>
      </c>
      <c r="M754" s="140" t="s">
        <v>2576</v>
      </c>
      <c r="N754" s="140" t="s">
        <v>3192</v>
      </c>
      <c r="O754" s="140" t="s">
        <v>2777</v>
      </c>
      <c r="P754" s="140" t="s">
        <v>2777</v>
      </c>
      <c r="Q754" s="140" t="s">
        <v>3222</v>
      </c>
      <c r="R754" s="140" t="s">
        <v>2712</v>
      </c>
      <c r="S754" s="140">
        <v>4.1500000000000002E-2</v>
      </c>
      <c r="T754" s="140">
        <v>3.5361290322580646E-2</v>
      </c>
      <c r="U754" s="140">
        <f t="shared" si="34"/>
        <v>6.1387096774193559E-3</v>
      </c>
      <c r="V754" s="140">
        <v>3.101</v>
      </c>
      <c r="W754" s="140">
        <f>5.622+5.784</f>
        <v>11.405999999999999</v>
      </c>
      <c r="X754" s="149">
        <f t="shared" si="33"/>
        <v>35.370005999999997</v>
      </c>
      <c r="Y754" s="149"/>
    </row>
    <row r="755" spans="1:26" ht="14.25" customHeight="1">
      <c r="A755" s="149" t="s">
        <v>12</v>
      </c>
      <c r="B755" s="139" t="s">
        <v>3304</v>
      </c>
      <c r="C755" s="140" t="s">
        <v>1744</v>
      </c>
      <c r="D755" s="140" t="s">
        <v>3551</v>
      </c>
      <c r="E755" s="140" t="s">
        <v>3231</v>
      </c>
      <c r="F755" s="140" t="s">
        <v>36</v>
      </c>
      <c r="G755" s="140"/>
      <c r="H755" s="140"/>
      <c r="I755" s="141">
        <v>42144</v>
      </c>
      <c r="J755" s="140" t="s">
        <v>36</v>
      </c>
      <c r="K755" s="140" t="s">
        <v>154</v>
      </c>
      <c r="L755" s="140" t="s">
        <v>2572</v>
      </c>
      <c r="M755" s="140" t="s">
        <v>2576</v>
      </c>
      <c r="N755" s="140" t="s">
        <v>3192</v>
      </c>
      <c r="O755" s="140" t="s">
        <v>2777</v>
      </c>
      <c r="P755" s="140" t="s">
        <v>2777</v>
      </c>
      <c r="Q755" s="140" t="s">
        <v>3222</v>
      </c>
      <c r="R755" s="140" t="s">
        <v>2712</v>
      </c>
      <c r="S755" s="140">
        <v>4.24E-2</v>
      </c>
      <c r="T755" s="140">
        <v>3.5361290322580646E-2</v>
      </c>
      <c r="U755" s="140">
        <f t="shared" si="34"/>
        <v>7.0387096774193539E-3</v>
      </c>
      <c r="V755" s="140">
        <v>3.1840000000000002</v>
      </c>
      <c r="W755" s="140">
        <f>6.089+5.95</f>
        <v>12.039000000000001</v>
      </c>
      <c r="X755" s="149">
        <f t="shared" si="33"/>
        <v>38.332176000000004</v>
      </c>
      <c r="Y755" s="149"/>
    </row>
    <row r="756" spans="1:26" ht="14.25" customHeight="1">
      <c r="A756" s="149" t="s">
        <v>12</v>
      </c>
      <c r="B756" s="139" t="s">
        <v>3305</v>
      </c>
      <c r="C756" s="140" t="s">
        <v>1744</v>
      </c>
      <c r="D756" s="140" t="s">
        <v>3551</v>
      </c>
      <c r="E756" s="140" t="s">
        <v>3232</v>
      </c>
      <c r="F756" s="140">
        <v>390</v>
      </c>
      <c r="G756" s="140"/>
      <c r="H756" s="140"/>
      <c r="I756" s="141">
        <v>42145</v>
      </c>
      <c r="J756" s="140" t="s">
        <v>36</v>
      </c>
      <c r="K756" s="140" t="s">
        <v>154</v>
      </c>
      <c r="L756" s="140" t="s">
        <v>2572</v>
      </c>
      <c r="M756" s="140" t="s">
        <v>2576</v>
      </c>
      <c r="N756" s="140" t="s">
        <v>3192</v>
      </c>
      <c r="O756" s="140" t="s">
        <v>2777</v>
      </c>
      <c r="P756" s="140" t="s">
        <v>2777</v>
      </c>
      <c r="Q756" s="140" t="s">
        <v>3222</v>
      </c>
      <c r="R756" s="140" t="s">
        <v>2712</v>
      </c>
      <c r="S756" s="140">
        <v>4.3299999999999998E-2</v>
      </c>
      <c r="T756" s="140">
        <v>3.5361290322580646E-2</v>
      </c>
      <c r="U756" s="140">
        <f t="shared" si="34"/>
        <v>7.9387096774193519E-3</v>
      </c>
      <c r="V756" s="140">
        <v>3.266</v>
      </c>
      <c r="W756" s="140">
        <f>7.567+6.359</f>
        <v>13.926</v>
      </c>
      <c r="X756" s="149">
        <f t="shared" si="33"/>
        <v>45.482315999999997</v>
      </c>
      <c r="Y756" s="149"/>
    </row>
    <row r="757" spans="1:26" ht="14.25" customHeight="1">
      <c r="A757" s="149" t="s">
        <v>12</v>
      </c>
      <c r="B757" s="139" t="s">
        <v>3306</v>
      </c>
      <c r="C757" s="140" t="s">
        <v>1744</v>
      </c>
      <c r="D757" s="140" t="s">
        <v>3551</v>
      </c>
      <c r="E757" s="140" t="s">
        <v>3233</v>
      </c>
      <c r="F757" s="140" t="s">
        <v>36</v>
      </c>
      <c r="G757" s="140"/>
      <c r="H757" s="140"/>
      <c r="I757" s="141">
        <v>42146</v>
      </c>
      <c r="J757" s="140" t="s">
        <v>36</v>
      </c>
      <c r="K757" s="140" t="s">
        <v>154</v>
      </c>
      <c r="L757" s="140" t="s">
        <v>2572</v>
      </c>
      <c r="M757" s="140" t="s">
        <v>2576</v>
      </c>
      <c r="N757" s="140" t="s">
        <v>3192</v>
      </c>
      <c r="O757" s="140" t="s">
        <v>2777</v>
      </c>
      <c r="P757" s="140" t="s">
        <v>2777</v>
      </c>
      <c r="Q757" s="140" t="s">
        <v>3222</v>
      </c>
      <c r="R757" s="140" t="s">
        <v>2712</v>
      </c>
      <c r="S757" s="140">
        <v>4.2500000000000003E-2</v>
      </c>
      <c r="T757" s="140">
        <v>3.5361290322580646E-2</v>
      </c>
      <c r="U757" s="140">
        <f t="shared" si="34"/>
        <v>7.1387096774193567E-3</v>
      </c>
      <c r="V757" s="140">
        <v>2.956</v>
      </c>
      <c r="W757" s="140">
        <f>6.663+4.958</f>
        <v>11.621</v>
      </c>
      <c r="X757" s="149">
        <f t="shared" si="33"/>
        <v>34.351675999999998</v>
      </c>
      <c r="Y757" s="149"/>
    </row>
    <row r="758" spans="1:26" ht="14.25" customHeight="1">
      <c r="A758" s="149" t="s">
        <v>12</v>
      </c>
      <c r="B758" s="139" t="s">
        <v>3307</v>
      </c>
      <c r="C758" s="140" t="s">
        <v>1744</v>
      </c>
      <c r="D758" s="140" t="s">
        <v>3551</v>
      </c>
      <c r="E758" s="140" t="s">
        <v>3234</v>
      </c>
      <c r="F758" s="140" t="s">
        <v>36</v>
      </c>
      <c r="G758" s="140"/>
      <c r="H758" s="140"/>
      <c r="I758" s="141">
        <v>42147</v>
      </c>
      <c r="J758" s="140" t="s">
        <v>36</v>
      </c>
      <c r="K758" s="140" t="s">
        <v>154</v>
      </c>
      <c r="L758" s="140" t="s">
        <v>2572</v>
      </c>
      <c r="M758" s="140" t="s">
        <v>2576</v>
      </c>
      <c r="N758" s="140" t="s">
        <v>3192</v>
      </c>
      <c r="O758" s="140" t="s">
        <v>2777</v>
      </c>
      <c r="P758" s="140" t="s">
        <v>2777</v>
      </c>
      <c r="Q758" s="140" t="s">
        <v>3222</v>
      </c>
      <c r="R758" s="140" t="s">
        <v>2712</v>
      </c>
      <c r="S758" s="140">
        <v>4.2500000000000003E-2</v>
      </c>
      <c r="T758" s="140">
        <v>3.5361290322580646E-2</v>
      </c>
      <c r="U758" s="140">
        <f t="shared" si="34"/>
        <v>7.1387096774193567E-3</v>
      </c>
      <c r="V758" s="140">
        <v>3.1640000000000001</v>
      </c>
      <c r="W758" s="140">
        <f>6.552+6.583</f>
        <v>13.135</v>
      </c>
      <c r="X758" s="149">
        <f t="shared" si="33"/>
        <v>41.559139999999999</v>
      </c>
      <c r="Y758" s="149"/>
    </row>
    <row r="759" spans="1:26" ht="14.25" customHeight="1">
      <c r="A759" s="149" t="s">
        <v>12</v>
      </c>
      <c r="B759" s="139" t="s">
        <v>3308</v>
      </c>
      <c r="C759" s="140" t="s">
        <v>1744</v>
      </c>
      <c r="D759" s="140" t="s">
        <v>3551</v>
      </c>
      <c r="E759" s="140" t="s">
        <v>3234</v>
      </c>
      <c r="F759" s="140" t="s">
        <v>36</v>
      </c>
      <c r="G759" s="140"/>
      <c r="H759" s="140"/>
      <c r="I759" s="141">
        <v>42148</v>
      </c>
      <c r="J759" s="140" t="s">
        <v>36</v>
      </c>
      <c r="K759" s="140" t="s">
        <v>154</v>
      </c>
      <c r="L759" s="140" t="s">
        <v>2572</v>
      </c>
      <c r="M759" s="140" t="s">
        <v>2576</v>
      </c>
      <c r="N759" s="140" t="s">
        <v>3192</v>
      </c>
      <c r="O759" s="140" t="s">
        <v>2777</v>
      </c>
      <c r="P759" s="140" t="s">
        <v>2777</v>
      </c>
      <c r="Q759" s="140" t="s">
        <v>3222</v>
      </c>
      <c r="R759" s="140" t="s">
        <v>2712</v>
      </c>
      <c r="S759" s="140">
        <v>4.2099999999999999E-2</v>
      </c>
      <c r="T759" s="140">
        <v>3.5361290322580646E-2</v>
      </c>
      <c r="U759" s="140">
        <f t="shared" si="34"/>
        <v>6.7387096774193522E-3</v>
      </c>
      <c r="V759" s="140">
        <v>2.9350000000000001</v>
      </c>
      <c r="W759" s="140">
        <f>6.328+6.246</f>
        <v>12.574000000000002</v>
      </c>
      <c r="X759" s="149">
        <f t="shared" si="33"/>
        <v>36.904690000000002</v>
      </c>
      <c r="Y759" s="149"/>
    </row>
    <row r="760" spans="1:26" ht="14.25" customHeight="1">
      <c r="A760" s="149" t="s">
        <v>12</v>
      </c>
      <c r="B760" s="139" t="s">
        <v>3309</v>
      </c>
      <c r="C760" s="140" t="s">
        <v>1744</v>
      </c>
      <c r="D760" s="140" t="s">
        <v>3551</v>
      </c>
      <c r="E760" s="140" t="s">
        <v>3235</v>
      </c>
      <c r="F760" s="140">
        <v>640</v>
      </c>
      <c r="G760" s="140"/>
      <c r="H760" s="140"/>
      <c r="I760" s="141">
        <v>42149</v>
      </c>
      <c r="J760" s="140" t="s">
        <v>36</v>
      </c>
      <c r="K760" s="140" t="s">
        <v>154</v>
      </c>
      <c r="L760" s="140" t="s">
        <v>2572</v>
      </c>
      <c r="M760" s="140" t="s">
        <v>2576</v>
      </c>
      <c r="N760" s="140" t="s">
        <v>3192</v>
      </c>
      <c r="O760" s="140" t="s">
        <v>2777</v>
      </c>
      <c r="P760" s="140" t="s">
        <v>2777</v>
      </c>
      <c r="Q760" s="140" t="s">
        <v>3548</v>
      </c>
      <c r="R760" s="140" t="s">
        <v>2713</v>
      </c>
      <c r="S760" s="140">
        <v>4.6300000000000001E-2</v>
      </c>
      <c r="T760" s="140">
        <v>3.5361290322580646E-2</v>
      </c>
      <c r="U760" s="140">
        <f t="shared" si="34"/>
        <v>1.0938709677419355E-2</v>
      </c>
      <c r="V760" s="140">
        <v>3.4220000000000002</v>
      </c>
      <c r="W760" s="140">
        <f>7.037+2.163+1.414+2.17</f>
        <v>12.783999999999999</v>
      </c>
      <c r="X760" s="149">
        <f t="shared" si="33"/>
        <v>43.746848</v>
      </c>
      <c r="Y760" s="149"/>
    </row>
    <row r="761" spans="1:26" ht="14.25" customHeight="1">
      <c r="A761" s="149" t="s">
        <v>12</v>
      </c>
      <c r="B761" s="139" t="s">
        <v>3310</v>
      </c>
      <c r="C761" s="140" t="s">
        <v>1744</v>
      </c>
      <c r="D761" s="140" t="s">
        <v>3551</v>
      </c>
      <c r="E761" s="140" t="s">
        <v>3233</v>
      </c>
      <c r="F761" s="140">
        <v>705</v>
      </c>
      <c r="G761" s="140"/>
      <c r="H761" s="140"/>
      <c r="I761" s="141">
        <v>42150</v>
      </c>
      <c r="J761" s="140" t="s">
        <v>36</v>
      </c>
      <c r="K761" s="140" t="s">
        <v>154</v>
      </c>
      <c r="L761" s="140" t="s">
        <v>2572</v>
      </c>
      <c r="M761" s="140" t="s">
        <v>2576</v>
      </c>
      <c r="N761" s="140" t="s">
        <v>3192</v>
      </c>
      <c r="O761" s="140" t="s">
        <v>2777</v>
      </c>
      <c r="P761" s="140" t="s">
        <v>2777</v>
      </c>
      <c r="Q761" s="140" t="s">
        <v>3548</v>
      </c>
      <c r="R761" s="140" t="s">
        <v>2713</v>
      </c>
      <c r="S761" s="140">
        <v>4.4699999999999997E-2</v>
      </c>
      <c r="T761" s="140">
        <v>3.5361290322580646E-2</v>
      </c>
      <c r="U761" s="140">
        <f t="shared" si="34"/>
        <v>9.3387096774193504E-3</v>
      </c>
      <c r="V761" s="140">
        <v>3.3319999999999999</v>
      </c>
      <c r="W761" s="140">
        <f>6.795+6.775</f>
        <v>13.57</v>
      </c>
      <c r="X761" s="149">
        <f t="shared" si="33"/>
        <v>45.215240000000001</v>
      </c>
      <c r="Y761" s="149"/>
    </row>
    <row r="762" spans="1:26" ht="14.25" customHeight="1">
      <c r="A762" s="149" t="s">
        <v>12</v>
      </c>
      <c r="B762" s="139" t="s">
        <v>3311</v>
      </c>
      <c r="C762" s="140" t="s">
        <v>1744</v>
      </c>
      <c r="D762" s="140" t="s">
        <v>3551</v>
      </c>
      <c r="E762" s="140" t="s">
        <v>3203</v>
      </c>
      <c r="F762" s="140">
        <v>806</v>
      </c>
      <c r="G762" s="140"/>
      <c r="H762" s="140"/>
      <c r="I762" s="141">
        <v>42151</v>
      </c>
      <c r="J762" s="140" t="s">
        <v>36</v>
      </c>
      <c r="K762" s="140" t="s">
        <v>154</v>
      </c>
      <c r="L762" s="140" t="s">
        <v>2572</v>
      </c>
      <c r="M762" s="140" t="s">
        <v>2576</v>
      </c>
      <c r="N762" s="140" t="s">
        <v>3192</v>
      </c>
      <c r="O762" s="140" t="s">
        <v>2777</v>
      </c>
      <c r="P762" s="140" t="s">
        <v>2777</v>
      </c>
      <c r="Q762" s="140" t="s">
        <v>3548</v>
      </c>
      <c r="R762" s="140" t="s">
        <v>2713</v>
      </c>
      <c r="S762" s="140">
        <v>4.5600000000000002E-2</v>
      </c>
      <c r="T762" s="140">
        <v>3.5361290322580646E-2</v>
      </c>
      <c r="U762" s="140">
        <f t="shared" si="34"/>
        <v>1.0238709677419355E-2</v>
      </c>
      <c r="V762" s="140">
        <v>3.3959999999999999</v>
      </c>
      <c r="W762" s="140">
        <f>6.953+7.403</f>
        <v>14.356</v>
      </c>
      <c r="X762" s="149">
        <f t="shared" si="33"/>
        <v>48.752975999999997</v>
      </c>
      <c r="Y762" s="149"/>
    </row>
    <row r="763" spans="1:26" ht="14.25" customHeight="1">
      <c r="A763" s="149" t="s">
        <v>12</v>
      </c>
      <c r="B763" s="139" t="s">
        <v>3312</v>
      </c>
      <c r="C763" s="140" t="s">
        <v>1744</v>
      </c>
      <c r="D763" s="140" t="s">
        <v>3551</v>
      </c>
      <c r="E763" s="140" t="s">
        <v>3236</v>
      </c>
      <c r="F763" s="140" t="s">
        <v>36</v>
      </c>
      <c r="G763" s="140"/>
      <c r="H763" s="140"/>
      <c r="I763" s="141">
        <v>42152</v>
      </c>
      <c r="J763" s="140" t="s">
        <v>36</v>
      </c>
      <c r="K763" s="140" t="s">
        <v>154</v>
      </c>
      <c r="L763" s="140" t="s">
        <v>2572</v>
      </c>
      <c r="M763" s="140" t="s">
        <v>2576</v>
      </c>
      <c r="N763" s="140" t="s">
        <v>3192</v>
      </c>
      <c r="O763" s="140" t="s">
        <v>2777</v>
      </c>
      <c r="P763" s="140" t="s">
        <v>2777</v>
      </c>
      <c r="Q763" s="140" t="s">
        <v>3549</v>
      </c>
      <c r="R763" s="140" t="s">
        <v>2712</v>
      </c>
      <c r="S763" s="140">
        <v>4.1599999999999998E-2</v>
      </c>
      <c r="T763" s="140">
        <v>3.5361290322580646E-2</v>
      </c>
      <c r="U763" s="140">
        <f t="shared" si="34"/>
        <v>6.2387096774193518E-3</v>
      </c>
      <c r="V763" s="140">
        <v>2.69</v>
      </c>
      <c r="W763" s="140">
        <f>5.509+6.115</f>
        <v>11.624000000000001</v>
      </c>
      <c r="X763" s="149">
        <f t="shared" si="33"/>
        <v>31.268560000000001</v>
      </c>
      <c r="Y763" s="149"/>
    </row>
    <row r="764" spans="1:26" ht="14.25" customHeight="1">
      <c r="A764" s="149" t="s">
        <v>12</v>
      </c>
      <c r="B764" s="139" t="s">
        <v>3313</v>
      </c>
      <c r="C764" s="140" t="s">
        <v>1744</v>
      </c>
      <c r="D764" s="140" t="s">
        <v>3551</v>
      </c>
      <c r="E764" s="140" t="s">
        <v>3237</v>
      </c>
      <c r="F764" s="140" t="s">
        <v>36</v>
      </c>
      <c r="G764" s="140"/>
      <c r="H764" s="140"/>
      <c r="I764" s="141">
        <v>42153</v>
      </c>
      <c r="J764" s="140" t="s">
        <v>36</v>
      </c>
      <c r="K764" s="140" t="s">
        <v>154</v>
      </c>
      <c r="L764" s="140" t="s">
        <v>2572</v>
      </c>
      <c r="M764" s="140" t="s">
        <v>2576</v>
      </c>
      <c r="N764" s="140" t="s">
        <v>3192</v>
      </c>
      <c r="O764" s="140" t="s">
        <v>2777</v>
      </c>
      <c r="P764" s="140" t="s">
        <v>2777</v>
      </c>
      <c r="Q764" s="140" t="s">
        <v>3549</v>
      </c>
      <c r="R764" s="140" t="s">
        <v>2712</v>
      </c>
      <c r="S764" s="140">
        <v>4.0300000000000002E-2</v>
      </c>
      <c r="T764" s="140">
        <v>3.5361290322580646E-2</v>
      </c>
      <c r="U764" s="140">
        <f t="shared" si="34"/>
        <v>4.9387096774193562E-3</v>
      </c>
      <c r="V764" s="140">
        <v>2.7989999999999999</v>
      </c>
      <c r="W764" s="140">
        <f>5.953+5.773</f>
        <v>11.725999999999999</v>
      </c>
      <c r="X764" s="149">
        <f t="shared" si="33"/>
        <v>32.821073999999996</v>
      </c>
      <c r="Y764" s="149"/>
    </row>
    <row r="765" spans="1:26" ht="14.25" customHeight="1">
      <c r="A765" s="149" t="s">
        <v>12</v>
      </c>
      <c r="B765" s="139" t="s">
        <v>3314</v>
      </c>
      <c r="C765" s="140" t="s">
        <v>1744</v>
      </c>
      <c r="D765" s="140" t="s">
        <v>3551</v>
      </c>
      <c r="E765" s="140" t="s">
        <v>3238</v>
      </c>
      <c r="F765" s="140">
        <v>628</v>
      </c>
      <c r="G765" s="140"/>
      <c r="H765" s="140"/>
      <c r="I765" s="141">
        <v>42154</v>
      </c>
      <c r="J765" s="140" t="s">
        <v>36</v>
      </c>
      <c r="K765" s="140" t="s">
        <v>154</v>
      </c>
      <c r="L765" s="140" t="s">
        <v>2572</v>
      </c>
      <c r="M765" s="140" t="s">
        <v>2576</v>
      </c>
      <c r="N765" s="140" t="s">
        <v>3192</v>
      </c>
      <c r="O765" s="140" t="s">
        <v>2777</v>
      </c>
      <c r="P765" s="140" t="s">
        <v>2777</v>
      </c>
      <c r="Q765" s="140" t="s">
        <v>3239</v>
      </c>
      <c r="R765" s="140" t="s">
        <v>2713</v>
      </c>
      <c r="S765" s="140">
        <v>4.7600000000000003E-2</v>
      </c>
      <c r="T765" s="140">
        <v>3.5361290322580646E-2</v>
      </c>
      <c r="U765" s="140">
        <f t="shared" si="34"/>
        <v>1.2238709677419357E-2</v>
      </c>
      <c r="V765" s="140">
        <v>3.53</v>
      </c>
      <c r="W765" s="140">
        <f>7.435+9.234</f>
        <v>16.669</v>
      </c>
      <c r="X765" s="149">
        <f t="shared" si="33"/>
        <v>58.841569999999997</v>
      </c>
      <c r="Y765" s="149"/>
    </row>
    <row r="766" spans="1:26" ht="14.25" customHeight="1">
      <c r="A766" s="149" t="s">
        <v>12</v>
      </c>
      <c r="B766" s="139" t="s">
        <v>3315</v>
      </c>
      <c r="C766" s="140" t="s">
        <v>1744</v>
      </c>
      <c r="D766" s="140" t="s">
        <v>3551</v>
      </c>
      <c r="E766" s="140" t="s">
        <v>3240</v>
      </c>
      <c r="F766" s="140">
        <v>645</v>
      </c>
      <c r="G766" s="140"/>
      <c r="H766" s="140"/>
      <c r="I766" s="141">
        <v>42155</v>
      </c>
      <c r="J766" s="140" t="s">
        <v>36</v>
      </c>
      <c r="K766" s="140" t="s">
        <v>154</v>
      </c>
      <c r="L766" s="140" t="s">
        <v>2572</v>
      </c>
      <c r="M766" s="140" t="s">
        <v>2576</v>
      </c>
      <c r="N766" s="140" t="s">
        <v>3192</v>
      </c>
      <c r="O766" s="140" t="s">
        <v>2777</v>
      </c>
      <c r="P766" s="140" t="s">
        <v>2777</v>
      </c>
      <c r="Q766" s="140" t="s">
        <v>3239</v>
      </c>
      <c r="R766" s="140" t="s">
        <v>2713</v>
      </c>
      <c r="S766" s="140">
        <v>4.48E-2</v>
      </c>
      <c r="T766" s="140">
        <v>3.5361290322580646E-2</v>
      </c>
      <c r="U766" s="140">
        <f t="shared" si="34"/>
        <v>9.4387096774193532E-3</v>
      </c>
      <c r="V766" s="140">
        <v>3.2709999999999999</v>
      </c>
      <c r="W766" s="140">
        <f>8.148+6.891</f>
        <v>15.039</v>
      </c>
      <c r="X766" s="149">
        <f t="shared" si="33"/>
        <v>49.192568999999999</v>
      </c>
      <c r="Y766" s="149"/>
    </row>
    <row r="767" spans="1:26" ht="14.25" customHeight="1">
      <c r="A767" s="149" t="s">
        <v>12</v>
      </c>
      <c r="B767" s="139" t="s">
        <v>3316</v>
      </c>
      <c r="C767" s="140" t="s">
        <v>1744</v>
      </c>
      <c r="D767" s="140" t="s">
        <v>3551</v>
      </c>
      <c r="E767" s="140" t="s">
        <v>3240</v>
      </c>
      <c r="F767" s="140">
        <v>644</v>
      </c>
      <c r="G767" s="140"/>
      <c r="H767" s="140"/>
      <c r="I767" s="141">
        <v>42156</v>
      </c>
      <c r="J767" s="140" t="s">
        <v>36</v>
      </c>
      <c r="K767" s="140" t="s">
        <v>154</v>
      </c>
      <c r="L767" s="140" t="s">
        <v>2572</v>
      </c>
      <c r="M767" s="140" t="s">
        <v>2576</v>
      </c>
      <c r="N767" s="140" t="s">
        <v>3192</v>
      </c>
      <c r="O767" s="140" t="s">
        <v>2777</v>
      </c>
      <c r="P767" s="140" t="s">
        <v>2777</v>
      </c>
      <c r="Q767" s="140" t="s">
        <v>3239</v>
      </c>
      <c r="R767" s="140" t="s">
        <v>2713</v>
      </c>
      <c r="S767" s="140">
        <v>4.5900000000000003E-2</v>
      </c>
      <c r="T767" s="140">
        <v>3.5361290322580646E-2</v>
      </c>
      <c r="U767" s="140">
        <f t="shared" si="34"/>
        <v>1.0538709677419357E-2</v>
      </c>
      <c r="V767" s="140">
        <v>3.302</v>
      </c>
      <c r="W767" s="140">
        <f>6.574+8.529</f>
        <v>15.103</v>
      </c>
      <c r="X767" s="149">
        <f t="shared" si="33"/>
        <v>49.870106</v>
      </c>
      <c r="Y767" s="149"/>
      <c r="Z767" s="71"/>
    </row>
    <row r="768" spans="1:26" ht="14.25" customHeight="1">
      <c r="A768" s="149" t="s">
        <v>12</v>
      </c>
      <c r="B768" s="139" t="s">
        <v>3317</v>
      </c>
      <c r="C768" s="140" t="s">
        <v>1744</v>
      </c>
      <c r="D768" s="140" t="s">
        <v>3551</v>
      </c>
      <c r="E768" s="140" t="s">
        <v>3241</v>
      </c>
      <c r="F768" s="140">
        <v>627</v>
      </c>
      <c r="G768" s="140"/>
      <c r="H768" s="140"/>
      <c r="I768" s="141">
        <v>42157</v>
      </c>
      <c r="J768" s="140" t="s">
        <v>36</v>
      </c>
      <c r="K768" s="140" t="s">
        <v>154</v>
      </c>
      <c r="L768" s="140" t="s">
        <v>2572</v>
      </c>
      <c r="M768" s="140" t="s">
        <v>2576</v>
      </c>
      <c r="N768" s="140" t="s">
        <v>3192</v>
      </c>
      <c r="O768" s="140" t="s">
        <v>2777</v>
      </c>
      <c r="P768" s="140" t="s">
        <v>2777</v>
      </c>
      <c r="Q768" s="140" t="s">
        <v>3239</v>
      </c>
      <c r="R768" s="140" t="s">
        <v>2713</v>
      </c>
      <c r="S768" s="140">
        <v>4.48E-2</v>
      </c>
      <c r="T768" s="140">
        <v>3.5361290322580646E-2</v>
      </c>
      <c r="U768" s="140">
        <f t="shared" si="34"/>
        <v>9.4387096774193532E-3</v>
      </c>
      <c r="V768" s="140">
        <v>3.282</v>
      </c>
      <c r="W768" s="140">
        <f>7.635+8.065</f>
        <v>15.7</v>
      </c>
      <c r="X768" s="149">
        <f t="shared" si="33"/>
        <v>51.5274</v>
      </c>
      <c r="Y768" s="149"/>
    </row>
    <row r="769" spans="1:25" ht="14.25" customHeight="1">
      <c r="A769" s="149" t="s">
        <v>12</v>
      </c>
      <c r="B769" s="139" t="s">
        <v>3318</v>
      </c>
      <c r="C769" s="140" t="s">
        <v>1744</v>
      </c>
      <c r="D769" s="140" t="s">
        <v>3551</v>
      </c>
      <c r="E769" s="140" t="s">
        <v>3242</v>
      </c>
      <c r="F769" s="140">
        <v>647</v>
      </c>
      <c r="G769" s="140"/>
      <c r="H769" s="140"/>
      <c r="I769" s="141">
        <v>42158</v>
      </c>
      <c r="J769" s="140" t="s">
        <v>36</v>
      </c>
      <c r="K769" s="140" t="s">
        <v>154</v>
      </c>
      <c r="L769" s="140" t="s">
        <v>2572</v>
      </c>
      <c r="M769" s="140" t="s">
        <v>2576</v>
      </c>
      <c r="N769" s="140" t="s">
        <v>3192</v>
      </c>
      <c r="O769" s="140" t="s">
        <v>2777</v>
      </c>
      <c r="P769" s="140" t="s">
        <v>2777</v>
      </c>
      <c r="Q769" s="140" t="s">
        <v>3239</v>
      </c>
      <c r="R769" s="140" t="s">
        <v>2713</v>
      </c>
      <c r="S769" s="140">
        <v>4.58E-2</v>
      </c>
      <c r="T769" s="140">
        <v>3.5361290322580646E-2</v>
      </c>
      <c r="U769" s="140">
        <f t="shared" si="34"/>
        <v>1.0438709677419354E-2</v>
      </c>
      <c r="V769" s="140">
        <v>3.39</v>
      </c>
      <c r="W769" s="140">
        <v>16.885000000000002</v>
      </c>
      <c r="X769" s="149">
        <f t="shared" si="33"/>
        <v>57.240150000000007</v>
      </c>
      <c r="Y769" s="149"/>
    </row>
    <row r="770" spans="1:25" ht="14.25" customHeight="1">
      <c r="A770" s="149" t="s">
        <v>12</v>
      </c>
      <c r="B770" s="139" t="s">
        <v>3319</v>
      </c>
      <c r="C770" s="140" t="s">
        <v>1744</v>
      </c>
      <c r="D770" s="140" t="s">
        <v>3551</v>
      </c>
      <c r="E770" s="140" t="s">
        <v>3242</v>
      </c>
      <c r="F770" s="140">
        <v>648</v>
      </c>
      <c r="G770" s="140"/>
      <c r="H770" s="140"/>
      <c r="I770" s="141">
        <v>42159</v>
      </c>
      <c r="J770" s="140" t="s">
        <v>36</v>
      </c>
      <c r="K770" s="140" t="s">
        <v>154</v>
      </c>
      <c r="L770" s="140" t="s">
        <v>2572</v>
      </c>
      <c r="M770" s="140" t="s">
        <v>2576</v>
      </c>
      <c r="N770" s="140" t="s">
        <v>3192</v>
      </c>
      <c r="O770" s="140" t="s">
        <v>2777</v>
      </c>
      <c r="P770" s="140" t="s">
        <v>2777</v>
      </c>
      <c r="Q770" s="140" t="s">
        <v>3239</v>
      </c>
      <c r="R770" s="140" t="s">
        <v>2713</v>
      </c>
      <c r="S770" s="140">
        <v>4.5900000000000003E-2</v>
      </c>
      <c r="T770" s="140">
        <v>3.5361290322580646E-2</v>
      </c>
      <c r="U770" s="140">
        <f t="shared" si="34"/>
        <v>1.0538709677419357E-2</v>
      </c>
      <c r="V770" s="140">
        <v>3.3820000000000001</v>
      </c>
      <c r="W770" s="140">
        <v>16.568000000000001</v>
      </c>
      <c r="X770" s="149">
        <f t="shared" ref="X770:X833" si="35">V770*W770</f>
        <v>56.032976000000005</v>
      </c>
      <c r="Y770" s="149"/>
    </row>
    <row r="771" spans="1:25" ht="14.25" customHeight="1">
      <c r="A771" s="149" t="s">
        <v>12</v>
      </c>
      <c r="B771" s="139" t="s">
        <v>3320</v>
      </c>
      <c r="C771" s="140" t="s">
        <v>1744</v>
      </c>
      <c r="D771" s="140" t="s">
        <v>3551</v>
      </c>
      <c r="E771" s="140" t="s">
        <v>3243</v>
      </c>
      <c r="F771" s="140">
        <v>657</v>
      </c>
      <c r="G771" s="140"/>
      <c r="H771" s="140"/>
      <c r="I771" s="141">
        <v>42160</v>
      </c>
      <c r="J771" s="140" t="s">
        <v>36</v>
      </c>
      <c r="K771" s="140" t="s">
        <v>154</v>
      </c>
      <c r="L771" s="140" t="s">
        <v>2572</v>
      </c>
      <c r="M771" s="140" t="s">
        <v>2576</v>
      </c>
      <c r="N771" s="140" t="s">
        <v>3192</v>
      </c>
      <c r="O771" s="140" t="s">
        <v>2777</v>
      </c>
      <c r="P771" s="140" t="s">
        <v>2777</v>
      </c>
      <c r="Q771" s="140" t="s">
        <v>3239</v>
      </c>
      <c r="R771" s="140" t="s">
        <v>2713</v>
      </c>
      <c r="S771" s="140">
        <v>4.3799999999999999E-2</v>
      </c>
      <c r="T771" s="140">
        <v>3.5361290322580646E-2</v>
      </c>
      <c r="U771" s="140">
        <f t="shared" ref="U771:U834" si="36">S771-T771</f>
        <v>8.4387096774193524E-3</v>
      </c>
      <c r="V771" s="140">
        <v>3.1080000000000001</v>
      </c>
      <c r="W771" s="140">
        <f>7.077+6.736</f>
        <v>13.812999999999999</v>
      </c>
      <c r="X771" s="149">
        <f t="shared" si="35"/>
        <v>42.930803999999995</v>
      </c>
      <c r="Y771" s="149"/>
    </row>
    <row r="772" spans="1:25" ht="14.25" customHeight="1">
      <c r="A772" s="149" t="s">
        <v>12</v>
      </c>
      <c r="B772" s="139" t="s">
        <v>3321</v>
      </c>
      <c r="C772" s="140" t="s">
        <v>1744</v>
      </c>
      <c r="D772" s="140" t="s">
        <v>3551</v>
      </c>
      <c r="E772" s="140" t="s">
        <v>3244</v>
      </c>
      <c r="F772" s="140">
        <v>80</v>
      </c>
      <c r="G772" s="140"/>
      <c r="H772" s="140"/>
      <c r="I772" s="141">
        <v>42161</v>
      </c>
      <c r="J772" s="140" t="s">
        <v>36</v>
      </c>
      <c r="K772" s="140" t="s">
        <v>154</v>
      </c>
      <c r="L772" s="140" t="s">
        <v>2572</v>
      </c>
      <c r="M772" s="140" t="s">
        <v>2576</v>
      </c>
      <c r="N772" s="140" t="s">
        <v>3192</v>
      </c>
      <c r="O772" s="140" t="s">
        <v>2777</v>
      </c>
      <c r="P772" s="140" t="s">
        <v>2777</v>
      </c>
      <c r="Q772" s="140" t="s">
        <v>3239</v>
      </c>
      <c r="R772" s="140" t="s">
        <v>2713</v>
      </c>
      <c r="S772" s="140">
        <v>4.5999999999999999E-2</v>
      </c>
      <c r="T772" s="140">
        <v>3.5361290322580646E-2</v>
      </c>
      <c r="U772" s="140">
        <f t="shared" si="36"/>
        <v>1.0638709677419353E-2</v>
      </c>
      <c r="V772" s="140">
        <v>3.4180000000000001</v>
      </c>
      <c r="W772" s="140">
        <v>15.707000000000001</v>
      </c>
      <c r="X772" s="149">
        <f t="shared" si="35"/>
        <v>53.686526000000008</v>
      </c>
      <c r="Y772" s="149"/>
    </row>
    <row r="773" spans="1:25" ht="14.25" customHeight="1">
      <c r="A773" s="149" t="s">
        <v>12</v>
      </c>
      <c r="B773" s="139" t="s">
        <v>3322</v>
      </c>
      <c r="C773" s="140" t="s">
        <v>1744</v>
      </c>
      <c r="D773" s="140" t="s">
        <v>3551</v>
      </c>
      <c r="E773" s="140" t="s">
        <v>3244</v>
      </c>
      <c r="F773" s="140">
        <v>77</v>
      </c>
      <c r="G773" s="140"/>
      <c r="H773" s="140"/>
      <c r="I773" s="141">
        <v>42162</v>
      </c>
      <c r="J773" s="140" t="s">
        <v>36</v>
      </c>
      <c r="K773" s="140" t="s">
        <v>154</v>
      </c>
      <c r="L773" s="140" t="s">
        <v>2572</v>
      </c>
      <c r="M773" s="140" t="s">
        <v>2576</v>
      </c>
      <c r="N773" s="140" t="s">
        <v>3192</v>
      </c>
      <c r="O773" s="140" t="s">
        <v>2777</v>
      </c>
      <c r="P773" s="140" t="s">
        <v>2777</v>
      </c>
      <c r="Q773" s="140" t="s">
        <v>3239</v>
      </c>
      <c r="R773" s="140" t="s">
        <v>2713</v>
      </c>
      <c r="S773" s="140">
        <v>4.5600000000000002E-2</v>
      </c>
      <c r="T773" s="140">
        <v>3.5361290322580646E-2</v>
      </c>
      <c r="U773" s="140">
        <f t="shared" si="36"/>
        <v>1.0238709677419355E-2</v>
      </c>
      <c r="V773" s="140">
        <v>3.5190000000000001</v>
      </c>
      <c r="W773" s="140">
        <f>7+8.95</f>
        <v>15.95</v>
      </c>
      <c r="X773" s="149">
        <f t="shared" si="35"/>
        <v>56.128050000000002</v>
      </c>
      <c r="Y773" s="149"/>
    </row>
    <row r="774" spans="1:25" ht="14.25" customHeight="1">
      <c r="A774" s="149" t="s">
        <v>12</v>
      </c>
      <c r="B774" s="139" t="s">
        <v>3323</v>
      </c>
      <c r="C774" s="140" t="s">
        <v>1744</v>
      </c>
      <c r="D774" s="140" t="s">
        <v>3551</v>
      </c>
      <c r="E774" s="140" t="s">
        <v>3245</v>
      </c>
      <c r="F774" s="140">
        <v>76</v>
      </c>
      <c r="G774" s="140"/>
      <c r="H774" s="140"/>
      <c r="I774" s="141">
        <v>42163</v>
      </c>
      <c r="J774" s="140" t="s">
        <v>36</v>
      </c>
      <c r="K774" s="140" t="s">
        <v>154</v>
      </c>
      <c r="L774" s="140" t="s">
        <v>2572</v>
      </c>
      <c r="M774" s="140" t="s">
        <v>2576</v>
      </c>
      <c r="N774" s="140" t="s">
        <v>3192</v>
      </c>
      <c r="O774" s="140" t="s">
        <v>2777</v>
      </c>
      <c r="P774" s="140" t="s">
        <v>2777</v>
      </c>
      <c r="Q774" s="140" t="s">
        <v>3239</v>
      </c>
      <c r="R774" s="140" t="s">
        <v>2713</v>
      </c>
      <c r="S774" s="140">
        <v>4.4900000000000002E-2</v>
      </c>
      <c r="T774" s="140">
        <v>3.5361290322580646E-2</v>
      </c>
      <c r="U774" s="140">
        <f t="shared" si="36"/>
        <v>9.5387096774193561E-3</v>
      </c>
      <c r="V774" s="140">
        <v>3.3410000000000002</v>
      </c>
      <c r="W774" s="140">
        <v>15.239000000000001</v>
      </c>
      <c r="X774" s="149">
        <f t="shared" si="35"/>
        <v>50.913499000000009</v>
      </c>
      <c r="Y774" s="149"/>
    </row>
    <row r="775" spans="1:25" ht="14.25" customHeight="1">
      <c r="A775" s="149" t="s">
        <v>12</v>
      </c>
      <c r="B775" s="139" t="s">
        <v>3324</v>
      </c>
      <c r="C775" s="140" t="s">
        <v>1744</v>
      </c>
      <c r="D775" s="140" t="s">
        <v>3551</v>
      </c>
      <c r="E775" s="140" t="s">
        <v>3246</v>
      </c>
      <c r="F775" s="140" t="s">
        <v>36</v>
      </c>
      <c r="G775" s="140"/>
      <c r="H775" s="140"/>
      <c r="I775" s="141">
        <v>42164</v>
      </c>
      <c r="J775" s="140" t="s">
        <v>36</v>
      </c>
      <c r="K775" s="140" t="s">
        <v>154</v>
      </c>
      <c r="L775" s="140" t="s">
        <v>2572</v>
      </c>
      <c r="M775" s="140" t="s">
        <v>2576</v>
      </c>
      <c r="N775" s="140" t="s">
        <v>3192</v>
      </c>
      <c r="O775" s="140" t="s">
        <v>2777</v>
      </c>
      <c r="P775" s="140" t="s">
        <v>2777</v>
      </c>
      <c r="Q775" s="140" t="s">
        <v>3239</v>
      </c>
      <c r="R775" s="140" t="s">
        <v>2713</v>
      </c>
      <c r="S775" s="140">
        <v>4.5999999999999999E-2</v>
      </c>
      <c r="T775" s="140">
        <v>3.5361290322580646E-2</v>
      </c>
      <c r="U775" s="140">
        <f t="shared" si="36"/>
        <v>1.0638709677419353E-2</v>
      </c>
      <c r="V775" s="140">
        <v>3.302</v>
      </c>
      <c r="W775" s="140">
        <f>6.931+8.326</f>
        <v>15.257000000000001</v>
      </c>
      <c r="X775" s="149">
        <f t="shared" si="35"/>
        <v>50.378614000000006</v>
      </c>
      <c r="Y775" s="149"/>
    </row>
    <row r="776" spans="1:25" ht="14.25" customHeight="1">
      <c r="A776" s="149" t="s">
        <v>12</v>
      </c>
      <c r="B776" s="139" t="s">
        <v>3325</v>
      </c>
      <c r="C776" s="140" t="s">
        <v>1744</v>
      </c>
      <c r="D776" s="140" t="s">
        <v>3551</v>
      </c>
      <c r="E776" s="140" t="s">
        <v>3247</v>
      </c>
      <c r="F776" s="140" t="s">
        <v>36</v>
      </c>
      <c r="G776" s="140"/>
      <c r="H776" s="140"/>
      <c r="I776" s="141">
        <v>42165</v>
      </c>
      <c r="J776" s="140" t="s">
        <v>36</v>
      </c>
      <c r="K776" s="140" t="s">
        <v>154</v>
      </c>
      <c r="L776" s="140" t="s">
        <v>2572</v>
      </c>
      <c r="M776" s="140" t="s">
        <v>2576</v>
      </c>
      <c r="N776" s="140" t="s">
        <v>3192</v>
      </c>
      <c r="O776" s="140" t="s">
        <v>2777</v>
      </c>
      <c r="P776" s="140" t="s">
        <v>2777</v>
      </c>
      <c r="Q776" s="140" t="s">
        <v>3239</v>
      </c>
      <c r="R776" s="140" t="s">
        <v>2713</v>
      </c>
      <c r="S776" s="140">
        <v>4.4999999999999998E-2</v>
      </c>
      <c r="T776" s="140">
        <v>3.5361290322580646E-2</v>
      </c>
      <c r="U776" s="140">
        <f t="shared" si="36"/>
        <v>9.638709677419352E-3</v>
      </c>
      <c r="V776" s="140">
        <v>3.343</v>
      </c>
      <c r="W776" s="140">
        <f>6.645+7.611</f>
        <v>14.256</v>
      </c>
      <c r="X776" s="149">
        <f t="shared" si="35"/>
        <v>47.657808000000003</v>
      </c>
      <c r="Y776" s="149"/>
    </row>
    <row r="777" spans="1:25" ht="14.25" customHeight="1">
      <c r="A777" s="149" t="s">
        <v>12</v>
      </c>
      <c r="B777" s="139" t="s">
        <v>3326</v>
      </c>
      <c r="C777" s="140" t="s">
        <v>1744</v>
      </c>
      <c r="D777" s="140" t="s">
        <v>3551</v>
      </c>
      <c r="E777" s="140" t="s">
        <v>3248</v>
      </c>
      <c r="F777" s="140" t="s">
        <v>36</v>
      </c>
      <c r="G777" s="140"/>
      <c r="H777" s="140"/>
      <c r="I777" s="141">
        <v>42166</v>
      </c>
      <c r="J777" s="140" t="s">
        <v>36</v>
      </c>
      <c r="K777" s="140" t="s">
        <v>154</v>
      </c>
      <c r="L777" s="140" t="s">
        <v>2572</v>
      </c>
      <c r="M777" s="140" t="s">
        <v>2576</v>
      </c>
      <c r="N777" s="140" t="s">
        <v>3192</v>
      </c>
      <c r="O777" s="140" t="s">
        <v>2777</v>
      </c>
      <c r="P777" s="140" t="s">
        <v>2777</v>
      </c>
      <c r="Q777" s="140" t="s">
        <v>3239</v>
      </c>
      <c r="R777" s="140" t="s">
        <v>2713</v>
      </c>
      <c r="S777" s="140">
        <v>4.6600000000000003E-2</v>
      </c>
      <c r="T777" s="140">
        <v>3.5361290322580646E-2</v>
      </c>
      <c r="U777" s="140">
        <f t="shared" si="36"/>
        <v>1.1238709677419356E-2</v>
      </c>
      <c r="V777" s="140">
        <v>3.399</v>
      </c>
      <c r="W777" s="140">
        <v>15.489000000000001</v>
      </c>
      <c r="X777" s="149">
        <f t="shared" si="35"/>
        <v>52.647111000000002</v>
      </c>
      <c r="Y777" s="149"/>
    </row>
    <row r="778" spans="1:25" ht="14.25" customHeight="1">
      <c r="A778" s="149" t="s">
        <v>12</v>
      </c>
      <c r="B778" s="139" t="s">
        <v>3327</v>
      </c>
      <c r="C778" s="140" t="s">
        <v>1744</v>
      </c>
      <c r="D778" s="140" t="s">
        <v>3551</v>
      </c>
      <c r="E778" s="140" t="s">
        <v>3249</v>
      </c>
      <c r="F778" s="140" t="s">
        <v>3205</v>
      </c>
      <c r="G778" s="140"/>
      <c r="H778" s="140"/>
      <c r="I778" s="141">
        <v>42167</v>
      </c>
      <c r="J778" s="140" t="s">
        <v>36</v>
      </c>
      <c r="K778" s="140" t="s">
        <v>154</v>
      </c>
      <c r="L778" s="140" t="s">
        <v>2572</v>
      </c>
      <c r="M778" s="140" t="s">
        <v>2576</v>
      </c>
      <c r="N778" s="140" t="s">
        <v>3192</v>
      </c>
      <c r="O778" s="140" t="s">
        <v>2777</v>
      </c>
      <c r="P778" s="140" t="s">
        <v>2777</v>
      </c>
      <c r="Q778" s="140" t="s">
        <v>3239</v>
      </c>
      <c r="R778" s="140" t="s">
        <v>2713</v>
      </c>
      <c r="S778" s="140">
        <v>4.53E-2</v>
      </c>
      <c r="T778" s="140">
        <v>3.5361290322580646E-2</v>
      </c>
      <c r="U778" s="140">
        <f t="shared" si="36"/>
        <v>9.9387096774193537E-3</v>
      </c>
      <c r="V778" s="140">
        <v>3.3039999999999998</v>
      </c>
      <c r="W778" s="140">
        <v>15.836</v>
      </c>
      <c r="X778" s="149">
        <f t="shared" si="35"/>
        <v>52.322144000000002</v>
      </c>
      <c r="Y778" s="149"/>
    </row>
    <row r="779" spans="1:25" ht="14.25" customHeight="1">
      <c r="A779" s="149" t="s">
        <v>12</v>
      </c>
      <c r="B779" s="139" t="s">
        <v>3328</v>
      </c>
      <c r="C779" s="140" t="s">
        <v>1744</v>
      </c>
      <c r="D779" s="140" t="s">
        <v>3551</v>
      </c>
      <c r="E779" s="140" t="s">
        <v>3250</v>
      </c>
      <c r="F779" s="140" t="s">
        <v>36</v>
      </c>
      <c r="G779" s="140"/>
      <c r="H779" s="140"/>
      <c r="I779" s="141">
        <v>42168</v>
      </c>
      <c r="J779" s="140" t="s">
        <v>36</v>
      </c>
      <c r="K779" s="140" t="s">
        <v>154</v>
      </c>
      <c r="L779" s="140" t="s">
        <v>2572</v>
      </c>
      <c r="M779" s="140" t="s">
        <v>2576</v>
      </c>
      <c r="N779" s="140" t="s">
        <v>3192</v>
      </c>
      <c r="O779" s="140" t="s">
        <v>2777</v>
      </c>
      <c r="P779" s="140" t="s">
        <v>2777</v>
      </c>
      <c r="Q779" s="140" t="s">
        <v>3239</v>
      </c>
      <c r="R779" s="140" t="s">
        <v>2713</v>
      </c>
      <c r="S779" s="140">
        <v>4.5900000000000003E-2</v>
      </c>
      <c r="T779" s="140">
        <v>3.5361290322580646E-2</v>
      </c>
      <c r="U779" s="140">
        <f t="shared" si="36"/>
        <v>1.0538709677419357E-2</v>
      </c>
      <c r="V779" s="140">
        <v>3.0649999999999999</v>
      </c>
      <c r="W779" s="140">
        <f>6.543+7.623</f>
        <v>14.166</v>
      </c>
      <c r="X779" s="149">
        <f t="shared" si="35"/>
        <v>43.418790000000001</v>
      </c>
      <c r="Y779" s="149"/>
    </row>
    <row r="780" spans="1:25" ht="14.25" customHeight="1">
      <c r="A780" s="149" t="s">
        <v>12</v>
      </c>
      <c r="B780" s="139" t="s">
        <v>3329</v>
      </c>
      <c r="C780" s="140" t="s">
        <v>1744</v>
      </c>
      <c r="D780" s="140" t="s">
        <v>3551</v>
      </c>
      <c r="E780" s="140" t="s">
        <v>3251</v>
      </c>
      <c r="F780" s="140">
        <v>368</v>
      </c>
      <c r="G780" s="140"/>
      <c r="H780" s="140"/>
      <c r="I780" s="141">
        <v>42169</v>
      </c>
      <c r="J780" s="140" t="s">
        <v>36</v>
      </c>
      <c r="K780" s="140" t="s">
        <v>154</v>
      </c>
      <c r="L780" s="140" t="s">
        <v>2572</v>
      </c>
      <c r="M780" s="140" t="s">
        <v>2576</v>
      </c>
      <c r="N780" s="140" t="s">
        <v>3192</v>
      </c>
      <c r="O780" s="140" t="s">
        <v>2777</v>
      </c>
      <c r="P780" s="140" t="s">
        <v>2777</v>
      </c>
      <c r="Q780" s="140" t="s">
        <v>3239</v>
      </c>
      <c r="R780" s="140" t="s">
        <v>2713</v>
      </c>
      <c r="S780" s="140">
        <v>4.41E-2</v>
      </c>
      <c r="T780" s="140">
        <v>3.5361290322580646E-2</v>
      </c>
      <c r="U780" s="140">
        <f t="shared" si="36"/>
        <v>8.738709677419354E-3</v>
      </c>
      <c r="V780" s="140">
        <v>3.2440000000000002</v>
      </c>
      <c r="W780" s="140">
        <v>15.679</v>
      </c>
      <c r="X780" s="149">
        <f t="shared" si="35"/>
        <v>50.862676000000008</v>
      </c>
      <c r="Y780" s="149"/>
    </row>
    <row r="781" spans="1:25" ht="14.25" customHeight="1">
      <c r="A781" s="149" t="s">
        <v>12</v>
      </c>
      <c r="B781" s="139" t="s">
        <v>3330</v>
      </c>
      <c r="C781" s="140" t="s">
        <v>1744</v>
      </c>
      <c r="D781" s="140" t="s">
        <v>3551</v>
      </c>
      <c r="E781" s="140" t="s">
        <v>3252</v>
      </c>
      <c r="F781" s="140">
        <v>366</v>
      </c>
      <c r="G781" s="140"/>
      <c r="H781" s="140"/>
      <c r="I781" s="141">
        <v>42170</v>
      </c>
      <c r="J781" s="140" t="s">
        <v>36</v>
      </c>
      <c r="K781" s="140" t="s">
        <v>154</v>
      </c>
      <c r="L781" s="140" t="s">
        <v>2572</v>
      </c>
      <c r="M781" s="140" t="s">
        <v>2576</v>
      </c>
      <c r="N781" s="140" t="s">
        <v>3192</v>
      </c>
      <c r="O781" s="140" t="s">
        <v>2777</v>
      </c>
      <c r="P781" s="140" t="s">
        <v>2777</v>
      </c>
      <c r="Q781" s="140" t="s">
        <v>3239</v>
      </c>
      <c r="R781" s="140" t="s">
        <v>2713</v>
      </c>
      <c r="S781" s="140">
        <v>4.48E-2</v>
      </c>
      <c r="T781" s="140">
        <v>3.5361290322580646E-2</v>
      </c>
      <c r="U781" s="140">
        <f t="shared" si="36"/>
        <v>9.4387096774193532E-3</v>
      </c>
      <c r="V781" s="140">
        <v>3.2309999999999999</v>
      </c>
      <c r="W781" s="140">
        <f>7.125+9.396</f>
        <v>16.521000000000001</v>
      </c>
      <c r="X781" s="149">
        <f t="shared" si="35"/>
        <v>53.379351</v>
      </c>
      <c r="Y781" s="149"/>
    </row>
    <row r="782" spans="1:25" ht="14.25" customHeight="1">
      <c r="A782" s="149" t="s">
        <v>12</v>
      </c>
      <c r="B782" s="139" t="s">
        <v>3331</v>
      </c>
      <c r="C782" s="140" t="s">
        <v>1744</v>
      </c>
      <c r="D782" s="140" t="s">
        <v>3551</v>
      </c>
      <c r="E782" s="140" t="s">
        <v>3253</v>
      </c>
      <c r="F782" s="140">
        <v>367</v>
      </c>
      <c r="G782" s="140"/>
      <c r="H782" s="140"/>
      <c r="I782" s="141">
        <v>42171</v>
      </c>
      <c r="J782" s="140" t="s">
        <v>36</v>
      </c>
      <c r="K782" s="140" t="s">
        <v>154</v>
      </c>
      <c r="L782" s="140" t="s">
        <v>2572</v>
      </c>
      <c r="M782" s="140" t="s">
        <v>2576</v>
      </c>
      <c r="N782" s="140" t="s">
        <v>3192</v>
      </c>
      <c r="O782" s="140" t="s">
        <v>2777</v>
      </c>
      <c r="P782" s="140" t="s">
        <v>2777</v>
      </c>
      <c r="Q782" s="140" t="s">
        <v>3239</v>
      </c>
      <c r="R782" s="140" t="s">
        <v>2713</v>
      </c>
      <c r="S782" s="140">
        <v>4.6800000000000001E-2</v>
      </c>
      <c r="T782" s="140">
        <v>3.5361290322580646E-2</v>
      </c>
      <c r="U782" s="140">
        <f t="shared" si="36"/>
        <v>1.1438709677419355E-2</v>
      </c>
      <c r="V782" s="140">
        <v>3.4359999999999999</v>
      </c>
      <c r="W782" s="140">
        <f>7.393+9.588</f>
        <v>16.980999999999998</v>
      </c>
      <c r="X782" s="149">
        <f t="shared" si="35"/>
        <v>58.346715999999994</v>
      </c>
      <c r="Y782" s="149"/>
    </row>
    <row r="783" spans="1:25" ht="14.25" customHeight="1">
      <c r="A783" s="149" t="s">
        <v>12</v>
      </c>
      <c r="B783" s="139" t="s">
        <v>3332</v>
      </c>
      <c r="C783" s="140" t="s">
        <v>1744</v>
      </c>
      <c r="D783" s="140" t="s">
        <v>3551</v>
      </c>
      <c r="E783" s="140" t="s">
        <v>3207</v>
      </c>
      <c r="F783" s="140">
        <v>52</v>
      </c>
      <c r="G783" s="140"/>
      <c r="H783" s="140"/>
      <c r="I783" s="141">
        <v>42172</v>
      </c>
      <c r="J783" s="140" t="s">
        <v>36</v>
      </c>
      <c r="K783" s="140" t="s">
        <v>154</v>
      </c>
      <c r="L783" s="140" t="s">
        <v>2572</v>
      </c>
      <c r="M783" s="140" t="s">
        <v>2576</v>
      </c>
      <c r="N783" s="140" t="s">
        <v>3192</v>
      </c>
      <c r="O783" s="140" t="s">
        <v>2777</v>
      </c>
      <c r="P783" s="140" t="s">
        <v>2777</v>
      </c>
      <c r="Q783" s="140" t="s">
        <v>3239</v>
      </c>
      <c r="R783" s="140" t="s">
        <v>2713</v>
      </c>
      <c r="S783" s="140">
        <v>4.5400000000000003E-2</v>
      </c>
      <c r="T783" s="140">
        <v>3.5361290322580646E-2</v>
      </c>
      <c r="U783" s="140">
        <f t="shared" si="36"/>
        <v>1.0038709677419357E-2</v>
      </c>
      <c r="V783" s="140">
        <v>3.2629999999999999</v>
      </c>
      <c r="W783" s="140">
        <f>7.932+6.511</f>
        <v>14.443000000000001</v>
      </c>
      <c r="X783" s="149">
        <f t="shared" si="35"/>
        <v>47.127509000000003</v>
      </c>
      <c r="Y783" s="149"/>
    </row>
    <row r="784" spans="1:25" ht="14.25" customHeight="1">
      <c r="A784" s="149" t="s">
        <v>12</v>
      </c>
      <c r="B784" s="139" t="s">
        <v>3333</v>
      </c>
      <c r="C784" s="140" t="s">
        <v>1744</v>
      </c>
      <c r="D784" s="140" t="s">
        <v>3551</v>
      </c>
      <c r="E784" s="140" t="s">
        <v>3207</v>
      </c>
      <c r="F784" s="140">
        <v>58</v>
      </c>
      <c r="G784" s="140"/>
      <c r="H784" s="140"/>
      <c r="I784" s="141">
        <v>42173</v>
      </c>
      <c r="J784" s="140" t="s">
        <v>36</v>
      </c>
      <c r="K784" s="140" t="s">
        <v>154</v>
      </c>
      <c r="L784" s="140" t="s">
        <v>2572</v>
      </c>
      <c r="M784" s="140" t="s">
        <v>2576</v>
      </c>
      <c r="N784" s="140" t="s">
        <v>3192</v>
      </c>
      <c r="O784" s="140" t="s">
        <v>2777</v>
      </c>
      <c r="P784" s="140" t="s">
        <v>2777</v>
      </c>
      <c r="Q784" s="140" t="s">
        <v>3239</v>
      </c>
      <c r="R784" s="140" t="s">
        <v>2713</v>
      </c>
      <c r="S784" s="140">
        <v>4.5199999999999997E-2</v>
      </c>
      <c r="T784" s="140">
        <v>3.5361290322580646E-2</v>
      </c>
      <c r="U784" s="140">
        <f t="shared" si="36"/>
        <v>9.8387096774193508E-3</v>
      </c>
      <c r="V784" s="140">
        <v>3.3940000000000001</v>
      </c>
      <c r="W784" s="140">
        <f>7.095+9.004</f>
        <v>16.099</v>
      </c>
      <c r="X784" s="149">
        <f t="shared" si="35"/>
        <v>54.640006</v>
      </c>
      <c r="Y784" s="149"/>
    </row>
    <row r="785" spans="1:25" ht="14.25" customHeight="1">
      <c r="A785" s="149" t="s">
        <v>12</v>
      </c>
      <c r="B785" s="139" t="s">
        <v>3334</v>
      </c>
      <c r="C785" s="140" t="s">
        <v>1744</v>
      </c>
      <c r="D785" s="140" t="s">
        <v>3551</v>
      </c>
      <c r="E785" s="140" t="s">
        <v>3207</v>
      </c>
      <c r="F785" s="140">
        <v>69</v>
      </c>
      <c r="G785" s="140"/>
      <c r="H785" s="140"/>
      <c r="I785" s="141">
        <v>42174</v>
      </c>
      <c r="J785" s="140" t="s">
        <v>36</v>
      </c>
      <c r="K785" s="140" t="s">
        <v>154</v>
      </c>
      <c r="L785" s="140" t="s">
        <v>2572</v>
      </c>
      <c r="M785" s="140" t="s">
        <v>2576</v>
      </c>
      <c r="N785" s="140" t="s">
        <v>3192</v>
      </c>
      <c r="O785" s="140" t="s">
        <v>2777</v>
      </c>
      <c r="P785" s="140" t="s">
        <v>2777</v>
      </c>
      <c r="Q785" s="140" t="s">
        <v>3239</v>
      </c>
      <c r="R785" s="140" t="s">
        <v>2713</v>
      </c>
      <c r="S785" s="140">
        <v>4.4900000000000002E-2</v>
      </c>
      <c r="T785" s="140">
        <v>3.5361290322580646E-2</v>
      </c>
      <c r="U785" s="140">
        <f t="shared" si="36"/>
        <v>9.5387096774193561E-3</v>
      </c>
      <c r="V785" s="140">
        <v>3.3679999999999999</v>
      </c>
      <c r="W785" s="140">
        <v>16.567</v>
      </c>
      <c r="X785" s="149">
        <f t="shared" si="35"/>
        <v>55.797655999999996</v>
      </c>
      <c r="Y785" s="149"/>
    </row>
    <row r="786" spans="1:25" ht="14.25" customHeight="1">
      <c r="A786" s="149" t="s">
        <v>12</v>
      </c>
      <c r="B786" s="139" t="s">
        <v>3335</v>
      </c>
      <c r="C786" s="140" t="s">
        <v>1744</v>
      </c>
      <c r="D786" s="140" t="s">
        <v>3551</v>
      </c>
      <c r="E786" s="140" t="s">
        <v>3207</v>
      </c>
      <c r="F786" s="140">
        <v>59</v>
      </c>
      <c r="G786" s="140"/>
      <c r="H786" s="140"/>
      <c r="I786" s="141">
        <v>42175</v>
      </c>
      <c r="J786" s="140" t="s">
        <v>36</v>
      </c>
      <c r="K786" s="140" t="s">
        <v>154</v>
      </c>
      <c r="L786" s="140" t="s">
        <v>2572</v>
      </c>
      <c r="M786" s="140" t="s">
        <v>2576</v>
      </c>
      <c r="N786" s="140" t="s">
        <v>3192</v>
      </c>
      <c r="O786" s="140" t="s">
        <v>2777</v>
      </c>
      <c r="P786" s="140" t="s">
        <v>2777</v>
      </c>
      <c r="Q786" s="140" t="s">
        <v>3239</v>
      </c>
      <c r="R786" s="140" t="s">
        <v>2713</v>
      </c>
      <c r="S786" s="140">
        <v>4.5100000000000001E-2</v>
      </c>
      <c r="T786" s="140">
        <v>3.5361290322580646E-2</v>
      </c>
      <c r="U786" s="140">
        <f t="shared" si="36"/>
        <v>9.7387096774193549E-3</v>
      </c>
      <c r="V786" s="140">
        <v>3.2240000000000002</v>
      </c>
      <c r="W786" s="140">
        <f>9.332+6.884</f>
        <v>16.216000000000001</v>
      </c>
      <c r="X786" s="149">
        <f t="shared" si="35"/>
        <v>52.280384000000005</v>
      </c>
      <c r="Y786" s="149"/>
    </row>
    <row r="787" spans="1:25" ht="14.25" customHeight="1">
      <c r="A787" s="149" t="s">
        <v>12</v>
      </c>
      <c r="B787" s="139" t="s">
        <v>3336</v>
      </c>
      <c r="C787" s="140" t="s">
        <v>1744</v>
      </c>
      <c r="D787" s="140" t="s">
        <v>3551</v>
      </c>
      <c r="E787" s="140" t="s">
        <v>3207</v>
      </c>
      <c r="F787" s="140">
        <v>64</v>
      </c>
      <c r="G787" s="140"/>
      <c r="H787" s="140"/>
      <c r="I787" s="141">
        <v>42176</v>
      </c>
      <c r="J787" s="140" t="s">
        <v>36</v>
      </c>
      <c r="K787" s="140" t="s">
        <v>154</v>
      </c>
      <c r="L787" s="140" t="s">
        <v>2572</v>
      </c>
      <c r="M787" s="140" t="s">
        <v>2576</v>
      </c>
      <c r="N787" s="140" t="s">
        <v>3192</v>
      </c>
      <c r="O787" s="140" t="s">
        <v>2777</v>
      </c>
      <c r="P787" s="140" t="s">
        <v>2777</v>
      </c>
      <c r="Q787" s="140" t="s">
        <v>3239</v>
      </c>
      <c r="R787" s="140" t="s">
        <v>2713</v>
      </c>
      <c r="S787" s="140">
        <v>4.7399999999999998E-2</v>
      </c>
      <c r="T787" s="140">
        <v>3.5361290322580646E-2</v>
      </c>
      <c r="U787" s="140">
        <f t="shared" si="36"/>
        <v>1.2038709677419351E-2</v>
      </c>
      <c r="V787" s="140">
        <v>3.4119999999999999</v>
      </c>
      <c r="W787" s="140">
        <f>8.922+7.274</f>
        <v>16.196000000000002</v>
      </c>
      <c r="X787" s="149">
        <f t="shared" si="35"/>
        <v>55.260752000000004</v>
      </c>
      <c r="Y787" s="149"/>
    </row>
    <row r="788" spans="1:25" ht="14.25" customHeight="1">
      <c r="A788" s="149" t="s">
        <v>12</v>
      </c>
      <c r="B788" s="139" t="s">
        <v>3337</v>
      </c>
      <c r="C788" s="140" t="s">
        <v>1744</v>
      </c>
      <c r="D788" s="140" t="s">
        <v>3551</v>
      </c>
      <c r="E788" s="140" t="s">
        <v>3207</v>
      </c>
      <c r="F788" s="140">
        <v>62</v>
      </c>
      <c r="G788" s="140"/>
      <c r="H788" s="140"/>
      <c r="I788" s="141">
        <v>42177</v>
      </c>
      <c r="J788" s="140" t="s">
        <v>36</v>
      </c>
      <c r="K788" s="140" t="s">
        <v>154</v>
      </c>
      <c r="L788" s="140" t="s">
        <v>2572</v>
      </c>
      <c r="M788" s="140" t="s">
        <v>2576</v>
      </c>
      <c r="N788" s="140" t="s">
        <v>3192</v>
      </c>
      <c r="O788" s="140" t="s">
        <v>2777</v>
      </c>
      <c r="P788" s="140" t="s">
        <v>2777</v>
      </c>
      <c r="Q788" s="140" t="s">
        <v>3239</v>
      </c>
      <c r="R788" s="140" t="s">
        <v>2713</v>
      </c>
      <c r="S788" s="140">
        <v>4.4900000000000002E-2</v>
      </c>
      <c r="T788" s="140">
        <v>3.5361290322580646E-2</v>
      </c>
      <c r="U788" s="140">
        <f t="shared" si="36"/>
        <v>9.5387096774193561E-3</v>
      </c>
      <c r="V788" s="140">
        <v>3.0750000000000002</v>
      </c>
      <c r="W788" s="140">
        <f>6.514+8.705</f>
        <v>15.219000000000001</v>
      </c>
      <c r="X788" s="149">
        <f t="shared" si="35"/>
        <v>46.798425000000009</v>
      </c>
      <c r="Y788" s="149"/>
    </row>
    <row r="789" spans="1:25" ht="14.25" customHeight="1">
      <c r="A789" s="149" t="s">
        <v>12</v>
      </c>
      <c r="B789" s="139" t="s">
        <v>3338</v>
      </c>
      <c r="C789" s="140" t="s">
        <v>1744</v>
      </c>
      <c r="D789" s="140" t="s">
        <v>3551</v>
      </c>
      <c r="E789" s="140" t="s">
        <v>3254</v>
      </c>
      <c r="F789" s="140">
        <v>65</v>
      </c>
      <c r="G789" s="140"/>
      <c r="H789" s="140"/>
      <c r="I789" s="141">
        <v>42178</v>
      </c>
      <c r="J789" s="140" t="s">
        <v>36</v>
      </c>
      <c r="K789" s="140" t="s">
        <v>154</v>
      </c>
      <c r="L789" s="140" t="s">
        <v>2572</v>
      </c>
      <c r="M789" s="140" t="s">
        <v>2576</v>
      </c>
      <c r="N789" s="140" t="s">
        <v>3192</v>
      </c>
      <c r="O789" s="140" t="s">
        <v>2777</v>
      </c>
      <c r="P789" s="140" t="s">
        <v>2777</v>
      </c>
      <c r="Q789" s="140" t="s">
        <v>3239</v>
      </c>
      <c r="R789" s="140" t="s">
        <v>2713</v>
      </c>
      <c r="S789" s="140">
        <v>4.5699999999999998E-2</v>
      </c>
      <c r="T789" s="140">
        <v>3.5361290322580646E-2</v>
      </c>
      <c r="U789" s="140">
        <f t="shared" si="36"/>
        <v>1.0338709677419351E-2</v>
      </c>
      <c r="V789" s="140">
        <v>3.5129999999999999</v>
      </c>
      <c r="W789" s="140">
        <v>16.122</v>
      </c>
      <c r="X789" s="149">
        <f t="shared" si="35"/>
        <v>56.636586000000001</v>
      </c>
      <c r="Y789" s="149"/>
    </row>
    <row r="790" spans="1:25" ht="14.25" customHeight="1">
      <c r="A790" s="149" t="s">
        <v>12</v>
      </c>
      <c r="B790" s="139" t="s">
        <v>3339</v>
      </c>
      <c r="C790" s="140" t="s">
        <v>1744</v>
      </c>
      <c r="D790" s="140" t="s">
        <v>3551</v>
      </c>
      <c r="E790" s="140" t="s">
        <v>3351</v>
      </c>
      <c r="F790" s="140" t="s">
        <v>36</v>
      </c>
      <c r="G790" s="140"/>
      <c r="H790" s="140"/>
      <c r="I790" s="141">
        <v>42179</v>
      </c>
      <c r="J790" s="140" t="s">
        <v>36</v>
      </c>
      <c r="K790" s="140" t="s">
        <v>154</v>
      </c>
      <c r="L790" s="140" t="s">
        <v>2572</v>
      </c>
      <c r="M790" s="140" t="s">
        <v>2576</v>
      </c>
      <c r="N790" s="140" t="s">
        <v>3192</v>
      </c>
      <c r="O790" s="140" t="s">
        <v>2777</v>
      </c>
      <c r="P790" s="140" t="s">
        <v>2777</v>
      </c>
      <c r="Q790" s="140" t="s">
        <v>3239</v>
      </c>
      <c r="R790" s="140" t="s">
        <v>2713</v>
      </c>
      <c r="S790" s="140">
        <v>4.6199999999999998E-2</v>
      </c>
      <c r="T790" s="140">
        <v>3.5361290322580646E-2</v>
      </c>
      <c r="U790" s="140">
        <f t="shared" si="36"/>
        <v>1.0838709677419352E-2</v>
      </c>
      <c r="V790" s="140">
        <v>3.444</v>
      </c>
      <c r="W790" s="140">
        <f>8.727+6.992</f>
        <v>15.719000000000001</v>
      </c>
      <c r="X790" s="149">
        <f t="shared" si="35"/>
        <v>54.136236000000004</v>
      </c>
      <c r="Y790" s="149"/>
    </row>
    <row r="791" spans="1:25" ht="14.25" customHeight="1">
      <c r="A791" s="149" t="s">
        <v>12</v>
      </c>
      <c r="B791" s="139" t="s">
        <v>3340</v>
      </c>
      <c r="C791" s="140" t="s">
        <v>1744</v>
      </c>
      <c r="D791" s="140" t="s">
        <v>3551</v>
      </c>
      <c r="E791" s="140" t="s">
        <v>3352</v>
      </c>
      <c r="F791" s="140" t="s">
        <v>36</v>
      </c>
      <c r="G791" s="140"/>
      <c r="H791" s="140"/>
      <c r="I791" s="141">
        <v>42180</v>
      </c>
      <c r="J791" s="140" t="s">
        <v>36</v>
      </c>
      <c r="K791" s="140" t="s">
        <v>154</v>
      </c>
      <c r="L791" s="140" t="s">
        <v>2572</v>
      </c>
      <c r="M791" s="140" t="s">
        <v>2576</v>
      </c>
      <c r="N791" s="140" t="s">
        <v>3192</v>
      </c>
      <c r="O791" s="140" t="s">
        <v>2777</v>
      </c>
      <c r="P791" s="140" t="s">
        <v>2777</v>
      </c>
      <c r="Q791" s="140" t="s">
        <v>3239</v>
      </c>
      <c r="R791" s="140" t="s">
        <v>2713</v>
      </c>
      <c r="S791" s="140">
        <v>4.3700000000000003E-2</v>
      </c>
      <c r="T791" s="140">
        <v>3.5361290322580646E-2</v>
      </c>
      <c r="U791" s="140">
        <f t="shared" si="36"/>
        <v>8.3387096774193564E-3</v>
      </c>
      <c r="V791" s="140">
        <v>3.42</v>
      </c>
      <c r="W791" s="140">
        <f>8.813+7.056</f>
        <v>15.869</v>
      </c>
      <c r="X791" s="149">
        <f t="shared" si="35"/>
        <v>54.271979999999999</v>
      </c>
      <c r="Y791" s="149"/>
    </row>
    <row r="792" spans="1:25" ht="14.25" customHeight="1">
      <c r="A792" s="149" t="s">
        <v>12</v>
      </c>
      <c r="B792" s="139" t="s">
        <v>3341</v>
      </c>
      <c r="C792" s="140" t="s">
        <v>1744</v>
      </c>
      <c r="D792" s="140" t="s">
        <v>3551</v>
      </c>
      <c r="E792" s="140" t="s">
        <v>3353</v>
      </c>
      <c r="F792" s="140">
        <v>327</v>
      </c>
      <c r="G792" s="140"/>
      <c r="H792" s="140"/>
      <c r="I792" s="141">
        <v>42181</v>
      </c>
      <c r="J792" s="140" t="s">
        <v>36</v>
      </c>
      <c r="K792" s="140" t="s">
        <v>154</v>
      </c>
      <c r="L792" s="140" t="s">
        <v>2572</v>
      </c>
      <c r="M792" s="140" t="s">
        <v>2576</v>
      </c>
      <c r="N792" s="140" t="s">
        <v>3192</v>
      </c>
      <c r="O792" s="140" t="s">
        <v>2777</v>
      </c>
      <c r="P792" s="140" t="s">
        <v>2777</v>
      </c>
      <c r="Q792" s="140" t="s">
        <v>3239</v>
      </c>
      <c r="R792" s="140" t="s">
        <v>2713</v>
      </c>
      <c r="S792" s="140">
        <v>4.5100000000000001E-2</v>
      </c>
      <c r="T792" s="140">
        <v>3.5361290322580646E-2</v>
      </c>
      <c r="U792" s="140">
        <f t="shared" si="36"/>
        <v>9.7387096774193549E-3</v>
      </c>
      <c r="V792" s="140">
        <v>3.4609999999999999</v>
      </c>
      <c r="W792" s="140">
        <v>15.233000000000001</v>
      </c>
      <c r="X792" s="149">
        <f t="shared" si="35"/>
        <v>52.721412999999998</v>
      </c>
      <c r="Y792" s="149"/>
    </row>
    <row r="793" spans="1:25" ht="14.25" customHeight="1">
      <c r="A793" s="149" t="s">
        <v>12</v>
      </c>
      <c r="B793" s="139" t="s">
        <v>3342</v>
      </c>
      <c r="C793" s="140" t="s">
        <v>1744</v>
      </c>
      <c r="D793" s="140" t="s">
        <v>3551</v>
      </c>
      <c r="E793" s="140" t="s">
        <v>3354</v>
      </c>
      <c r="F793" s="140">
        <v>232</v>
      </c>
      <c r="G793" s="140"/>
      <c r="H793" s="140"/>
      <c r="I793" s="141">
        <v>42182</v>
      </c>
      <c r="J793" s="140" t="s">
        <v>36</v>
      </c>
      <c r="K793" s="140" t="s">
        <v>154</v>
      </c>
      <c r="L793" s="140" t="s">
        <v>2572</v>
      </c>
      <c r="M793" s="140" t="s">
        <v>2576</v>
      </c>
      <c r="N793" s="140" t="s">
        <v>3192</v>
      </c>
      <c r="O793" s="140" t="s">
        <v>2777</v>
      </c>
      <c r="P793" s="140" t="s">
        <v>2777</v>
      </c>
      <c r="Q793" s="140" t="s">
        <v>3239</v>
      </c>
      <c r="R793" s="140" t="s">
        <v>2713</v>
      </c>
      <c r="S793" s="140">
        <v>4.3900000000000002E-2</v>
      </c>
      <c r="T793" s="140">
        <v>3.5361290322580646E-2</v>
      </c>
      <c r="U793" s="140">
        <f t="shared" si="36"/>
        <v>8.5387096774193552E-3</v>
      </c>
      <c r="V793" s="140">
        <v>3.4409999999999998</v>
      </c>
      <c r="W793" s="140">
        <v>15.179</v>
      </c>
      <c r="X793" s="149">
        <f t="shared" si="35"/>
        <v>52.230938999999999</v>
      </c>
      <c r="Y793" s="149"/>
    </row>
    <row r="794" spans="1:25" ht="14.25" customHeight="1">
      <c r="A794" s="149" t="s">
        <v>12</v>
      </c>
      <c r="B794" s="139" t="s">
        <v>3343</v>
      </c>
      <c r="C794" s="140" t="s">
        <v>1744</v>
      </c>
      <c r="D794" s="140" t="s">
        <v>3551</v>
      </c>
      <c r="E794" s="140" t="s">
        <v>3354</v>
      </c>
      <c r="F794" s="140">
        <v>235</v>
      </c>
      <c r="G794" s="140"/>
      <c r="H794" s="140"/>
      <c r="I794" s="141">
        <v>42183</v>
      </c>
      <c r="J794" s="140" t="s">
        <v>36</v>
      </c>
      <c r="K794" s="140" t="s">
        <v>154</v>
      </c>
      <c r="L794" s="140" t="s">
        <v>2572</v>
      </c>
      <c r="M794" s="140" t="s">
        <v>2576</v>
      </c>
      <c r="N794" s="140" t="s">
        <v>3192</v>
      </c>
      <c r="O794" s="140" t="s">
        <v>2777</v>
      </c>
      <c r="P794" s="140" t="s">
        <v>2777</v>
      </c>
      <c r="Q794" s="140" t="s">
        <v>3239</v>
      </c>
      <c r="R794" s="140" t="s">
        <v>2713</v>
      </c>
      <c r="S794" s="140">
        <v>4.3999999999999997E-2</v>
      </c>
      <c r="T794" s="140">
        <v>3.5361290322580646E-2</v>
      </c>
      <c r="U794" s="140">
        <f t="shared" si="36"/>
        <v>8.6387096774193511E-3</v>
      </c>
      <c r="V794" s="140">
        <v>3.0259999999999998</v>
      </c>
      <c r="W794" s="140">
        <f>7.116+9.072</f>
        <v>16.187999999999999</v>
      </c>
      <c r="X794" s="149">
        <f t="shared" si="35"/>
        <v>48.984887999999991</v>
      </c>
      <c r="Y794" s="149"/>
    </row>
    <row r="795" spans="1:25" ht="14.25" customHeight="1">
      <c r="A795" s="149" t="s">
        <v>12</v>
      </c>
      <c r="B795" s="139" t="s">
        <v>3344</v>
      </c>
      <c r="C795" s="140" t="s">
        <v>1744</v>
      </c>
      <c r="D795" s="140" t="s">
        <v>3551</v>
      </c>
      <c r="E795" s="140" t="s">
        <v>3355</v>
      </c>
      <c r="F795" s="140">
        <v>291</v>
      </c>
      <c r="G795" s="140"/>
      <c r="H795" s="140"/>
      <c r="I795" s="141">
        <v>42184</v>
      </c>
      <c r="J795" s="140" t="s">
        <v>36</v>
      </c>
      <c r="K795" s="140" t="s">
        <v>154</v>
      </c>
      <c r="L795" s="140" t="s">
        <v>2572</v>
      </c>
      <c r="M795" s="140" t="s">
        <v>2576</v>
      </c>
      <c r="N795" s="140" t="s">
        <v>3192</v>
      </c>
      <c r="O795" s="140" t="s">
        <v>2777</v>
      </c>
      <c r="P795" s="140" t="s">
        <v>2777</v>
      </c>
      <c r="Q795" s="140" t="s">
        <v>3239</v>
      </c>
      <c r="R795" s="140" t="s">
        <v>2713</v>
      </c>
      <c r="S795" s="140">
        <v>4.7300000000000002E-2</v>
      </c>
      <c r="T795" s="140">
        <v>3.5361290322580646E-2</v>
      </c>
      <c r="U795" s="140">
        <f t="shared" si="36"/>
        <v>1.1938709677419355E-2</v>
      </c>
      <c r="V795" s="140">
        <v>3.6360000000000001</v>
      </c>
      <c r="W795" s="140">
        <v>16.585000000000001</v>
      </c>
      <c r="X795" s="149">
        <f t="shared" si="35"/>
        <v>60.303060000000002</v>
      </c>
      <c r="Y795" s="149"/>
    </row>
    <row r="796" spans="1:25" ht="14.25" customHeight="1">
      <c r="A796" s="149" t="s">
        <v>12</v>
      </c>
      <c r="B796" s="139" t="s">
        <v>3345</v>
      </c>
      <c r="C796" s="140" t="s">
        <v>1744</v>
      </c>
      <c r="D796" s="140" t="s">
        <v>3551</v>
      </c>
      <c r="E796" s="140" t="s">
        <v>3356</v>
      </c>
      <c r="F796" s="140">
        <v>612</v>
      </c>
      <c r="G796" s="140"/>
      <c r="H796" s="140"/>
      <c r="I796" s="141">
        <v>42185</v>
      </c>
      <c r="J796" s="140" t="s">
        <v>36</v>
      </c>
      <c r="K796" s="140" t="s">
        <v>154</v>
      </c>
      <c r="L796" s="140" t="s">
        <v>2572</v>
      </c>
      <c r="M796" s="140" t="s">
        <v>2576</v>
      </c>
      <c r="N796" s="140" t="s">
        <v>3192</v>
      </c>
      <c r="O796" s="140" t="s">
        <v>2777</v>
      </c>
      <c r="P796" s="140" t="s">
        <v>2777</v>
      </c>
      <c r="Q796" s="140" t="s">
        <v>3239</v>
      </c>
      <c r="R796" s="140" t="s">
        <v>2713</v>
      </c>
      <c r="S796" s="140">
        <v>4.4999999999999998E-2</v>
      </c>
      <c r="T796" s="140">
        <v>3.5361290322580646E-2</v>
      </c>
      <c r="U796" s="140">
        <f t="shared" si="36"/>
        <v>9.638709677419352E-3</v>
      </c>
      <c r="V796" s="140">
        <v>3.0790000000000002</v>
      </c>
      <c r="W796" s="140">
        <f>8.606+7.101</f>
        <v>15.707000000000001</v>
      </c>
      <c r="X796" s="149">
        <f t="shared" si="35"/>
        <v>48.361853000000004</v>
      </c>
      <c r="Y796" s="149"/>
    </row>
    <row r="797" spans="1:25" ht="14.25" customHeight="1">
      <c r="A797" s="149" t="s">
        <v>12</v>
      </c>
      <c r="B797" s="139" t="s">
        <v>3346</v>
      </c>
      <c r="C797" s="140" t="s">
        <v>1744</v>
      </c>
      <c r="D797" s="140" t="s">
        <v>3551</v>
      </c>
      <c r="E797" s="140" t="s">
        <v>3356</v>
      </c>
      <c r="F797" s="140">
        <v>611</v>
      </c>
      <c r="G797" s="140"/>
      <c r="H797" s="140"/>
      <c r="I797" s="141">
        <v>42186</v>
      </c>
      <c r="J797" s="140" t="s">
        <v>36</v>
      </c>
      <c r="K797" s="140" t="s">
        <v>154</v>
      </c>
      <c r="L797" s="140" t="s">
        <v>2572</v>
      </c>
      <c r="M797" s="140" t="s">
        <v>2576</v>
      </c>
      <c r="N797" s="140" t="s">
        <v>3192</v>
      </c>
      <c r="O797" s="140" t="s">
        <v>2777</v>
      </c>
      <c r="P797" s="140" t="s">
        <v>2777</v>
      </c>
      <c r="Q797" s="140" t="s">
        <v>3239</v>
      </c>
      <c r="R797" s="140" t="s">
        <v>2713</v>
      </c>
      <c r="S797" s="140">
        <v>4.5499999999999999E-2</v>
      </c>
      <c r="T797" s="140">
        <v>3.5361290322580646E-2</v>
      </c>
      <c r="U797" s="140">
        <f t="shared" si="36"/>
        <v>1.0138709677419352E-2</v>
      </c>
      <c r="V797" s="140">
        <v>3.2850000000000001</v>
      </c>
      <c r="W797" s="140">
        <f>7.032+8.367</f>
        <v>15.399000000000001</v>
      </c>
      <c r="X797" s="149">
        <f t="shared" si="35"/>
        <v>50.585715000000008</v>
      </c>
      <c r="Y797" s="149"/>
    </row>
    <row r="798" spans="1:25" ht="14.25" customHeight="1">
      <c r="A798" s="149" t="s">
        <v>12</v>
      </c>
      <c r="B798" s="139" t="s">
        <v>3347</v>
      </c>
      <c r="C798" s="140" t="s">
        <v>1744</v>
      </c>
      <c r="D798" s="140" t="s">
        <v>3551</v>
      </c>
      <c r="E798" s="140" t="s">
        <v>3357</v>
      </c>
      <c r="F798" s="140">
        <v>604</v>
      </c>
      <c r="G798" s="140"/>
      <c r="H798" s="140"/>
      <c r="I798" s="141">
        <v>42187</v>
      </c>
      <c r="J798" s="140" t="s">
        <v>36</v>
      </c>
      <c r="K798" s="140" t="s">
        <v>154</v>
      </c>
      <c r="L798" s="140" t="s">
        <v>2572</v>
      </c>
      <c r="M798" s="140" t="s">
        <v>2576</v>
      </c>
      <c r="N798" s="140" t="s">
        <v>3192</v>
      </c>
      <c r="O798" s="140" t="s">
        <v>2777</v>
      </c>
      <c r="P798" s="140" t="s">
        <v>2777</v>
      </c>
      <c r="Q798" s="140" t="s">
        <v>3239</v>
      </c>
      <c r="R798" s="140" t="s">
        <v>2713</v>
      </c>
      <c r="S798" s="140">
        <v>4.4699999999999997E-2</v>
      </c>
      <c r="T798" s="140">
        <v>3.5361290322580646E-2</v>
      </c>
      <c r="U798" s="140">
        <f t="shared" si="36"/>
        <v>9.3387096774193504E-3</v>
      </c>
      <c r="V798" s="140">
        <v>3.351</v>
      </c>
      <c r="W798" s="140">
        <f>6.932+8.57</f>
        <v>15.502000000000001</v>
      </c>
      <c r="X798" s="149">
        <f t="shared" si="35"/>
        <v>51.947202000000004</v>
      </c>
      <c r="Y798" s="149"/>
    </row>
    <row r="799" spans="1:25" ht="14.25" customHeight="1">
      <c r="A799" s="149" t="s">
        <v>12</v>
      </c>
      <c r="B799" s="139" t="s">
        <v>3348</v>
      </c>
      <c r="C799" s="140" t="s">
        <v>1744</v>
      </c>
      <c r="D799" s="140" t="s">
        <v>3551</v>
      </c>
      <c r="E799" s="140" t="s">
        <v>3358</v>
      </c>
      <c r="F799" s="140" t="s">
        <v>36</v>
      </c>
      <c r="G799" s="140"/>
      <c r="H799" s="140"/>
      <c r="I799" s="141">
        <v>42188</v>
      </c>
      <c r="J799" s="140" t="s">
        <v>36</v>
      </c>
      <c r="K799" s="140" t="s">
        <v>154</v>
      </c>
      <c r="L799" s="140" t="s">
        <v>2572</v>
      </c>
      <c r="M799" s="140" t="s">
        <v>2576</v>
      </c>
      <c r="N799" s="140" t="s">
        <v>3192</v>
      </c>
      <c r="O799" s="140" t="s">
        <v>2777</v>
      </c>
      <c r="P799" s="140" t="s">
        <v>2777</v>
      </c>
      <c r="Q799" s="140" t="s">
        <v>3239</v>
      </c>
      <c r="R799" s="140" t="s">
        <v>2713</v>
      </c>
      <c r="S799" s="140">
        <v>4.4400000000000002E-2</v>
      </c>
      <c r="T799" s="140">
        <v>3.5361290322580646E-2</v>
      </c>
      <c r="U799" s="140">
        <f t="shared" si="36"/>
        <v>9.0387096774193557E-3</v>
      </c>
      <c r="V799" s="140">
        <f>3.332</f>
        <v>3.3319999999999999</v>
      </c>
      <c r="W799" s="140">
        <f>7.371+9.067</f>
        <v>16.438000000000002</v>
      </c>
      <c r="X799" s="149">
        <f t="shared" si="35"/>
        <v>54.771416000000002</v>
      </c>
      <c r="Y799" s="149"/>
    </row>
    <row r="800" spans="1:25" ht="14.25" customHeight="1">
      <c r="A800" s="149" t="s">
        <v>12</v>
      </c>
      <c r="B800" s="139" t="s">
        <v>3349</v>
      </c>
      <c r="C800" s="140" t="s">
        <v>1744</v>
      </c>
      <c r="D800" s="140" t="s">
        <v>3551</v>
      </c>
      <c r="E800" s="140" t="s">
        <v>3358</v>
      </c>
      <c r="F800" s="140" t="s">
        <v>36</v>
      </c>
      <c r="G800" s="140"/>
      <c r="H800" s="140"/>
      <c r="I800" s="141">
        <v>42189</v>
      </c>
      <c r="J800" s="140" t="s">
        <v>36</v>
      </c>
      <c r="K800" s="140" t="s">
        <v>154</v>
      </c>
      <c r="L800" s="140" t="s">
        <v>2572</v>
      </c>
      <c r="M800" s="140" t="s">
        <v>2576</v>
      </c>
      <c r="N800" s="140" t="s">
        <v>3192</v>
      </c>
      <c r="O800" s="140" t="s">
        <v>2777</v>
      </c>
      <c r="P800" s="140" t="s">
        <v>2777</v>
      </c>
      <c r="Q800" s="140" t="s">
        <v>3239</v>
      </c>
      <c r="R800" s="140" t="s">
        <v>2713</v>
      </c>
      <c r="S800" s="140">
        <v>4.4200000000000003E-2</v>
      </c>
      <c r="T800" s="140">
        <v>3.5361290322580646E-2</v>
      </c>
      <c r="U800" s="140">
        <f t="shared" si="36"/>
        <v>8.8387096774193569E-3</v>
      </c>
      <c r="V800" s="140">
        <v>3.2370000000000001</v>
      </c>
      <c r="W800" s="140">
        <v>15.303000000000001</v>
      </c>
      <c r="X800" s="149">
        <f t="shared" si="35"/>
        <v>49.535811000000002</v>
      </c>
      <c r="Y800" s="149"/>
    </row>
    <row r="801" spans="1:25" ht="14.25" customHeight="1">
      <c r="A801" s="149" t="s">
        <v>12</v>
      </c>
      <c r="B801" s="139" t="s">
        <v>3350</v>
      </c>
      <c r="C801" s="140" t="s">
        <v>1744</v>
      </c>
      <c r="D801" s="140" t="s">
        <v>3551</v>
      </c>
      <c r="E801" s="140" t="s">
        <v>3359</v>
      </c>
      <c r="F801" s="140">
        <v>718</v>
      </c>
      <c r="G801" s="140"/>
      <c r="H801" s="140"/>
      <c r="I801" s="141">
        <v>42190</v>
      </c>
      <c r="J801" s="140" t="s">
        <v>36</v>
      </c>
      <c r="K801" s="140" t="s">
        <v>154</v>
      </c>
      <c r="L801" s="140" t="s">
        <v>2572</v>
      </c>
      <c r="M801" s="140" t="s">
        <v>2576</v>
      </c>
      <c r="N801" s="140" t="s">
        <v>3192</v>
      </c>
      <c r="O801" s="140" t="s">
        <v>2777</v>
      </c>
      <c r="P801" s="140" t="s">
        <v>2777</v>
      </c>
      <c r="Q801" s="140" t="s">
        <v>3239</v>
      </c>
      <c r="R801" s="140" t="s">
        <v>2713</v>
      </c>
      <c r="S801" s="140">
        <v>4.4999999999999998E-2</v>
      </c>
      <c r="T801" s="140">
        <v>3.5361290322580646E-2</v>
      </c>
      <c r="U801" s="140">
        <f t="shared" si="36"/>
        <v>9.638709677419352E-3</v>
      </c>
      <c r="V801" s="140">
        <v>3.375</v>
      </c>
      <c r="W801" s="140">
        <f>6.833+8.68</f>
        <v>15.513</v>
      </c>
      <c r="X801" s="149">
        <f t="shared" si="35"/>
        <v>52.356375</v>
      </c>
      <c r="Y801" s="149"/>
    </row>
    <row r="802" spans="1:25" ht="14.25" customHeight="1">
      <c r="A802" s="149" t="s">
        <v>12</v>
      </c>
      <c r="B802" s="139" t="s">
        <v>3360</v>
      </c>
      <c r="C802" s="140" t="s">
        <v>1744</v>
      </c>
      <c r="D802" s="140" t="s">
        <v>3551</v>
      </c>
      <c r="E802" s="140" t="s">
        <v>3380</v>
      </c>
      <c r="F802" s="140">
        <v>122</v>
      </c>
      <c r="G802" s="140"/>
      <c r="H802" s="140"/>
      <c r="I802" s="141">
        <v>42191</v>
      </c>
      <c r="J802" s="140" t="s">
        <v>36</v>
      </c>
      <c r="K802" s="140" t="s">
        <v>154</v>
      </c>
      <c r="L802" s="140" t="s">
        <v>1687</v>
      </c>
      <c r="M802" s="140" t="s">
        <v>2563</v>
      </c>
      <c r="N802" s="140" t="s">
        <v>2568</v>
      </c>
      <c r="O802" s="140" t="s">
        <v>2734</v>
      </c>
      <c r="P802" s="140" t="s">
        <v>2782</v>
      </c>
      <c r="Q802" s="140" t="s">
        <v>2392</v>
      </c>
      <c r="R802" s="140" t="s">
        <v>2713</v>
      </c>
      <c r="S802" s="140">
        <v>6.7199999999999996E-2</v>
      </c>
      <c r="T802" s="140">
        <v>3.5361290322580646E-2</v>
      </c>
      <c r="U802" s="140">
        <f t="shared" si="36"/>
        <v>3.183870967741935E-2</v>
      </c>
      <c r="V802" s="140">
        <v>5.649</v>
      </c>
      <c r="W802" s="140">
        <f>9.481+9.424</f>
        <v>18.905000000000001</v>
      </c>
      <c r="X802" s="149">
        <f t="shared" si="35"/>
        <v>106.79434500000001</v>
      </c>
      <c r="Y802" s="149"/>
    </row>
    <row r="803" spans="1:25" ht="14.25" customHeight="1">
      <c r="A803" s="149" t="s">
        <v>12</v>
      </c>
      <c r="B803" s="139" t="s">
        <v>3361</v>
      </c>
      <c r="C803" s="140" t="s">
        <v>1744</v>
      </c>
      <c r="D803" s="140" t="s">
        <v>3551</v>
      </c>
      <c r="E803" s="140" t="s">
        <v>3380</v>
      </c>
      <c r="F803" s="140">
        <v>123</v>
      </c>
      <c r="G803" s="140"/>
      <c r="H803" s="140"/>
      <c r="I803" s="141">
        <v>42192</v>
      </c>
      <c r="J803" s="140" t="s">
        <v>36</v>
      </c>
      <c r="K803" s="140" t="s">
        <v>154</v>
      </c>
      <c r="L803" s="140" t="s">
        <v>1687</v>
      </c>
      <c r="M803" s="140" t="s">
        <v>2563</v>
      </c>
      <c r="N803" s="140" t="s">
        <v>2568</v>
      </c>
      <c r="O803" s="140" t="s">
        <v>2734</v>
      </c>
      <c r="P803" s="140" t="s">
        <v>2782</v>
      </c>
      <c r="Q803" s="140" t="s">
        <v>2392</v>
      </c>
      <c r="R803" s="140" t="s">
        <v>2713</v>
      </c>
      <c r="S803" s="140">
        <v>6.5299999999999997E-2</v>
      </c>
      <c r="T803" s="140">
        <v>3.5361290322580646E-2</v>
      </c>
      <c r="U803" s="140">
        <f t="shared" si="36"/>
        <v>2.9938709677419351E-2</v>
      </c>
      <c r="V803" s="140">
        <v>5.2530000000000001</v>
      </c>
      <c r="W803" s="140">
        <f>8.985+10.839</f>
        <v>19.823999999999998</v>
      </c>
      <c r="X803" s="149">
        <f t="shared" si="35"/>
        <v>104.13547199999999</v>
      </c>
      <c r="Y803" s="149"/>
    </row>
    <row r="804" spans="1:25" ht="14.25" customHeight="1">
      <c r="A804" s="149" t="s">
        <v>12</v>
      </c>
      <c r="B804" s="139" t="s">
        <v>3362</v>
      </c>
      <c r="C804" s="140" t="s">
        <v>1744</v>
      </c>
      <c r="D804" s="140" t="s">
        <v>3551</v>
      </c>
      <c r="E804" s="140" t="s">
        <v>3381</v>
      </c>
      <c r="F804" s="140">
        <v>128</v>
      </c>
      <c r="G804" s="140"/>
      <c r="H804" s="140"/>
      <c r="I804" s="141">
        <v>42193</v>
      </c>
      <c r="J804" s="140" t="s">
        <v>36</v>
      </c>
      <c r="K804" s="140" t="s">
        <v>154</v>
      </c>
      <c r="L804" s="140" t="s">
        <v>1687</v>
      </c>
      <c r="M804" s="140" t="s">
        <v>2563</v>
      </c>
      <c r="N804" s="140" t="s">
        <v>2568</v>
      </c>
      <c r="O804" s="140" t="s">
        <v>2734</v>
      </c>
      <c r="P804" s="140" t="s">
        <v>2782</v>
      </c>
      <c r="Q804" s="140" t="s">
        <v>2392</v>
      </c>
      <c r="R804" s="140" t="s">
        <v>2713</v>
      </c>
      <c r="S804" s="140">
        <v>6.5299999999999997E-2</v>
      </c>
      <c r="T804" s="140">
        <v>3.5361290322580646E-2</v>
      </c>
      <c r="U804" s="140">
        <f t="shared" si="36"/>
        <v>2.9938709677419351E-2</v>
      </c>
      <c r="V804" s="140">
        <v>5.2389999999999999</v>
      </c>
      <c r="W804" s="140">
        <f>8.592+8.61</f>
        <v>17.201999999999998</v>
      </c>
      <c r="X804" s="149">
        <f t="shared" si="35"/>
        <v>90.12127799999999</v>
      </c>
      <c r="Y804" s="149"/>
    </row>
    <row r="805" spans="1:25" ht="14.25" customHeight="1">
      <c r="A805" s="149" t="s">
        <v>12</v>
      </c>
      <c r="B805" s="139" t="s">
        <v>3363</v>
      </c>
      <c r="C805" s="140" t="s">
        <v>1744</v>
      </c>
      <c r="D805" s="140" t="s">
        <v>3551</v>
      </c>
      <c r="E805" s="140" t="s">
        <v>3382</v>
      </c>
      <c r="F805" s="140">
        <v>141</v>
      </c>
      <c r="G805" s="140"/>
      <c r="H805" s="140"/>
      <c r="I805" s="141">
        <v>42194</v>
      </c>
      <c r="J805" s="140" t="s">
        <v>36</v>
      </c>
      <c r="K805" s="140" t="s">
        <v>154</v>
      </c>
      <c r="L805" s="140" t="s">
        <v>1687</v>
      </c>
      <c r="M805" s="140" t="s">
        <v>2563</v>
      </c>
      <c r="N805" s="140" t="s">
        <v>2568</v>
      </c>
      <c r="O805" s="140" t="s">
        <v>2734</v>
      </c>
      <c r="P805" s="140" t="s">
        <v>2782</v>
      </c>
      <c r="Q805" s="140" t="s">
        <v>2392</v>
      </c>
      <c r="R805" s="140" t="s">
        <v>2713</v>
      </c>
      <c r="S805" s="140">
        <v>6.8400000000000002E-2</v>
      </c>
      <c r="T805" s="140">
        <v>3.5361290322580646E-2</v>
      </c>
      <c r="U805" s="140">
        <f t="shared" si="36"/>
        <v>3.3038709677419356E-2</v>
      </c>
      <c r="V805" s="140">
        <v>5.2960000000000003</v>
      </c>
      <c r="W805" s="140">
        <f>11.713+8.834</f>
        <v>20.546999999999997</v>
      </c>
      <c r="X805" s="149">
        <f t="shared" si="35"/>
        <v>108.81691199999999</v>
      </c>
      <c r="Y805" s="149"/>
    </row>
    <row r="806" spans="1:25" ht="16">
      <c r="A806" s="149" t="s">
        <v>12</v>
      </c>
      <c r="B806" s="139" t="s">
        <v>3364</v>
      </c>
      <c r="C806" s="140" t="s">
        <v>1744</v>
      </c>
      <c r="D806" s="140" t="s">
        <v>3551</v>
      </c>
      <c r="E806" s="140" t="s">
        <v>3383</v>
      </c>
      <c r="F806" s="140">
        <v>142</v>
      </c>
      <c r="G806" s="140"/>
      <c r="H806" s="140"/>
      <c r="I806" s="141">
        <v>42195</v>
      </c>
      <c r="J806" s="140" t="s">
        <v>36</v>
      </c>
      <c r="K806" s="140" t="s">
        <v>154</v>
      </c>
      <c r="L806" s="140" t="s">
        <v>1687</v>
      </c>
      <c r="M806" s="140" t="s">
        <v>2563</v>
      </c>
      <c r="N806" s="140" t="s">
        <v>2568</v>
      </c>
      <c r="O806" s="140" t="s">
        <v>2734</v>
      </c>
      <c r="P806" s="140" t="s">
        <v>2782</v>
      </c>
      <c r="Q806" s="140" t="s">
        <v>2392</v>
      </c>
      <c r="R806" s="140" t="s">
        <v>2713</v>
      </c>
      <c r="S806" s="140">
        <v>6.9000000000000006E-2</v>
      </c>
      <c r="T806" s="140">
        <v>3.5361290322580646E-2</v>
      </c>
      <c r="U806" s="140">
        <f t="shared" si="36"/>
        <v>3.3638709677419359E-2</v>
      </c>
      <c r="V806" s="140">
        <v>5.7859999999999996</v>
      </c>
      <c r="W806" s="140">
        <f>8.751+9.329</f>
        <v>18.079999999999998</v>
      </c>
      <c r="X806" s="149">
        <f t="shared" si="35"/>
        <v>104.61087999999998</v>
      </c>
      <c r="Y806" s="149"/>
    </row>
    <row r="807" spans="1:25" ht="16">
      <c r="A807" s="149" t="s">
        <v>12</v>
      </c>
      <c r="B807" s="139" t="s">
        <v>3365</v>
      </c>
      <c r="C807" s="140" t="s">
        <v>1744</v>
      </c>
      <c r="D807" s="140" t="s">
        <v>3551</v>
      </c>
      <c r="E807" s="140" t="s">
        <v>3384</v>
      </c>
      <c r="F807" s="140">
        <v>75</v>
      </c>
      <c r="G807" s="140"/>
      <c r="H807" s="140"/>
      <c r="I807" s="141">
        <v>42196</v>
      </c>
      <c r="J807" s="140" t="s">
        <v>36</v>
      </c>
      <c r="K807" s="140" t="s">
        <v>154</v>
      </c>
      <c r="L807" s="140" t="s">
        <v>1687</v>
      </c>
      <c r="M807" s="140" t="s">
        <v>2563</v>
      </c>
      <c r="N807" s="140" t="s">
        <v>2568</v>
      </c>
      <c r="O807" s="140" t="s">
        <v>2734</v>
      </c>
      <c r="P807" s="140" t="s">
        <v>2782</v>
      </c>
      <c r="Q807" s="140" t="s">
        <v>2392</v>
      </c>
      <c r="R807" s="140" t="s">
        <v>2713</v>
      </c>
      <c r="S807" s="140">
        <v>6.6199999999999995E-2</v>
      </c>
      <c r="T807" s="140">
        <v>3.5361290322580646E-2</v>
      </c>
      <c r="U807" s="140">
        <f t="shared" si="36"/>
        <v>3.0838709677419349E-2</v>
      </c>
      <c r="V807" s="140">
        <v>5.3979999999999997</v>
      </c>
      <c r="W807" s="140">
        <f>9.149+8.966</f>
        <v>18.114999999999998</v>
      </c>
      <c r="X807" s="149">
        <f t="shared" si="35"/>
        <v>97.78476999999998</v>
      </c>
      <c r="Y807" s="149"/>
    </row>
    <row r="808" spans="1:25" ht="16">
      <c r="A808" s="149" t="s">
        <v>12</v>
      </c>
      <c r="B808" s="139" t="s">
        <v>3366</v>
      </c>
      <c r="C808" s="140" t="s">
        <v>1744</v>
      </c>
      <c r="D808" s="140" t="s">
        <v>3551</v>
      </c>
      <c r="E808" s="140" t="s">
        <v>3385</v>
      </c>
      <c r="F808" s="140">
        <v>165</v>
      </c>
      <c r="G808" s="140"/>
      <c r="H808" s="140"/>
      <c r="I808" s="141">
        <v>42197</v>
      </c>
      <c r="J808" s="140" t="s">
        <v>36</v>
      </c>
      <c r="K808" s="140" t="s">
        <v>154</v>
      </c>
      <c r="L808" s="140" t="s">
        <v>1687</v>
      </c>
      <c r="M808" s="140" t="s">
        <v>2563</v>
      </c>
      <c r="N808" s="140" t="s">
        <v>2568</v>
      </c>
      <c r="O808" s="140" t="s">
        <v>2734</v>
      </c>
      <c r="P808" s="140" t="s">
        <v>2782</v>
      </c>
      <c r="Q808" s="140" t="s">
        <v>2392</v>
      </c>
      <c r="R808" s="140" t="s">
        <v>2713</v>
      </c>
      <c r="S808" s="140">
        <v>6.6400000000000001E-2</v>
      </c>
      <c r="T808" s="140">
        <v>3.5361290322580646E-2</v>
      </c>
      <c r="U808" s="140">
        <f t="shared" si="36"/>
        <v>3.1038709677419354E-2</v>
      </c>
      <c r="V808" s="140">
        <v>5.3929999999999998</v>
      </c>
      <c r="W808" s="140">
        <f>8.942+9.101</f>
        <v>18.042999999999999</v>
      </c>
      <c r="X808" s="149">
        <f t="shared" si="35"/>
        <v>97.305898999999997</v>
      </c>
      <c r="Y808" s="149"/>
    </row>
    <row r="809" spans="1:25" ht="16">
      <c r="A809" s="149" t="s">
        <v>12</v>
      </c>
      <c r="B809" s="139" t="s">
        <v>3367</v>
      </c>
      <c r="C809" s="140" t="s">
        <v>1744</v>
      </c>
      <c r="D809" s="140" t="s">
        <v>3551</v>
      </c>
      <c r="E809" s="140" t="s">
        <v>3385</v>
      </c>
      <c r="F809" s="140">
        <v>166</v>
      </c>
      <c r="G809" s="140"/>
      <c r="H809" s="140"/>
      <c r="I809" s="141">
        <v>42198</v>
      </c>
      <c r="J809" s="140" t="s">
        <v>36</v>
      </c>
      <c r="K809" s="140" t="s">
        <v>154</v>
      </c>
      <c r="L809" s="140" t="s">
        <v>1687</v>
      </c>
      <c r="M809" s="140" t="s">
        <v>2563</v>
      </c>
      <c r="N809" s="140" t="s">
        <v>2568</v>
      </c>
      <c r="O809" s="140" t="s">
        <v>2734</v>
      </c>
      <c r="P809" s="140" t="s">
        <v>2782</v>
      </c>
      <c r="Q809" s="140" t="s">
        <v>2392</v>
      </c>
      <c r="R809" s="140" t="s">
        <v>2713</v>
      </c>
      <c r="S809" s="140">
        <v>6.3100000000000003E-2</v>
      </c>
      <c r="T809" s="140">
        <v>3.5361290322580646E-2</v>
      </c>
      <c r="U809" s="140">
        <f t="shared" si="36"/>
        <v>2.7738709677419357E-2</v>
      </c>
      <c r="V809" s="140">
        <v>5.3230000000000004</v>
      </c>
      <c r="W809" s="140">
        <f>8.96+9.813</f>
        <v>18.773000000000003</v>
      </c>
      <c r="X809" s="149">
        <f t="shared" si="35"/>
        <v>99.928679000000031</v>
      </c>
      <c r="Y809" s="149"/>
    </row>
    <row r="810" spans="1:25" ht="16">
      <c r="A810" s="149" t="s">
        <v>12</v>
      </c>
      <c r="B810" s="139" t="s">
        <v>3368</v>
      </c>
      <c r="C810" s="140" t="s">
        <v>1744</v>
      </c>
      <c r="D810" s="140" t="s">
        <v>3551</v>
      </c>
      <c r="E810" s="140" t="s">
        <v>3385</v>
      </c>
      <c r="F810" s="140">
        <v>167</v>
      </c>
      <c r="G810" s="140"/>
      <c r="H810" s="140"/>
      <c r="I810" s="141">
        <v>42199</v>
      </c>
      <c r="J810" s="140" t="s">
        <v>36</v>
      </c>
      <c r="K810" s="140" t="s">
        <v>154</v>
      </c>
      <c r="L810" s="140" t="s">
        <v>1687</v>
      </c>
      <c r="M810" s="140" t="s">
        <v>2563</v>
      </c>
      <c r="N810" s="140" t="s">
        <v>2568</v>
      </c>
      <c r="O810" s="140" t="s">
        <v>2734</v>
      </c>
      <c r="P810" s="140" t="s">
        <v>2782</v>
      </c>
      <c r="Q810" s="140" t="s">
        <v>2392</v>
      </c>
      <c r="R810" s="140" t="s">
        <v>2713</v>
      </c>
      <c r="S810" s="140">
        <v>6.4500000000000002E-2</v>
      </c>
      <c r="T810" s="140">
        <v>3.5361290322580646E-2</v>
      </c>
      <c r="U810" s="140">
        <f t="shared" si="36"/>
        <v>2.9138709677419355E-2</v>
      </c>
      <c r="V810" s="140">
        <v>5.1449999999999996</v>
      </c>
      <c r="W810" s="140">
        <f>9.093+10.812</f>
        <v>19.905000000000001</v>
      </c>
      <c r="X810" s="149">
        <f t="shared" si="35"/>
        <v>102.411225</v>
      </c>
      <c r="Y810" s="149"/>
    </row>
    <row r="811" spans="1:25" ht="16">
      <c r="A811" s="149" t="s">
        <v>12</v>
      </c>
      <c r="B811" s="139" t="s">
        <v>3369</v>
      </c>
      <c r="C811" s="140" t="s">
        <v>1744</v>
      </c>
      <c r="D811" s="140" t="s">
        <v>3551</v>
      </c>
      <c r="E811" s="140" t="s">
        <v>3385</v>
      </c>
      <c r="F811" s="140">
        <v>168</v>
      </c>
      <c r="G811" s="140"/>
      <c r="H811" s="140"/>
      <c r="I811" s="141">
        <v>42200</v>
      </c>
      <c r="J811" s="140" t="s">
        <v>36</v>
      </c>
      <c r="K811" s="140" t="s">
        <v>154</v>
      </c>
      <c r="L811" s="140" t="s">
        <v>1687</v>
      </c>
      <c r="M811" s="140" t="s">
        <v>2563</v>
      </c>
      <c r="N811" s="140" t="s">
        <v>2568</v>
      </c>
      <c r="O811" s="140" t="s">
        <v>2734</v>
      </c>
      <c r="P811" s="140" t="s">
        <v>2782</v>
      </c>
      <c r="Q811" s="140" t="s">
        <v>2392</v>
      </c>
      <c r="R811" s="140" t="s">
        <v>2713</v>
      </c>
      <c r="S811" s="140">
        <v>6.6699999999999995E-2</v>
      </c>
      <c r="T811" s="140">
        <v>3.5361290322580646E-2</v>
      </c>
      <c r="U811" s="140">
        <f t="shared" si="36"/>
        <v>3.1338709677419349E-2</v>
      </c>
      <c r="V811" s="140">
        <v>5.274</v>
      </c>
      <c r="W811" s="140">
        <f>8.884+8.359</f>
        <v>17.243000000000002</v>
      </c>
      <c r="X811" s="149">
        <f t="shared" si="35"/>
        <v>90.939582000000016</v>
      </c>
      <c r="Y811" s="149"/>
    </row>
    <row r="812" spans="1:25" ht="16">
      <c r="A812" s="149" t="s">
        <v>12</v>
      </c>
      <c r="B812" s="139" t="s">
        <v>3370</v>
      </c>
      <c r="C812" s="140" t="s">
        <v>1744</v>
      </c>
      <c r="D812" s="140" t="s">
        <v>3551</v>
      </c>
      <c r="E812" s="140" t="s">
        <v>3386</v>
      </c>
      <c r="F812" s="140">
        <v>132</v>
      </c>
      <c r="G812" s="140"/>
      <c r="H812" s="140"/>
      <c r="I812" s="141">
        <v>42201</v>
      </c>
      <c r="J812" s="140" t="s">
        <v>36</v>
      </c>
      <c r="K812" s="140" t="s">
        <v>154</v>
      </c>
      <c r="L812" s="140" t="s">
        <v>1687</v>
      </c>
      <c r="M812" s="140" t="s">
        <v>2563</v>
      </c>
      <c r="N812" s="140" t="s">
        <v>2568</v>
      </c>
      <c r="O812" s="140" t="s">
        <v>2734</v>
      </c>
      <c r="P812" s="140" t="s">
        <v>2782</v>
      </c>
      <c r="Q812" s="140" t="s">
        <v>2392</v>
      </c>
      <c r="R812" s="140" t="s">
        <v>2713</v>
      </c>
      <c r="S812" s="140">
        <v>5.7799999999999997E-2</v>
      </c>
      <c r="T812" s="140">
        <v>3.5361290322580646E-2</v>
      </c>
      <c r="U812" s="140">
        <f t="shared" si="36"/>
        <v>2.2438709677419351E-2</v>
      </c>
      <c r="V812" s="140">
        <v>5.0380000000000003</v>
      </c>
      <c r="W812" s="140">
        <f>7.807+8.504</f>
        <v>16.311</v>
      </c>
      <c r="X812" s="149">
        <f t="shared" si="35"/>
        <v>82.174818000000002</v>
      </c>
      <c r="Y812" s="149"/>
    </row>
    <row r="813" spans="1:25" ht="16">
      <c r="A813" s="149" t="s">
        <v>12</v>
      </c>
      <c r="B813" s="139" t="s">
        <v>3371</v>
      </c>
      <c r="C813" s="140" t="s">
        <v>1744</v>
      </c>
      <c r="D813" s="140" t="s">
        <v>3551</v>
      </c>
      <c r="E813" s="140" t="s">
        <v>3386</v>
      </c>
      <c r="F813" s="140">
        <v>133</v>
      </c>
      <c r="G813" s="140"/>
      <c r="H813" s="140"/>
      <c r="I813" s="141">
        <v>42202</v>
      </c>
      <c r="J813" s="140" t="s">
        <v>36</v>
      </c>
      <c r="K813" s="140" t="s">
        <v>154</v>
      </c>
      <c r="L813" s="140" t="s">
        <v>1687</v>
      </c>
      <c r="M813" s="140" t="s">
        <v>2563</v>
      </c>
      <c r="N813" s="140" t="s">
        <v>2568</v>
      </c>
      <c r="O813" s="140" t="s">
        <v>2734</v>
      </c>
      <c r="P813" s="140" t="s">
        <v>2782</v>
      </c>
      <c r="Q813" s="140" t="s">
        <v>2392</v>
      </c>
      <c r="R813" s="140" t="s">
        <v>2713</v>
      </c>
      <c r="S813" s="140">
        <v>6.5100000000000005E-2</v>
      </c>
      <c r="T813" s="140">
        <v>3.5361290322580646E-2</v>
      </c>
      <c r="U813" s="140">
        <f t="shared" si="36"/>
        <v>2.9738709677419359E-2</v>
      </c>
      <c r="V813" s="140">
        <v>5.5410000000000004</v>
      </c>
      <c r="W813" s="140">
        <f>9.4+8.857</f>
        <v>18.256999999999998</v>
      </c>
      <c r="X813" s="149">
        <f t="shared" si="35"/>
        <v>101.162037</v>
      </c>
      <c r="Y813" s="149"/>
    </row>
    <row r="814" spans="1:25" ht="16">
      <c r="A814" s="149" t="s">
        <v>12</v>
      </c>
      <c r="B814" s="139" t="s">
        <v>3372</v>
      </c>
      <c r="C814" s="140" t="s">
        <v>1744</v>
      </c>
      <c r="D814" s="140" t="s">
        <v>3551</v>
      </c>
      <c r="E814" s="140" t="s">
        <v>3386</v>
      </c>
      <c r="F814" s="140">
        <v>137</v>
      </c>
      <c r="G814" s="140"/>
      <c r="H814" s="140"/>
      <c r="I814" s="141">
        <v>42203</v>
      </c>
      <c r="J814" s="140" t="s">
        <v>36</v>
      </c>
      <c r="K814" s="140" t="s">
        <v>154</v>
      </c>
      <c r="L814" s="140" t="s">
        <v>1687</v>
      </c>
      <c r="M814" s="140" t="s">
        <v>2563</v>
      </c>
      <c r="N814" s="140" t="s">
        <v>2568</v>
      </c>
      <c r="O814" s="140" t="s">
        <v>2734</v>
      </c>
      <c r="P814" s="140" t="s">
        <v>2782</v>
      </c>
      <c r="Q814" s="140" t="s">
        <v>2392</v>
      </c>
      <c r="R814" s="140" t="s">
        <v>2713</v>
      </c>
      <c r="S814" s="140">
        <v>6.0100000000000001E-2</v>
      </c>
      <c r="T814" s="140">
        <v>3.5361290322580646E-2</v>
      </c>
      <c r="U814" s="140">
        <f t="shared" si="36"/>
        <v>2.4738709677419354E-2</v>
      </c>
      <c r="V814" s="140">
        <v>5.21</v>
      </c>
      <c r="W814" s="140">
        <f>8.173+8.959</f>
        <v>17.131999999999998</v>
      </c>
      <c r="X814" s="149">
        <f t="shared" si="35"/>
        <v>89.257719999999992</v>
      </c>
      <c r="Y814" s="149"/>
    </row>
    <row r="815" spans="1:25" ht="16">
      <c r="A815" s="149" t="s">
        <v>12</v>
      </c>
      <c r="B815" s="139" t="s">
        <v>3373</v>
      </c>
      <c r="C815" s="140" t="s">
        <v>1744</v>
      </c>
      <c r="D815" s="140" t="s">
        <v>3551</v>
      </c>
      <c r="E815" s="140" t="s">
        <v>3386</v>
      </c>
      <c r="F815" s="140">
        <v>136</v>
      </c>
      <c r="G815" s="140"/>
      <c r="H815" s="140"/>
      <c r="I815" s="141">
        <v>42204</v>
      </c>
      <c r="J815" s="140" t="s">
        <v>36</v>
      </c>
      <c r="K815" s="140" t="s">
        <v>154</v>
      </c>
      <c r="L815" s="140" t="s">
        <v>1687</v>
      </c>
      <c r="M815" s="140" t="s">
        <v>2563</v>
      </c>
      <c r="N815" s="140" t="s">
        <v>2568</v>
      </c>
      <c r="O815" s="140" t="s">
        <v>2734</v>
      </c>
      <c r="P815" s="140" t="s">
        <v>2782</v>
      </c>
      <c r="Q815" s="140" t="s">
        <v>2392</v>
      </c>
      <c r="R815" s="140" t="s">
        <v>2713</v>
      </c>
      <c r="S815" s="140">
        <v>6.4600000000000005E-2</v>
      </c>
      <c r="T815" s="140">
        <v>3.5361290322580646E-2</v>
      </c>
      <c r="U815" s="140">
        <f t="shared" si="36"/>
        <v>2.9238709677419358E-2</v>
      </c>
      <c r="V815" s="140">
        <v>5.2510000000000003</v>
      </c>
      <c r="W815" s="140">
        <f>9.083+9.118</f>
        <v>18.201000000000001</v>
      </c>
      <c r="X815" s="149">
        <f t="shared" si="35"/>
        <v>95.573451000000006</v>
      </c>
      <c r="Y815" s="149"/>
    </row>
    <row r="816" spans="1:25" ht="16">
      <c r="A816" s="149" t="s">
        <v>12</v>
      </c>
      <c r="B816" s="139" t="s">
        <v>3374</v>
      </c>
      <c r="C816" s="140" t="s">
        <v>1744</v>
      </c>
      <c r="D816" s="140" t="s">
        <v>3551</v>
      </c>
      <c r="E816" s="140" t="s">
        <v>3386</v>
      </c>
      <c r="F816" s="140">
        <v>135</v>
      </c>
      <c r="G816" s="140"/>
      <c r="H816" s="140"/>
      <c r="I816" s="141">
        <v>42205</v>
      </c>
      <c r="J816" s="140" t="s">
        <v>36</v>
      </c>
      <c r="K816" s="140" t="s">
        <v>154</v>
      </c>
      <c r="L816" s="140" t="s">
        <v>1687</v>
      </c>
      <c r="M816" s="140" t="s">
        <v>2563</v>
      </c>
      <c r="N816" s="140" t="s">
        <v>2568</v>
      </c>
      <c r="O816" s="140" t="s">
        <v>2734</v>
      </c>
      <c r="P816" s="140" t="s">
        <v>2782</v>
      </c>
      <c r="Q816" s="140" t="s">
        <v>2392</v>
      </c>
      <c r="R816" s="140" t="s">
        <v>2713</v>
      </c>
      <c r="S816" s="140">
        <v>6.9000000000000006E-2</v>
      </c>
      <c r="T816" s="140">
        <v>3.5361290322580646E-2</v>
      </c>
      <c r="U816" s="140">
        <f t="shared" si="36"/>
        <v>3.3638709677419359E-2</v>
      </c>
      <c r="V816" s="140">
        <v>5.5330000000000004</v>
      </c>
      <c r="W816" s="140">
        <f>10.148+9.206</f>
        <v>19.353999999999999</v>
      </c>
      <c r="X816" s="149">
        <f t="shared" si="35"/>
        <v>107.08568200000001</v>
      </c>
      <c r="Y816" s="149"/>
    </row>
    <row r="817" spans="1:25" ht="16">
      <c r="A817" s="149" t="s">
        <v>12</v>
      </c>
      <c r="B817" s="139" t="s">
        <v>3375</v>
      </c>
      <c r="C817" s="140" t="s">
        <v>1744</v>
      </c>
      <c r="D817" s="140" t="s">
        <v>3551</v>
      </c>
      <c r="E817" s="140" t="s">
        <v>3386</v>
      </c>
      <c r="F817" s="140">
        <v>134</v>
      </c>
      <c r="G817" s="140"/>
      <c r="H817" s="140"/>
      <c r="I817" s="141">
        <v>42206</v>
      </c>
      <c r="J817" s="140" t="s">
        <v>36</v>
      </c>
      <c r="K817" s="140" t="s">
        <v>154</v>
      </c>
      <c r="L817" s="140" t="s">
        <v>1687</v>
      </c>
      <c r="M817" s="140" t="s">
        <v>2563</v>
      </c>
      <c r="N817" s="140" t="s">
        <v>2568</v>
      </c>
      <c r="O817" s="140" t="s">
        <v>2734</v>
      </c>
      <c r="P817" s="140" t="s">
        <v>2782</v>
      </c>
      <c r="Q817" s="140" t="s">
        <v>2392</v>
      </c>
      <c r="R817" s="140" t="s">
        <v>2713</v>
      </c>
      <c r="S817" s="140">
        <v>6.5199999999999994E-2</v>
      </c>
      <c r="T817" s="140">
        <v>3.5361290322580646E-2</v>
      </c>
      <c r="U817" s="140">
        <f t="shared" si="36"/>
        <v>2.9838709677419348E-2</v>
      </c>
      <c r="V817" s="140">
        <v>5.6890000000000001</v>
      </c>
      <c r="W817" s="140">
        <f>8.717+8.93</f>
        <v>17.646999999999998</v>
      </c>
      <c r="X817" s="149">
        <f t="shared" si="35"/>
        <v>100.393783</v>
      </c>
      <c r="Y817" s="149"/>
    </row>
    <row r="818" spans="1:25" ht="16">
      <c r="A818" s="149" t="s">
        <v>12</v>
      </c>
      <c r="B818" s="139" t="s">
        <v>3376</v>
      </c>
      <c r="C818" s="140" t="s">
        <v>1744</v>
      </c>
      <c r="D818" s="140" t="s">
        <v>3551</v>
      </c>
      <c r="E818" s="140" t="s">
        <v>3196</v>
      </c>
      <c r="F818" s="140">
        <v>73</v>
      </c>
      <c r="G818" s="140"/>
      <c r="H818" s="140"/>
      <c r="I818" s="141">
        <v>42207</v>
      </c>
      <c r="J818" s="140" t="s">
        <v>36</v>
      </c>
      <c r="K818" s="140" t="s">
        <v>154</v>
      </c>
      <c r="L818" s="140" t="s">
        <v>1687</v>
      </c>
      <c r="M818" s="140" t="s">
        <v>2563</v>
      </c>
      <c r="N818" s="140" t="s">
        <v>2568</v>
      </c>
      <c r="O818" s="140" t="s">
        <v>2734</v>
      </c>
      <c r="P818" s="140" t="s">
        <v>2782</v>
      </c>
      <c r="Q818" s="140" t="s">
        <v>2392</v>
      </c>
      <c r="R818" s="140" t="s">
        <v>2713</v>
      </c>
      <c r="S818" s="140">
        <v>6.6000000000000003E-2</v>
      </c>
      <c r="T818" s="140">
        <v>3.5361290322580646E-2</v>
      </c>
      <c r="U818" s="140">
        <f t="shared" si="36"/>
        <v>3.0638709677419357E-2</v>
      </c>
      <c r="V818" s="140">
        <v>5.556</v>
      </c>
      <c r="W818" s="140">
        <f>10.261+8.5</f>
        <v>18.760999999999999</v>
      </c>
      <c r="X818" s="149">
        <f t="shared" si="35"/>
        <v>104.236116</v>
      </c>
      <c r="Y818" s="149"/>
    </row>
    <row r="819" spans="1:25" ht="16">
      <c r="A819" s="149" t="s">
        <v>12</v>
      </c>
      <c r="B819" s="139" t="s">
        <v>3377</v>
      </c>
      <c r="C819" s="140" t="s">
        <v>1744</v>
      </c>
      <c r="D819" s="140" t="s">
        <v>3551</v>
      </c>
      <c r="E819" s="140" t="s">
        <v>3254</v>
      </c>
      <c r="F819" s="140">
        <v>54</v>
      </c>
      <c r="G819" s="140"/>
      <c r="H819" s="140"/>
      <c r="I819" s="141">
        <v>42208</v>
      </c>
      <c r="J819" s="140" t="s">
        <v>36</v>
      </c>
      <c r="K819" s="140" t="s">
        <v>154</v>
      </c>
      <c r="L819" s="140" t="s">
        <v>1687</v>
      </c>
      <c r="M819" s="140" t="s">
        <v>2563</v>
      </c>
      <c r="N819" s="140" t="s">
        <v>2568</v>
      </c>
      <c r="O819" s="140" t="s">
        <v>2734</v>
      </c>
      <c r="P819" s="140" t="s">
        <v>2782</v>
      </c>
      <c r="Q819" s="140" t="s">
        <v>2392</v>
      </c>
      <c r="R819" s="140" t="s">
        <v>2713</v>
      </c>
      <c r="S819" s="140">
        <v>7.0000000000000007E-2</v>
      </c>
      <c r="T819" s="140">
        <v>3.5361290322580646E-2</v>
      </c>
      <c r="U819" s="140">
        <f t="shared" si="36"/>
        <v>3.463870967741936E-2</v>
      </c>
      <c r="V819" s="140">
        <v>5.7069999999999999</v>
      </c>
      <c r="W819" s="140">
        <f>9.4+9.255</f>
        <v>18.655000000000001</v>
      </c>
      <c r="X819" s="149">
        <f t="shared" si="35"/>
        <v>106.464085</v>
      </c>
      <c r="Y819" s="149"/>
    </row>
    <row r="820" spans="1:25" ht="16">
      <c r="A820" s="149" t="s">
        <v>12</v>
      </c>
      <c r="B820" s="139" t="s">
        <v>3378</v>
      </c>
      <c r="C820" s="140" t="s">
        <v>1744</v>
      </c>
      <c r="D820" s="140" t="s">
        <v>3551</v>
      </c>
      <c r="E820" s="140" t="s">
        <v>3387</v>
      </c>
      <c r="F820" s="140">
        <v>56</v>
      </c>
      <c r="G820" s="140"/>
      <c r="H820" s="140"/>
      <c r="I820" s="141">
        <v>42209</v>
      </c>
      <c r="J820" s="140" t="s">
        <v>36</v>
      </c>
      <c r="K820" s="140" t="s">
        <v>154</v>
      </c>
      <c r="L820" s="140" t="s">
        <v>1687</v>
      </c>
      <c r="M820" s="140" t="s">
        <v>2563</v>
      </c>
      <c r="N820" s="140" t="s">
        <v>2568</v>
      </c>
      <c r="O820" s="140" t="s">
        <v>2734</v>
      </c>
      <c r="P820" s="140" t="s">
        <v>2782</v>
      </c>
      <c r="Q820" s="140" t="s">
        <v>2392</v>
      </c>
      <c r="R820" s="140" t="s">
        <v>2713</v>
      </c>
      <c r="S820" s="140">
        <v>6.4000000000000001E-2</v>
      </c>
      <c r="T820" s="140">
        <v>3.5361290322580646E-2</v>
      </c>
      <c r="U820" s="140">
        <f t="shared" si="36"/>
        <v>2.8638709677419355E-2</v>
      </c>
      <c r="V820" s="140">
        <v>5.54</v>
      </c>
      <c r="W820" s="140">
        <f>9.13+9.018</f>
        <v>18.148000000000003</v>
      </c>
      <c r="X820" s="149">
        <f t="shared" si="35"/>
        <v>100.53992000000002</v>
      </c>
      <c r="Y820" s="149"/>
    </row>
    <row r="821" spans="1:25" ht="16">
      <c r="A821" s="149" t="s">
        <v>12</v>
      </c>
      <c r="B821" s="139" t="s">
        <v>3379</v>
      </c>
      <c r="C821" s="140" t="s">
        <v>1744</v>
      </c>
      <c r="D821" s="140" t="s">
        <v>3551</v>
      </c>
      <c r="E821" s="140" t="s">
        <v>3387</v>
      </c>
      <c r="F821" s="140">
        <v>60</v>
      </c>
      <c r="G821" s="140"/>
      <c r="H821" s="140"/>
      <c r="I821" s="141">
        <v>42210</v>
      </c>
      <c r="J821" s="140" t="s">
        <v>36</v>
      </c>
      <c r="K821" s="140" t="s">
        <v>154</v>
      </c>
      <c r="L821" s="140" t="s">
        <v>1687</v>
      </c>
      <c r="M821" s="140" t="s">
        <v>2563</v>
      </c>
      <c r="N821" s="140" t="s">
        <v>2568</v>
      </c>
      <c r="O821" s="140" t="s">
        <v>2734</v>
      </c>
      <c r="P821" s="140" t="s">
        <v>2782</v>
      </c>
      <c r="Q821" s="140" t="s">
        <v>2392</v>
      </c>
      <c r="R821" s="140" t="s">
        <v>2713</v>
      </c>
      <c r="S821" s="140">
        <v>6.3E-2</v>
      </c>
      <c r="T821" s="140">
        <v>3.5361290322580646E-2</v>
      </c>
      <c r="U821" s="140">
        <f t="shared" si="36"/>
        <v>2.7638709677419354E-2</v>
      </c>
      <c r="V821" s="140">
        <v>5.4260000000000002</v>
      </c>
      <c r="W821" s="140">
        <f>8.969+8.435</f>
        <v>17.404</v>
      </c>
      <c r="X821" s="149">
        <f t="shared" si="35"/>
        <v>94.434104000000005</v>
      </c>
      <c r="Y821" s="149"/>
    </row>
    <row r="822" spans="1:25" ht="16">
      <c r="A822" s="149" t="s">
        <v>12</v>
      </c>
      <c r="B822" s="139" t="s">
        <v>3388</v>
      </c>
      <c r="C822" s="140" t="s">
        <v>1744</v>
      </c>
      <c r="D822" s="140" t="s">
        <v>3551</v>
      </c>
      <c r="E822" s="140" t="s">
        <v>3411</v>
      </c>
      <c r="F822" s="140">
        <v>497</v>
      </c>
      <c r="G822" s="140"/>
      <c r="H822" s="140"/>
      <c r="I822" s="141">
        <v>42211</v>
      </c>
      <c r="J822" s="140" t="s">
        <v>36</v>
      </c>
      <c r="K822" s="140" t="s">
        <v>154</v>
      </c>
      <c r="L822" s="140" t="s">
        <v>1687</v>
      </c>
      <c r="M822" s="140" t="s">
        <v>2563</v>
      </c>
      <c r="N822" s="140" t="s">
        <v>2575</v>
      </c>
      <c r="O822" s="140" t="s">
        <v>2379</v>
      </c>
      <c r="P822" s="140" t="s">
        <v>2379</v>
      </c>
      <c r="Q822" s="140" t="s">
        <v>2665</v>
      </c>
      <c r="R822" s="140" t="s">
        <v>2713</v>
      </c>
      <c r="S822" s="140">
        <v>6.2300000000000001E-2</v>
      </c>
      <c r="T822" s="140">
        <v>3.5361290322580646E-2</v>
      </c>
      <c r="U822" s="140">
        <f t="shared" si="36"/>
        <v>2.6938709677419355E-2</v>
      </c>
      <c r="V822" s="140">
        <v>4.9359999999999999</v>
      </c>
      <c r="W822" s="140">
        <f>7.761+9.108</f>
        <v>16.869</v>
      </c>
      <c r="X822" s="149">
        <f t="shared" si="35"/>
        <v>83.265383999999997</v>
      </c>
      <c r="Y822" s="149"/>
    </row>
    <row r="823" spans="1:25" ht="16">
      <c r="A823" s="149" t="s">
        <v>12</v>
      </c>
      <c r="B823" s="139" t="s">
        <v>3389</v>
      </c>
      <c r="C823" s="140" t="s">
        <v>1744</v>
      </c>
      <c r="D823" s="140" t="s">
        <v>3551</v>
      </c>
      <c r="E823" s="140" t="s">
        <v>3412</v>
      </c>
      <c r="F823" s="140" t="s">
        <v>36</v>
      </c>
      <c r="G823" s="140"/>
      <c r="H823" s="140"/>
      <c r="I823" s="141">
        <v>42212</v>
      </c>
      <c r="J823" s="140" t="s">
        <v>36</v>
      </c>
      <c r="K823" s="140" t="s">
        <v>154</v>
      </c>
      <c r="L823" s="140" t="s">
        <v>1687</v>
      </c>
      <c r="M823" s="140" t="s">
        <v>2563</v>
      </c>
      <c r="N823" s="140" t="s">
        <v>2575</v>
      </c>
      <c r="O823" s="140" t="s">
        <v>2379</v>
      </c>
      <c r="P823" s="140" t="s">
        <v>2379</v>
      </c>
      <c r="Q823" s="140" t="s">
        <v>2665</v>
      </c>
      <c r="R823" s="140" t="s">
        <v>2713</v>
      </c>
      <c r="S823" s="140">
        <v>5.8900000000000001E-2</v>
      </c>
      <c r="T823" s="140">
        <v>3.5361290322580646E-2</v>
      </c>
      <c r="U823" s="140">
        <f t="shared" si="36"/>
        <v>2.3538709677419355E-2</v>
      </c>
      <c r="V823" s="140">
        <v>4.5090000000000003</v>
      </c>
      <c r="W823" s="140">
        <f>9.084+6.804</f>
        <v>15.888</v>
      </c>
      <c r="X823" s="149">
        <f t="shared" si="35"/>
        <v>71.638992000000002</v>
      </c>
      <c r="Y823" s="149"/>
    </row>
    <row r="824" spans="1:25" ht="16">
      <c r="A824" s="149" t="s">
        <v>12</v>
      </c>
      <c r="B824" s="139" t="s">
        <v>3390</v>
      </c>
      <c r="C824" s="140" t="s">
        <v>1744</v>
      </c>
      <c r="D824" s="140" t="s">
        <v>3551</v>
      </c>
      <c r="E824" s="140" t="s">
        <v>3413</v>
      </c>
      <c r="F824" s="140">
        <v>298</v>
      </c>
      <c r="G824" s="140"/>
      <c r="H824" s="140"/>
      <c r="I824" s="141">
        <v>42213</v>
      </c>
      <c r="J824" s="140" t="s">
        <v>36</v>
      </c>
      <c r="K824" s="140" t="s">
        <v>154</v>
      </c>
      <c r="L824" s="140" t="s">
        <v>1687</v>
      </c>
      <c r="M824" s="140" t="s">
        <v>2563</v>
      </c>
      <c r="N824" s="140" t="s">
        <v>2575</v>
      </c>
      <c r="O824" s="140" t="s">
        <v>2379</v>
      </c>
      <c r="P824" s="140" t="s">
        <v>2379</v>
      </c>
      <c r="Q824" s="140" t="s">
        <v>2665</v>
      </c>
      <c r="R824" s="140" t="s">
        <v>2713</v>
      </c>
      <c r="S824" s="140">
        <v>5.3999999999999999E-2</v>
      </c>
      <c r="T824" s="140">
        <v>3.5361290322580646E-2</v>
      </c>
      <c r="U824" s="140">
        <f t="shared" si="36"/>
        <v>1.8638709677419353E-2</v>
      </c>
      <c r="V824" s="140">
        <v>4.202</v>
      </c>
      <c r="W824" s="140">
        <f>7.797+6.456</f>
        <v>14.253</v>
      </c>
      <c r="X824" s="149">
        <f t="shared" si="35"/>
        <v>59.891106000000001</v>
      </c>
      <c r="Y824" s="149"/>
    </row>
    <row r="825" spans="1:25" ht="16">
      <c r="A825" s="149" t="s">
        <v>12</v>
      </c>
      <c r="B825" s="139" t="s">
        <v>3391</v>
      </c>
      <c r="C825" s="140" t="s">
        <v>1744</v>
      </c>
      <c r="D825" s="140" t="s">
        <v>3551</v>
      </c>
      <c r="E825" s="140" t="s">
        <v>3414</v>
      </c>
      <c r="F825" s="140" t="s">
        <v>36</v>
      </c>
      <c r="G825" s="140"/>
      <c r="H825" s="140"/>
      <c r="I825" s="141">
        <v>42214</v>
      </c>
      <c r="J825" s="140" t="s">
        <v>36</v>
      </c>
      <c r="K825" s="140" t="s">
        <v>154</v>
      </c>
      <c r="L825" s="140" t="s">
        <v>2572</v>
      </c>
      <c r="M825" s="140" t="s">
        <v>2407</v>
      </c>
      <c r="N825" s="140" t="s">
        <v>3550</v>
      </c>
      <c r="O825" s="140" t="s">
        <v>3406</v>
      </c>
      <c r="P825" s="140" t="s">
        <v>3406</v>
      </c>
      <c r="Q825" s="140" t="s">
        <v>3407</v>
      </c>
      <c r="R825" s="140" t="s">
        <v>2713</v>
      </c>
      <c r="S825" s="140">
        <v>4.0599999999999997E-2</v>
      </c>
      <c r="T825" s="140">
        <v>3.5361290322580646E-2</v>
      </c>
      <c r="U825" s="140">
        <f t="shared" si="36"/>
        <v>5.2387096774193509E-3</v>
      </c>
      <c r="V825" s="140">
        <v>2.7890000000000001</v>
      </c>
      <c r="W825" s="140">
        <v>11.611000000000001</v>
      </c>
      <c r="X825" s="149">
        <f t="shared" si="35"/>
        <v>32.383079000000002</v>
      </c>
      <c r="Y825" s="149"/>
    </row>
    <row r="826" spans="1:25" ht="16">
      <c r="A826" s="149" t="s">
        <v>12</v>
      </c>
      <c r="B826" s="139" t="s">
        <v>3392</v>
      </c>
      <c r="C826" s="140" t="s">
        <v>1744</v>
      </c>
      <c r="D826" s="140" t="s">
        <v>3551</v>
      </c>
      <c r="E826" s="140" t="s">
        <v>3415</v>
      </c>
      <c r="F826" s="140" t="s">
        <v>36</v>
      </c>
      <c r="G826" s="140"/>
      <c r="H826" s="140"/>
      <c r="I826" s="141">
        <v>42215</v>
      </c>
      <c r="J826" s="140" t="s">
        <v>36</v>
      </c>
      <c r="K826" s="140" t="s">
        <v>154</v>
      </c>
      <c r="L826" s="140" t="s">
        <v>2572</v>
      </c>
      <c r="M826" s="140" t="s">
        <v>2407</v>
      </c>
      <c r="N826" s="140" t="s">
        <v>3550</v>
      </c>
      <c r="O826" s="140" t="s">
        <v>3406</v>
      </c>
      <c r="P826" s="140" t="s">
        <v>3406</v>
      </c>
      <c r="Q826" s="140" t="s">
        <v>3407</v>
      </c>
      <c r="R826" s="140" t="s">
        <v>2713</v>
      </c>
      <c r="S826" s="140">
        <v>4.2799999999999998E-2</v>
      </c>
      <c r="T826" s="140">
        <v>3.5361290322580646E-2</v>
      </c>
      <c r="U826" s="140">
        <f t="shared" si="36"/>
        <v>7.4387096774193515E-3</v>
      </c>
      <c r="V826" s="140">
        <v>3.1230000000000002</v>
      </c>
      <c r="W826" s="140">
        <f>6.228+5.891</f>
        <v>12.119</v>
      </c>
      <c r="X826" s="149">
        <f t="shared" si="35"/>
        <v>37.847636999999999</v>
      </c>
      <c r="Y826" s="149"/>
    </row>
    <row r="827" spans="1:25" ht="16">
      <c r="A827" s="149" t="s">
        <v>12</v>
      </c>
      <c r="B827" s="139" t="s">
        <v>3393</v>
      </c>
      <c r="C827" s="140" t="s">
        <v>1744</v>
      </c>
      <c r="D827" s="140" t="s">
        <v>3551</v>
      </c>
      <c r="E827" s="140" t="s">
        <v>3416</v>
      </c>
      <c r="F827" s="140">
        <v>7</v>
      </c>
      <c r="G827" s="140"/>
      <c r="H827" s="140"/>
      <c r="I827" s="141">
        <v>42216</v>
      </c>
      <c r="J827" s="140" t="s">
        <v>36</v>
      </c>
      <c r="K827" s="140" t="s">
        <v>154</v>
      </c>
      <c r="L827" s="140" t="s">
        <v>2569</v>
      </c>
      <c r="M827" s="140" t="s">
        <v>2570</v>
      </c>
      <c r="N827" s="140" t="s">
        <v>2571</v>
      </c>
      <c r="O827" s="140" t="s">
        <v>2369</v>
      </c>
      <c r="P827" s="140" t="s">
        <v>2737</v>
      </c>
      <c r="Q827" s="140" t="s">
        <v>2394</v>
      </c>
      <c r="R827" s="140" t="s">
        <v>2712</v>
      </c>
      <c r="S827" s="140">
        <v>5.5599999999999997E-2</v>
      </c>
      <c r="T827" s="140">
        <v>3.5361290322580646E-2</v>
      </c>
      <c r="U827" s="140">
        <f t="shared" si="36"/>
        <v>2.023870967741935E-2</v>
      </c>
      <c r="V827" s="140">
        <v>4.6890000000000001</v>
      </c>
      <c r="W827" s="140">
        <v>15.468</v>
      </c>
      <c r="X827" s="149">
        <f t="shared" si="35"/>
        <v>72.529452000000006</v>
      </c>
      <c r="Y827" s="149"/>
    </row>
    <row r="828" spans="1:25" ht="16">
      <c r="A828" s="149" t="s">
        <v>12</v>
      </c>
      <c r="B828" s="139" t="s">
        <v>3394</v>
      </c>
      <c r="C828" s="140" t="s">
        <v>1744</v>
      </c>
      <c r="D828" s="140" t="s">
        <v>3551</v>
      </c>
      <c r="E828" s="140" t="s">
        <v>3417</v>
      </c>
      <c r="F828" s="140">
        <v>28</v>
      </c>
      <c r="G828" s="140"/>
      <c r="H828" s="140"/>
      <c r="I828" s="141">
        <v>42217</v>
      </c>
      <c r="J828" s="140" t="s">
        <v>36</v>
      </c>
      <c r="K828" s="140" t="s">
        <v>154</v>
      </c>
      <c r="L828" s="140" t="s">
        <v>2569</v>
      </c>
      <c r="M828" s="140" t="s">
        <v>2570</v>
      </c>
      <c r="N828" s="140" t="s">
        <v>2571</v>
      </c>
      <c r="O828" s="140" t="s">
        <v>2369</v>
      </c>
      <c r="P828" s="140" t="s">
        <v>2737</v>
      </c>
      <c r="Q828" s="140" t="s">
        <v>2394</v>
      </c>
      <c r="R828" s="140" t="s">
        <v>2713</v>
      </c>
      <c r="S828" s="140">
        <v>6.1499999999999999E-2</v>
      </c>
      <c r="T828" s="140">
        <v>3.5361290322580646E-2</v>
      </c>
      <c r="U828" s="140">
        <f t="shared" si="36"/>
        <v>2.6138709677419353E-2</v>
      </c>
      <c r="V828" s="140">
        <v>5.2729999999999997</v>
      </c>
      <c r="W828" s="140">
        <f>9.521+8.868</f>
        <v>18.389000000000003</v>
      </c>
      <c r="X828" s="149">
        <f t="shared" si="35"/>
        <v>96.965197000000003</v>
      </c>
      <c r="Y828" s="149"/>
    </row>
    <row r="829" spans="1:25" ht="16">
      <c r="A829" s="149" t="s">
        <v>12</v>
      </c>
      <c r="B829" s="139" t="s">
        <v>3395</v>
      </c>
      <c r="C829" s="140" t="s">
        <v>1744</v>
      </c>
      <c r="D829" s="140" t="s">
        <v>3551</v>
      </c>
      <c r="E829" s="140" t="s">
        <v>3214</v>
      </c>
      <c r="F829" s="140" t="s">
        <v>36</v>
      </c>
      <c r="G829" s="140"/>
      <c r="H829" s="140"/>
      <c r="I829" s="141">
        <v>42218</v>
      </c>
      <c r="J829" s="140" t="s">
        <v>36</v>
      </c>
      <c r="K829" s="140" t="s">
        <v>154</v>
      </c>
      <c r="L829" s="140" t="s">
        <v>2569</v>
      </c>
      <c r="M829" s="140" t="s">
        <v>2570</v>
      </c>
      <c r="N829" s="140" t="s">
        <v>2571</v>
      </c>
      <c r="O829" s="140" t="s">
        <v>2369</v>
      </c>
      <c r="P829" s="140" t="s">
        <v>2737</v>
      </c>
      <c r="Q829" s="140" t="s">
        <v>3408</v>
      </c>
      <c r="R829" s="140" t="s">
        <v>2713</v>
      </c>
      <c r="S829" s="140">
        <v>5.0900000000000001E-2</v>
      </c>
      <c r="T829" s="140">
        <v>3.5361290322580646E-2</v>
      </c>
      <c r="U829" s="140">
        <f t="shared" si="36"/>
        <v>1.5538709677419354E-2</v>
      </c>
      <c r="V829" s="140">
        <v>4.0110000000000001</v>
      </c>
      <c r="W829" s="140">
        <f>7.403+7.395</f>
        <v>14.797999999999998</v>
      </c>
      <c r="X829" s="149">
        <f t="shared" si="35"/>
        <v>59.354777999999996</v>
      </c>
      <c r="Y829" s="149"/>
    </row>
    <row r="830" spans="1:25" ht="16">
      <c r="A830" s="149" t="s">
        <v>12</v>
      </c>
      <c r="B830" s="139" t="s">
        <v>3396</v>
      </c>
      <c r="C830" s="140" t="s">
        <v>1744</v>
      </c>
      <c r="D830" s="140" t="s">
        <v>3551</v>
      </c>
      <c r="E830" s="140" t="s">
        <v>3418</v>
      </c>
      <c r="F830" s="140" t="s">
        <v>36</v>
      </c>
      <c r="G830" s="140"/>
      <c r="H830" s="140"/>
      <c r="I830" s="141">
        <v>42219</v>
      </c>
      <c r="J830" s="140" t="s">
        <v>36</v>
      </c>
      <c r="K830" s="140" t="s">
        <v>154</v>
      </c>
      <c r="L830" s="140" t="s">
        <v>2569</v>
      </c>
      <c r="M830" s="140" t="s">
        <v>2570</v>
      </c>
      <c r="N830" s="140" t="s">
        <v>2571</v>
      </c>
      <c r="O830" s="140" t="s">
        <v>2369</v>
      </c>
      <c r="P830" s="140" t="s">
        <v>2737</v>
      </c>
      <c r="Q830" s="140" t="s">
        <v>3408</v>
      </c>
      <c r="R830" s="140" t="s">
        <v>2713</v>
      </c>
      <c r="S830" s="140">
        <v>4.7600000000000003E-2</v>
      </c>
      <c r="T830" s="140">
        <v>3.5361290322580646E-2</v>
      </c>
      <c r="U830" s="140">
        <f t="shared" si="36"/>
        <v>1.2238709677419357E-2</v>
      </c>
      <c r="V830" s="140">
        <v>3.9830000000000001</v>
      </c>
      <c r="W830" s="140">
        <f>7.165+6.873</f>
        <v>14.038</v>
      </c>
      <c r="X830" s="149">
        <f t="shared" si="35"/>
        <v>55.913354000000005</v>
      </c>
      <c r="Y830" s="149"/>
    </row>
    <row r="831" spans="1:25" ht="16">
      <c r="A831" s="149" t="s">
        <v>12</v>
      </c>
      <c r="B831" s="139" t="s">
        <v>3397</v>
      </c>
      <c r="C831" s="140" t="s">
        <v>1744</v>
      </c>
      <c r="D831" s="140" t="s">
        <v>3551</v>
      </c>
      <c r="E831" s="140" t="s">
        <v>3419</v>
      </c>
      <c r="F831" s="140">
        <v>47</v>
      </c>
      <c r="G831" s="140"/>
      <c r="H831" s="140"/>
      <c r="I831" s="141">
        <v>42220</v>
      </c>
      <c r="J831" s="140" t="s">
        <v>36</v>
      </c>
      <c r="K831" s="140" t="s">
        <v>154</v>
      </c>
      <c r="L831" s="140" t="s">
        <v>2569</v>
      </c>
      <c r="M831" s="140" t="s">
        <v>2570</v>
      </c>
      <c r="N831" s="140" t="s">
        <v>2571</v>
      </c>
      <c r="O831" s="140" t="s">
        <v>2369</v>
      </c>
      <c r="P831" s="140" t="s">
        <v>3409</v>
      </c>
      <c r="Q831" s="140" t="s">
        <v>3422</v>
      </c>
      <c r="R831" s="140" t="s">
        <v>2713</v>
      </c>
      <c r="S831" s="140">
        <v>4.58E-2</v>
      </c>
      <c r="T831" s="140">
        <v>3.5361290322580646E-2</v>
      </c>
      <c r="U831" s="140">
        <f t="shared" si="36"/>
        <v>1.0438709677419354E-2</v>
      </c>
      <c r="V831" s="140">
        <v>3.2559999999999998</v>
      </c>
      <c r="W831" s="140">
        <f>7.542+7.622</f>
        <v>15.164</v>
      </c>
      <c r="X831" s="149">
        <f t="shared" si="35"/>
        <v>49.373983999999993</v>
      </c>
      <c r="Y831" s="149"/>
    </row>
    <row r="832" spans="1:25" ht="16">
      <c r="A832" s="149" t="s">
        <v>12</v>
      </c>
      <c r="B832" s="139" t="s">
        <v>3398</v>
      </c>
      <c r="C832" s="140" t="s">
        <v>1744</v>
      </c>
      <c r="D832" s="140" t="s">
        <v>3551</v>
      </c>
      <c r="E832" s="140" t="s">
        <v>3420</v>
      </c>
      <c r="F832" s="140">
        <v>68</v>
      </c>
      <c r="G832" s="140"/>
      <c r="H832" s="140"/>
      <c r="I832" s="141">
        <v>42221</v>
      </c>
      <c r="J832" s="140" t="s">
        <v>36</v>
      </c>
      <c r="K832" s="140" t="s">
        <v>154</v>
      </c>
      <c r="L832" s="140" t="s">
        <v>2569</v>
      </c>
      <c r="M832" s="140" t="s">
        <v>2570</v>
      </c>
      <c r="N832" s="140" t="s">
        <v>2571</v>
      </c>
      <c r="O832" s="140" t="s">
        <v>2369</v>
      </c>
      <c r="P832" s="140" t="s">
        <v>3409</v>
      </c>
      <c r="Q832" s="140" t="s">
        <v>3422</v>
      </c>
      <c r="R832" s="140" t="s">
        <v>2712</v>
      </c>
      <c r="S832" s="140">
        <v>4.5699999999999998E-2</v>
      </c>
      <c r="T832" s="140">
        <v>3.5361290322580646E-2</v>
      </c>
      <c r="U832" s="140">
        <f t="shared" si="36"/>
        <v>1.0338709677419351E-2</v>
      </c>
      <c r="V832" s="140">
        <v>3.5489999999999999</v>
      </c>
      <c r="W832" s="140">
        <f>11.146+2.812</f>
        <v>13.958</v>
      </c>
      <c r="X832" s="149">
        <f t="shared" si="35"/>
        <v>49.536941999999996</v>
      </c>
      <c r="Y832" s="149"/>
    </row>
    <row r="833" spans="1:25" ht="16">
      <c r="A833" s="149" t="s">
        <v>12</v>
      </c>
      <c r="B833" s="139" t="s">
        <v>3399</v>
      </c>
      <c r="C833" s="140" t="s">
        <v>1744</v>
      </c>
      <c r="D833" s="140" t="s">
        <v>3551</v>
      </c>
      <c r="E833" s="140" t="s">
        <v>3421</v>
      </c>
      <c r="F833" s="140">
        <v>583</v>
      </c>
      <c r="G833" s="140"/>
      <c r="H833" s="140"/>
      <c r="I833" s="141">
        <v>42222</v>
      </c>
      <c r="J833" s="140" t="s">
        <v>36</v>
      </c>
      <c r="K833" s="140" t="s">
        <v>154</v>
      </c>
      <c r="L833" s="140" t="s">
        <v>2569</v>
      </c>
      <c r="M833" s="140" t="s">
        <v>2570</v>
      </c>
      <c r="N833" s="140" t="s">
        <v>2571</v>
      </c>
      <c r="O833" s="140" t="s">
        <v>2369</v>
      </c>
      <c r="P833" s="140" t="s">
        <v>3409</v>
      </c>
      <c r="Q833" s="140" t="s">
        <v>3422</v>
      </c>
      <c r="R833" s="140" t="s">
        <v>2712</v>
      </c>
      <c r="S833" s="140">
        <v>4.4600000000000001E-2</v>
      </c>
      <c r="T833" s="140">
        <v>3.5361290322580646E-2</v>
      </c>
      <c r="U833" s="140">
        <f t="shared" si="36"/>
        <v>9.2387096774193544E-3</v>
      </c>
      <c r="V833" s="140">
        <v>3.6549999999999998</v>
      </c>
      <c r="W833" s="140">
        <f>7.154+5.576</f>
        <v>12.73</v>
      </c>
      <c r="X833" s="149">
        <f t="shared" si="35"/>
        <v>46.528149999999997</v>
      </c>
      <c r="Y833" s="149"/>
    </row>
    <row r="834" spans="1:25" ht="16">
      <c r="A834" s="149" t="s">
        <v>12</v>
      </c>
      <c r="B834" s="139" t="s">
        <v>3400</v>
      </c>
      <c r="C834" s="140" t="s">
        <v>1744</v>
      </c>
      <c r="D834" s="140" t="s">
        <v>3551</v>
      </c>
      <c r="E834" s="140" t="s">
        <v>3423</v>
      </c>
      <c r="F834" s="140">
        <v>610</v>
      </c>
      <c r="G834" s="140"/>
      <c r="H834" s="140"/>
      <c r="I834" s="141">
        <v>42223</v>
      </c>
      <c r="J834" s="140" t="s">
        <v>36</v>
      </c>
      <c r="K834" s="140" t="s">
        <v>154</v>
      </c>
      <c r="L834" s="140" t="s">
        <v>2569</v>
      </c>
      <c r="M834" s="140" t="s">
        <v>2570</v>
      </c>
      <c r="N834" s="140" t="s">
        <v>2571</v>
      </c>
      <c r="O834" s="140" t="s">
        <v>2369</v>
      </c>
      <c r="P834" s="140" t="s">
        <v>2737</v>
      </c>
      <c r="Q834" s="140" t="s">
        <v>2373</v>
      </c>
      <c r="R834" s="140" t="s">
        <v>2713</v>
      </c>
      <c r="S834" s="140">
        <v>5.04E-2</v>
      </c>
      <c r="T834" s="140">
        <v>3.5361290322580646E-2</v>
      </c>
      <c r="U834" s="140">
        <f t="shared" si="36"/>
        <v>1.5038709677419354E-2</v>
      </c>
      <c r="V834" s="140">
        <v>3.84</v>
      </c>
      <c r="W834" s="140">
        <f>6.368+7.809</f>
        <v>14.177</v>
      </c>
      <c r="X834" s="149">
        <f t="shared" ref="X834:X897" si="37">V834*W834</f>
        <v>54.439679999999996</v>
      </c>
      <c r="Y834" s="149"/>
    </row>
    <row r="835" spans="1:25" ht="16">
      <c r="A835" s="149" t="s">
        <v>12</v>
      </c>
      <c r="B835" s="139" t="s">
        <v>3401</v>
      </c>
      <c r="C835" s="140" t="s">
        <v>1744</v>
      </c>
      <c r="D835" s="140" t="s">
        <v>3551</v>
      </c>
      <c r="E835" s="140" t="s">
        <v>3424</v>
      </c>
      <c r="F835" s="140" t="s">
        <v>36</v>
      </c>
      <c r="G835" s="140"/>
      <c r="H835" s="140"/>
      <c r="I835" s="141">
        <v>42224</v>
      </c>
      <c r="J835" s="140" t="s">
        <v>36</v>
      </c>
      <c r="K835" s="140" t="s">
        <v>154</v>
      </c>
      <c r="L835" s="140" t="s">
        <v>2569</v>
      </c>
      <c r="M835" s="140" t="s">
        <v>2570</v>
      </c>
      <c r="N835" s="140" t="s">
        <v>2571</v>
      </c>
      <c r="O835" s="140" t="s">
        <v>2369</v>
      </c>
      <c r="P835" s="140" t="s">
        <v>2737</v>
      </c>
      <c r="Q835" s="140" t="s">
        <v>2373</v>
      </c>
      <c r="R835" s="140" t="s">
        <v>2712</v>
      </c>
      <c r="S835" s="140">
        <v>4.3400000000000001E-2</v>
      </c>
      <c r="T835" s="140">
        <v>3.5361290322580646E-2</v>
      </c>
      <c r="U835" s="140">
        <f t="shared" ref="U835:U898" si="38">S835-T835</f>
        <v>8.0387096774193548E-3</v>
      </c>
      <c r="V835" s="140">
        <v>3.2130000000000001</v>
      </c>
      <c r="W835" s="140">
        <f>6.538+5.842</f>
        <v>12.379999999999999</v>
      </c>
      <c r="X835" s="149">
        <f t="shared" si="37"/>
        <v>39.776939999999996</v>
      </c>
      <c r="Y835" s="149"/>
    </row>
    <row r="836" spans="1:25" ht="16">
      <c r="A836" s="149" t="s">
        <v>12</v>
      </c>
      <c r="B836" s="139" t="s">
        <v>3402</v>
      </c>
      <c r="C836" s="140" t="s">
        <v>1744</v>
      </c>
      <c r="D836" s="140" t="s">
        <v>3551</v>
      </c>
      <c r="E836" s="140" t="s">
        <v>3425</v>
      </c>
      <c r="F836" s="140" t="s">
        <v>36</v>
      </c>
      <c r="G836" s="140"/>
      <c r="H836" s="140"/>
      <c r="I836" s="141">
        <v>42225</v>
      </c>
      <c r="J836" s="140" t="s">
        <v>36</v>
      </c>
      <c r="K836" s="140" t="s">
        <v>154</v>
      </c>
      <c r="L836" s="140" t="s">
        <v>2569</v>
      </c>
      <c r="M836" s="140" t="s">
        <v>2570</v>
      </c>
      <c r="N836" s="140" t="s">
        <v>2571</v>
      </c>
      <c r="O836" s="140" t="s">
        <v>2369</v>
      </c>
      <c r="P836" s="140" t="s">
        <v>2737</v>
      </c>
      <c r="Q836" s="140" t="s">
        <v>2373</v>
      </c>
      <c r="R836" s="140" t="s">
        <v>2713</v>
      </c>
      <c r="S836" s="140">
        <v>4.7800000000000002E-2</v>
      </c>
      <c r="T836" s="140">
        <v>3.5361290322580646E-2</v>
      </c>
      <c r="U836" s="140">
        <f t="shared" si="38"/>
        <v>1.2438709677419356E-2</v>
      </c>
      <c r="V836" s="140">
        <v>3.75</v>
      </c>
      <c r="W836" s="140">
        <f>7.191+6.445</f>
        <v>13.635999999999999</v>
      </c>
      <c r="X836" s="149">
        <f t="shared" si="37"/>
        <v>51.134999999999998</v>
      </c>
      <c r="Y836" s="149"/>
    </row>
    <row r="837" spans="1:25" ht="16">
      <c r="A837" s="149" t="s">
        <v>12</v>
      </c>
      <c r="B837" s="139" t="s">
        <v>3403</v>
      </c>
      <c r="C837" s="140" t="s">
        <v>1744</v>
      </c>
      <c r="D837" s="140" t="s">
        <v>3551</v>
      </c>
      <c r="E837" s="140" t="s">
        <v>3229</v>
      </c>
      <c r="F837" s="140" t="s">
        <v>36</v>
      </c>
      <c r="G837" s="140"/>
      <c r="H837" s="140"/>
      <c r="I837" s="141">
        <v>42226</v>
      </c>
      <c r="J837" s="140" t="s">
        <v>36</v>
      </c>
      <c r="K837" s="140" t="s">
        <v>154</v>
      </c>
      <c r="L837" s="140" t="s">
        <v>2569</v>
      </c>
      <c r="M837" s="140" t="s">
        <v>2570</v>
      </c>
      <c r="N837" s="140" t="s">
        <v>2571</v>
      </c>
      <c r="O837" s="140" t="s">
        <v>2369</v>
      </c>
      <c r="P837" s="140" t="s">
        <v>2737</v>
      </c>
      <c r="Q837" s="140" t="s">
        <v>3410</v>
      </c>
      <c r="R837" s="140" t="s">
        <v>2712</v>
      </c>
      <c r="S837" s="140">
        <v>4.4900000000000002E-2</v>
      </c>
      <c r="T837" s="140">
        <v>3.5361290322580646E-2</v>
      </c>
      <c r="U837" s="140">
        <f t="shared" si="38"/>
        <v>9.5387096774193561E-3</v>
      </c>
      <c r="V837" s="140">
        <v>3.544</v>
      </c>
      <c r="W837" s="140">
        <v>13.412000000000001</v>
      </c>
      <c r="X837" s="149">
        <f t="shared" si="37"/>
        <v>47.532128</v>
      </c>
      <c r="Y837" s="149"/>
    </row>
    <row r="838" spans="1:25" ht="16">
      <c r="A838" s="149" t="s">
        <v>12</v>
      </c>
      <c r="B838" s="139" t="s">
        <v>3404</v>
      </c>
      <c r="C838" s="140" t="s">
        <v>1744</v>
      </c>
      <c r="D838" s="140" t="s">
        <v>3551</v>
      </c>
      <c r="E838" s="140" t="s">
        <v>3426</v>
      </c>
      <c r="F838" s="140" t="s">
        <v>36</v>
      </c>
      <c r="G838" s="140"/>
      <c r="H838" s="140"/>
      <c r="I838" s="141">
        <v>42227</v>
      </c>
      <c r="J838" s="140" t="s">
        <v>36</v>
      </c>
      <c r="K838" s="140" t="s">
        <v>154</v>
      </c>
      <c r="L838" s="140" t="s">
        <v>2569</v>
      </c>
      <c r="M838" s="140" t="s">
        <v>2570</v>
      </c>
      <c r="N838" s="140" t="s">
        <v>2571</v>
      </c>
      <c r="O838" s="140" t="s">
        <v>2369</v>
      </c>
      <c r="P838" s="140" t="s">
        <v>2737</v>
      </c>
      <c r="Q838" s="140" t="s">
        <v>3410</v>
      </c>
      <c r="R838" s="140" t="s">
        <v>2713</v>
      </c>
      <c r="S838" s="140">
        <v>4.5400000000000003E-2</v>
      </c>
      <c r="T838" s="140">
        <v>3.5361290322580646E-2</v>
      </c>
      <c r="U838" s="140">
        <f t="shared" si="38"/>
        <v>1.0038709677419357E-2</v>
      </c>
      <c r="V838" s="140">
        <v>3.3340000000000001</v>
      </c>
      <c r="W838" s="140">
        <f>6.896+5.663</f>
        <v>12.559000000000001</v>
      </c>
      <c r="X838" s="149">
        <f t="shared" si="37"/>
        <v>41.871706000000003</v>
      </c>
      <c r="Y838" s="149"/>
    </row>
    <row r="839" spans="1:25" ht="16">
      <c r="A839" s="149" t="s">
        <v>12</v>
      </c>
      <c r="B839" s="139" t="s">
        <v>3405</v>
      </c>
      <c r="C839" s="140" t="s">
        <v>1744</v>
      </c>
      <c r="D839" s="140" t="s">
        <v>3551</v>
      </c>
      <c r="E839" s="140" t="s">
        <v>3440</v>
      </c>
      <c r="F839" s="140">
        <v>380</v>
      </c>
      <c r="G839" s="140"/>
      <c r="H839" s="140"/>
      <c r="I839" s="141">
        <v>42228</v>
      </c>
      <c r="J839" s="140" t="s">
        <v>36</v>
      </c>
      <c r="K839" s="140" t="s">
        <v>154</v>
      </c>
      <c r="L839" s="140" t="s">
        <v>2566</v>
      </c>
      <c r="M839" s="140" t="s">
        <v>2567</v>
      </c>
      <c r="N839" s="140" t="s">
        <v>2668</v>
      </c>
      <c r="O839" s="140" t="s">
        <v>2600</v>
      </c>
      <c r="P839" s="140" t="s">
        <v>2775</v>
      </c>
      <c r="Q839" s="140" t="s">
        <v>3427</v>
      </c>
      <c r="R839" s="140" t="s">
        <v>2713</v>
      </c>
      <c r="S839" s="140">
        <v>4.4299999999999999E-2</v>
      </c>
      <c r="T839" s="140">
        <v>3.5361290322580646E-2</v>
      </c>
      <c r="U839" s="140">
        <f t="shared" si="38"/>
        <v>8.9387096774193528E-3</v>
      </c>
      <c r="V839" s="140">
        <v>2.948</v>
      </c>
      <c r="W839" s="140">
        <f>6.612+6.082</f>
        <v>12.693999999999999</v>
      </c>
      <c r="X839" s="149">
        <f t="shared" si="37"/>
        <v>37.421911999999999</v>
      </c>
      <c r="Y839" s="149"/>
    </row>
    <row r="840" spans="1:25" ht="16">
      <c r="A840" s="149" t="s">
        <v>12</v>
      </c>
      <c r="B840" s="139" t="s">
        <v>3428</v>
      </c>
      <c r="C840" s="140" t="s">
        <v>1744</v>
      </c>
      <c r="D840" s="140" t="s">
        <v>3551</v>
      </c>
      <c r="E840" s="140" t="s">
        <v>3441</v>
      </c>
      <c r="F840" s="140" t="s">
        <v>36</v>
      </c>
      <c r="G840" s="140"/>
      <c r="H840" s="140"/>
      <c r="I840" s="141">
        <v>42229</v>
      </c>
      <c r="J840" s="140" t="s">
        <v>36</v>
      </c>
      <c r="K840" s="140" t="s">
        <v>154</v>
      </c>
      <c r="L840" s="140" t="s">
        <v>2566</v>
      </c>
      <c r="M840" s="140" t="s">
        <v>2567</v>
      </c>
      <c r="N840" s="140" t="s">
        <v>2668</v>
      </c>
      <c r="O840" s="140" t="s">
        <v>2600</v>
      </c>
      <c r="P840" s="140" t="s">
        <v>2775</v>
      </c>
      <c r="Q840" s="140" t="s">
        <v>3427</v>
      </c>
      <c r="R840" s="140" t="s">
        <v>2713</v>
      </c>
      <c r="S840" s="140">
        <v>4.2700000000000002E-2</v>
      </c>
      <c r="T840" s="140">
        <v>3.5361290322580646E-2</v>
      </c>
      <c r="U840" s="140">
        <f t="shared" si="38"/>
        <v>7.3387096774193555E-3</v>
      </c>
      <c r="V840" s="140">
        <v>2.74</v>
      </c>
      <c r="W840" s="140">
        <v>12.597</v>
      </c>
      <c r="X840" s="149">
        <f t="shared" si="37"/>
        <v>34.515779999999999</v>
      </c>
      <c r="Y840" s="149"/>
    </row>
    <row r="841" spans="1:25" ht="16">
      <c r="A841" s="149" t="s">
        <v>12</v>
      </c>
      <c r="B841" s="139" t="s">
        <v>3429</v>
      </c>
      <c r="C841" s="140" t="s">
        <v>1744</v>
      </c>
      <c r="D841" s="140" t="s">
        <v>3551</v>
      </c>
      <c r="E841" s="140" t="s">
        <v>3442</v>
      </c>
      <c r="F841" s="140">
        <v>782</v>
      </c>
      <c r="G841" s="140"/>
      <c r="H841" s="140"/>
      <c r="I841" s="141">
        <v>42230</v>
      </c>
      <c r="J841" s="140" t="s">
        <v>36</v>
      </c>
      <c r="K841" s="140" t="s">
        <v>154</v>
      </c>
      <c r="L841" s="140" t="s">
        <v>2566</v>
      </c>
      <c r="M841" s="140" t="s">
        <v>2567</v>
      </c>
      <c r="N841" s="140" t="s">
        <v>2668</v>
      </c>
      <c r="O841" s="140" t="s">
        <v>2600</v>
      </c>
      <c r="P841" s="140" t="s">
        <v>2775</v>
      </c>
      <c r="Q841" s="140" t="s">
        <v>3427</v>
      </c>
      <c r="R841" s="140" t="s">
        <v>2713</v>
      </c>
      <c r="S841" s="140">
        <v>4.48E-2</v>
      </c>
      <c r="T841" s="140">
        <v>3.5361290322580646E-2</v>
      </c>
      <c r="U841" s="140">
        <f t="shared" si="38"/>
        <v>9.4387096774193532E-3</v>
      </c>
      <c r="V841" s="140">
        <v>3.04</v>
      </c>
      <c r="W841" s="140">
        <f>6.756+6.47</f>
        <v>13.225999999999999</v>
      </c>
      <c r="X841" s="149">
        <f t="shared" si="37"/>
        <v>40.207039999999999</v>
      </c>
      <c r="Y841" s="149"/>
    </row>
    <row r="842" spans="1:25" ht="16">
      <c r="A842" s="149" t="s">
        <v>12</v>
      </c>
      <c r="B842" s="139" t="s">
        <v>3430</v>
      </c>
      <c r="C842" s="140" t="s">
        <v>1744</v>
      </c>
      <c r="D842" s="140" t="s">
        <v>3551</v>
      </c>
      <c r="E842" s="140" t="s">
        <v>3443</v>
      </c>
      <c r="F842" s="140">
        <v>747</v>
      </c>
      <c r="G842" s="140"/>
      <c r="H842" s="140"/>
      <c r="I842" s="141">
        <v>42231</v>
      </c>
      <c r="J842" s="140" t="s">
        <v>36</v>
      </c>
      <c r="K842" s="140" t="s">
        <v>154</v>
      </c>
      <c r="L842" s="140" t="s">
        <v>2566</v>
      </c>
      <c r="M842" s="140" t="s">
        <v>2567</v>
      </c>
      <c r="N842" s="140" t="s">
        <v>2668</v>
      </c>
      <c r="O842" s="140" t="s">
        <v>2600</v>
      </c>
      <c r="P842" s="140" t="s">
        <v>2775</v>
      </c>
      <c r="Q842" s="140" t="s">
        <v>3427</v>
      </c>
      <c r="R842" s="140" t="s">
        <v>2713</v>
      </c>
      <c r="S842" s="140">
        <v>4.3400000000000001E-2</v>
      </c>
      <c r="T842" s="140">
        <v>3.5361290322580646E-2</v>
      </c>
      <c r="U842" s="140">
        <f t="shared" si="38"/>
        <v>8.0387096774193548E-3</v>
      </c>
      <c r="V842" s="140">
        <v>2.8380000000000001</v>
      </c>
      <c r="W842" s="140">
        <f>6.11+6.49</f>
        <v>12.600000000000001</v>
      </c>
      <c r="X842" s="149">
        <f t="shared" si="37"/>
        <v>35.758800000000008</v>
      </c>
      <c r="Y842" s="149"/>
    </row>
    <row r="843" spans="1:25" ht="16">
      <c r="A843" s="149" t="s">
        <v>12</v>
      </c>
      <c r="B843" s="139" t="s">
        <v>3431</v>
      </c>
      <c r="C843" s="140" t="s">
        <v>1744</v>
      </c>
      <c r="D843" s="140" t="s">
        <v>3551</v>
      </c>
      <c r="E843" s="140" t="s">
        <v>3444</v>
      </c>
      <c r="F843" s="140">
        <v>836</v>
      </c>
      <c r="G843" s="140"/>
      <c r="H843" s="140"/>
      <c r="I843" s="141">
        <v>42232</v>
      </c>
      <c r="J843" s="140" t="s">
        <v>36</v>
      </c>
      <c r="K843" s="140" t="s">
        <v>154</v>
      </c>
      <c r="L843" s="140" t="s">
        <v>2566</v>
      </c>
      <c r="M843" s="140" t="s">
        <v>2567</v>
      </c>
      <c r="N843" s="140" t="s">
        <v>2668</v>
      </c>
      <c r="O843" s="140" t="s">
        <v>2600</v>
      </c>
      <c r="P843" s="140" t="s">
        <v>2775</v>
      </c>
      <c r="Q843" s="140" t="s">
        <v>3427</v>
      </c>
      <c r="R843" s="140" t="s">
        <v>2713</v>
      </c>
      <c r="S843" s="140">
        <v>4.4600000000000001E-2</v>
      </c>
      <c r="T843" s="140">
        <v>3.5361290322580646E-2</v>
      </c>
      <c r="U843" s="140">
        <f t="shared" si="38"/>
        <v>9.2387096774193544E-3</v>
      </c>
      <c r="V843" s="140">
        <v>3.0529999999999999</v>
      </c>
      <c r="W843" s="140">
        <f>6.626+5.869</f>
        <v>12.495000000000001</v>
      </c>
      <c r="X843" s="149">
        <f t="shared" si="37"/>
        <v>38.147235000000002</v>
      </c>
      <c r="Y843" s="149"/>
    </row>
    <row r="844" spans="1:25" ht="16">
      <c r="A844" s="149" t="s">
        <v>12</v>
      </c>
      <c r="B844" s="139" t="s">
        <v>3432</v>
      </c>
      <c r="C844" s="140" t="s">
        <v>1744</v>
      </c>
      <c r="D844" s="140" t="s">
        <v>3551</v>
      </c>
      <c r="E844" s="140" t="s">
        <v>3444</v>
      </c>
      <c r="F844" s="140">
        <v>834</v>
      </c>
      <c r="G844" s="140"/>
      <c r="H844" s="140"/>
      <c r="I844" s="141">
        <v>42233</v>
      </c>
      <c r="J844" s="140" t="s">
        <v>36</v>
      </c>
      <c r="K844" s="140" t="s">
        <v>154</v>
      </c>
      <c r="L844" s="140" t="s">
        <v>2566</v>
      </c>
      <c r="M844" s="140" t="s">
        <v>2567</v>
      </c>
      <c r="N844" s="140" t="s">
        <v>2668</v>
      </c>
      <c r="O844" s="140" t="s">
        <v>2600</v>
      </c>
      <c r="P844" s="140" t="s">
        <v>2775</v>
      </c>
      <c r="Q844" s="140" t="s">
        <v>3427</v>
      </c>
      <c r="R844" s="140" t="s">
        <v>2713</v>
      </c>
      <c r="S844" s="140">
        <v>4.5100000000000001E-2</v>
      </c>
      <c r="T844" s="140">
        <v>3.5361290322580646E-2</v>
      </c>
      <c r="U844" s="140">
        <f t="shared" si="38"/>
        <v>9.7387096774193549E-3</v>
      </c>
      <c r="V844" s="140">
        <v>3.12</v>
      </c>
      <c r="W844" s="140">
        <f>7.274+5.891</f>
        <v>13.164999999999999</v>
      </c>
      <c r="X844" s="149">
        <f t="shared" si="37"/>
        <v>41.074799999999996</v>
      </c>
      <c r="Y844" s="149"/>
    </row>
    <row r="845" spans="1:25" ht="16">
      <c r="A845" s="149" t="s">
        <v>12</v>
      </c>
      <c r="B845" s="139" t="s">
        <v>3433</v>
      </c>
      <c r="C845" s="140" t="s">
        <v>1744</v>
      </c>
      <c r="D845" s="140" t="s">
        <v>3551</v>
      </c>
      <c r="E845" s="140" t="s">
        <v>3444</v>
      </c>
      <c r="F845" s="140">
        <v>835</v>
      </c>
      <c r="G845" s="140"/>
      <c r="H845" s="140"/>
      <c r="I845" s="141">
        <v>42234</v>
      </c>
      <c r="J845" s="140" t="s">
        <v>36</v>
      </c>
      <c r="K845" s="140" t="s">
        <v>154</v>
      </c>
      <c r="L845" s="140" t="s">
        <v>2566</v>
      </c>
      <c r="M845" s="140" t="s">
        <v>2567</v>
      </c>
      <c r="N845" s="140" t="s">
        <v>2668</v>
      </c>
      <c r="O845" s="140" t="s">
        <v>2600</v>
      </c>
      <c r="P845" s="140" t="s">
        <v>2775</v>
      </c>
      <c r="Q845" s="140" t="s">
        <v>3427</v>
      </c>
      <c r="R845" s="140" t="s">
        <v>2713</v>
      </c>
      <c r="S845" s="140">
        <v>4.5499999999999999E-2</v>
      </c>
      <c r="T845" s="140">
        <v>3.5361290322580646E-2</v>
      </c>
      <c r="U845" s="140">
        <f t="shared" si="38"/>
        <v>1.0138709677419352E-2</v>
      </c>
      <c r="V845" s="140">
        <v>2.9220000000000002</v>
      </c>
      <c r="W845" s="140">
        <f>6.136+6.7</f>
        <v>12.836</v>
      </c>
      <c r="X845" s="149">
        <f t="shared" si="37"/>
        <v>37.506792000000004</v>
      </c>
      <c r="Y845" s="149"/>
    </row>
    <row r="846" spans="1:25" ht="16">
      <c r="A846" s="149" t="s">
        <v>12</v>
      </c>
      <c r="B846" s="139" t="s">
        <v>3434</v>
      </c>
      <c r="C846" s="140" t="s">
        <v>1744</v>
      </c>
      <c r="D846" s="140" t="s">
        <v>3551</v>
      </c>
      <c r="E846" s="140" t="s">
        <v>3445</v>
      </c>
      <c r="F846" s="140">
        <v>764</v>
      </c>
      <c r="G846" s="140"/>
      <c r="H846" s="140"/>
      <c r="I846" s="141">
        <v>42235</v>
      </c>
      <c r="J846" s="140" t="s">
        <v>36</v>
      </c>
      <c r="K846" s="140" t="s">
        <v>154</v>
      </c>
      <c r="L846" s="140" t="s">
        <v>2566</v>
      </c>
      <c r="M846" s="140" t="s">
        <v>2567</v>
      </c>
      <c r="N846" s="140" t="s">
        <v>2668</v>
      </c>
      <c r="O846" s="140" t="s">
        <v>2600</v>
      </c>
      <c r="P846" s="140" t="s">
        <v>2775</v>
      </c>
      <c r="Q846" s="140" t="s">
        <v>3427</v>
      </c>
      <c r="R846" s="140" t="s">
        <v>2713</v>
      </c>
      <c r="S846" s="140">
        <v>4.2299999999999997E-2</v>
      </c>
      <c r="T846" s="140">
        <v>3.5361290322580646E-2</v>
      </c>
      <c r="U846" s="140">
        <f t="shared" si="38"/>
        <v>6.938709677419351E-3</v>
      </c>
      <c r="V846" s="140">
        <v>2.6379999999999999</v>
      </c>
      <c r="W846" s="140">
        <f>5.805+5.664</f>
        <v>11.468999999999999</v>
      </c>
      <c r="X846" s="149">
        <f t="shared" si="37"/>
        <v>30.255221999999996</v>
      </c>
      <c r="Y846" s="149"/>
    </row>
    <row r="847" spans="1:25" ht="16">
      <c r="A847" s="149" t="s">
        <v>12</v>
      </c>
      <c r="B847" s="139" t="s">
        <v>3435</v>
      </c>
      <c r="C847" s="140" t="s">
        <v>1744</v>
      </c>
      <c r="D847" s="140" t="s">
        <v>3551</v>
      </c>
      <c r="E847" s="140" t="s">
        <v>3445</v>
      </c>
      <c r="F847" s="140">
        <v>773</v>
      </c>
      <c r="G847" s="140"/>
      <c r="H847" s="140"/>
      <c r="I847" s="141">
        <v>42236</v>
      </c>
      <c r="J847" s="140" t="s">
        <v>36</v>
      </c>
      <c r="K847" s="140" t="s">
        <v>154</v>
      </c>
      <c r="L847" s="140" t="s">
        <v>2566</v>
      </c>
      <c r="M847" s="140" t="s">
        <v>2567</v>
      </c>
      <c r="N847" s="140" t="s">
        <v>2668</v>
      </c>
      <c r="O847" s="140" t="s">
        <v>2600</v>
      </c>
      <c r="P847" s="140" t="s">
        <v>2775</v>
      </c>
      <c r="Q847" s="140" t="s">
        <v>3427</v>
      </c>
      <c r="R847" s="140" t="s">
        <v>2713</v>
      </c>
      <c r="S847" s="140">
        <v>4.3299999999999998E-2</v>
      </c>
      <c r="T847" s="140">
        <v>3.5361290322580646E-2</v>
      </c>
      <c r="U847" s="140">
        <f t="shared" si="38"/>
        <v>7.9387096774193519E-3</v>
      </c>
      <c r="V847" s="140">
        <v>2.9550000000000001</v>
      </c>
      <c r="W847" s="140">
        <f>5.848+3.052+3.218</f>
        <v>12.118</v>
      </c>
      <c r="X847" s="149">
        <f t="shared" si="37"/>
        <v>35.808689999999999</v>
      </c>
      <c r="Y847" s="149"/>
    </row>
    <row r="848" spans="1:25" ht="16">
      <c r="A848" s="149" t="s">
        <v>12</v>
      </c>
      <c r="B848" s="139" t="s">
        <v>3436</v>
      </c>
      <c r="C848" s="140" t="s">
        <v>1744</v>
      </c>
      <c r="D848" s="140" t="s">
        <v>3551</v>
      </c>
      <c r="E848" s="140" t="s">
        <v>3445</v>
      </c>
      <c r="F848" s="140">
        <v>755</v>
      </c>
      <c r="G848" s="140"/>
      <c r="H848" s="140"/>
      <c r="I848" s="141">
        <v>42237</v>
      </c>
      <c r="J848" s="140" t="s">
        <v>36</v>
      </c>
      <c r="K848" s="140" t="s">
        <v>154</v>
      </c>
      <c r="L848" s="140" t="s">
        <v>2566</v>
      </c>
      <c r="M848" s="140" t="s">
        <v>2567</v>
      </c>
      <c r="N848" s="140" t="s">
        <v>2668</v>
      </c>
      <c r="O848" s="140" t="s">
        <v>2600</v>
      </c>
      <c r="P848" s="140" t="s">
        <v>2775</v>
      </c>
      <c r="Q848" s="140" t="s">
        <v>3427</v>
      </c>
      <c r="R848" s="140" t="s">
        <v>2713</v>
      </c>
      <c r="S848" s="140">
        <v>4.2799999999999998E-2</v>
      </c>
      <c r="T848" s="140">
        <v>3.5361290322580646E-2</v>
      </c>
      <c r="U848" s="140">
        <f t="shared" si="38"/>
        <v>7.4387096774193515E-3</v>
      </c>
      <c r="V848" s="140">
        <v>2.7250000000000001</v>
      </c>
      <c r="W848" s="140">
        <f>5.9+5.777</f>
        <v>11.677</v>
      </c>
      <c r="X848" s="149">
        <f t="shared" si="37"/>
        <v>31.819825000000002</v>
      </c>
      <c r="Y848" s="149"/>
    </row>
    <row r="849" spans="1:25" ht="16">
      <c r="A849" s="149" t="s">
        <v>12</v>
      </c>
      <c r="B849" s="139" t="s">
        <v>3437</v>
      </c>
      <c r="C849" s="140" t="s">
        <v>1744</v>
      </c>
      <c r="D849" s="140" t="s">
        <v>3551</v>
      </c>
      <c r="E849" s="140" t="s">
        <v>3446</v>
      </c>
      <c r="F849" s="140" t="s">
        <v>36</v>
      </c>
      <c r="G849" s="140"/>
      <c r="H849" s="140"/>
      <c r="I849" s="141">
        <v>42238</v>
      </c>
      <c r="J849" s="140" t="s">
        <v>36</v>
      </c>
      <c r="K849" s="140" t="s">
        <v>154</v>
      </c>
      <c r="L849" s="140" t="s">
        <v>2566</v>
      </c>
      <c r="M849" s="140" t="s">
        <v>2567</v>
      </c>
      <c r="N849" s="140" t="s">
        <v>2668</v>
      </c>
      <c r="O849" s="140" t="s">
        <v>2600</v>
      </c>
      <c r="P849" s="140" t="s">
        <v>2775</v>
      </c>
      <c r="Q849" s="140" t="s">
        <v>3427</v>
      </c>
      <c r="R849" s="140" t="s">
        <v>2713</v>
      </c>
      <c r="S849" s="140">
        <f>0.0017+0.0404</f>
        <v>4.2099999999999999E-2</v>
      </c>
      <c r="T849" s="140">
        <v>3.5361290322580646E-2</v>
      </c>
      <c r="U849" s="140">
        <f t="shared" si="38"/>
        <v>6.7387096774193522E-3</v>
      </c>
      <c r="V849" s="140">
        <v>2.528</v>
      </c>
      <c r="W849" s="140">
        <f>6.476+6.145</f>
        <v>12.620999999999999</v>
      </c>
      <c r="X849" s="149">
        <f t="shared" si="37"/>
        <v>31.905887999999997</v>
      </c>
      <c r="Y849" s="149"/>
    </row>
    <row r="850" spans="1:25" ht="16">
      <c r="A850" s="149" t="s">
        <v>12</v>
      </c>
      <c r="B850" s="139" t="s">
        <v>3438</v>
      </c>
      <c r="C850" s="140" t="s">
        <v>1744</v>
      </c>
      <c r="D850" s="140" t="s">
        <v>3551</v>
      </c>
      <c r="E850" s="140" t="s">
        <v>3501</v>
      </c>
      <c r="F850" s="140">
        <v>529</v>
      </c>
      <c r="G850" s="140"/>
      <c r="H850" s="140"/>
      <c r="I850" s="141">
        <v>42239</v>
      </c>
      <c r="J850" s="140" t="s">
        <v>36</v>
      </c>
      <c r="K850" s="140" t="s">
        <v>154</v>
      </c>
      <c r="L850" s="140" t="s">
        <v>2566</v>
      </c>
      <c r="M850" s="140" t="s">
        <v>2567</v>
      </c>
      <c r="N850" s="140" t="s">
        <v>2668</v>
      </c>
      <c r="O850" s="140" t="s">
        <v>2600</v>
      </c>
      <c r="P850" s="140" t="s">
        <v>2735</v>
      </c>
      <c r="Q850" s="140" t="s">
        <v>3447</v>
      </c>
      <c r="R850" s="140" t="s">
        <v>2713</v>
      </c>
      <c r="S850" s="140">
        <v>4.2799999999999998E-2</v>
      </c>
      <c r="T850" s="140">
        <v>3.5361290322580646E-2</v>
      </c>
      <c r="U850" s="140">
        <f t="shared" si="38"/>
        <v>7.4387096774193515E-3</v>
      </c>
      <c r="V850" s="140">
        <v>2.7410000000000001</v>
      </c>
      <c r="W850" s="140">
        <f>6.894+5.717</f>
        <v>12.611000000000001</v>
      </c>
      <c r="X850" s="149">
        <f t="shared" si="37"/>
        <v>34.566751000000004</v>
      </c>
      <c r="Y850" s="149"/>
    </row>
    <row r="851" spans="1:25" ht="16">
      <c r="A851" s="149" t="s">
        <v>12</v>
      </c>
      <c r="B851" s="139" t="s">
        <v>3439</v>
      </c>
      <c r="C851" s="140" t="s">
        <v>1744</v>
      </c>
      <c r="D851" s="140" t="s">
        <v>3551</v>
      </c>
      <c r="E851" s="140" t="s">
        <v>3502</v>
      </c>
      <c r="F851" s="140" t="s">
        <v>36</v>
      </c>
      <c r="G851" s="140"/>
      <c r="H851" s="140"/>
      <c r="I851" s="141">
        <v>42240</v>
      </c>
      <c r="J851" s="140" t="s">
        <v>36</v>
      </c>
      <c r="K851" s="140" t="s">
        <v>154</v>
      </c>
      <c r="L851" s="140" t="s">
        <v>2566</v>
      </c>
      <c r="M851" s="140" t="s">
        <v>2567</v>
      </c>
      <c r="N851" s="140" t="s">
        <v>2668</v>
      </c>
      <c r="O851" s="140" t="s">
        <v>2600</v>
      </c>
      <c r="P851" s="140" t="s">
        <v>2735</v>
      </c>
      <c r="Q851" s="140" t="s">
        <v>3447</v>
      </c>
      <c r="R851" s="140" t="s">
        <v>2713</v>
      </c>
      <c r="S851" s="140">
        <v>4.36E-2</v>
      </c>
      <c r="T851" s="140">
        <v>3.5361290322580646E-2</v>
      </c>
      <c r="U851" s="140">
        <f t="shared" si="38"/>
        <v>8.2387096774193536E-3</v>
      </c>
      <c r="V851" s="140">
        <v>2.7330000000000001</v>
      </c>
      <c r="W851" s="140">
        <v>13.315</v>
      </c>
      <c r="X851" s="149">
        <f t="shared" si="37"/>
        <v>36.389895000000003</v>
      </c>
      <c r="Y851" s="149"/>
    </row>
    <row r="852" spans="1:25" ht="16">
      <c r="A852" s="149" t="s">
        <v>12</v>
      </c>
      <c r="B852" s="139" t="s">
        <v>3448</v>
      </c>
      <c r="C852" s="140" t="s">
        <v>1744</v>
      </c>
      <c r="D852" s="140" t="s">
        <v>3551</v>
      </c>
      <c r="E852" s="140" t="s">
        <v>3505</v>
      </c>
      <c r="F852" s="140" t="s">
        <v>36</v>
      </c>
      <c r="G852" s="140"/>
      <c r="H852" s="140"/>
      <c r="I852" s="141">
        <v>42241</v>
      </c>
      <c r="J852" s="140" t="s">
        <v>36</v>
      </c>
      <c r="K852" s="140" t="s">
        <v>154</v>
      </c>
      <c r="L852" s="140" t="s">
        <v>2566</v>
      </c>
      <c r="M852" s="140" t="s">
        <v>2567</v>
      </c>
      <c r="N852" s="140" t="s">
        <v>2668</v>
      </c>
      <c r="O852" s="140" t="s">
        <v>2600</v>
      </c>
      <c r="P852" s="140" t="s">
        <v>2735</v>
      </c>
      <c r="Q852" s="140" t="s">
        <v>3503</v>
      </c>
      <c r="R852" s="140" t="s">
        <v>2712</v>
      </c>
      <c r="S852" s="140">
        <v>4.0300000000000002E-2</v>
      </c>
      <c r="T852" s="140">
        <v>3.5361290322580646E-2</v>
      </c>
      <c r="U852" s="140">
        <f t="shared" si="38"/>
        <v>4.9387096774193562E-3</v>
      </c>
      <c r="V852" s="140">
        <v>2.3650000000000002</v>
      </c>
      <c r="W852" s="140">
        <f>5.051+5.305</f>
        <v>10.356</v>
      </c>
      <c r="X852" s="149">
        <f t="shared" si="37"/>
        <v>24.491940000000003</v>
      </c>
      <c r="Y852" s="149"/>
    </row>
    <row r="853" spans="1:25" ht="16">
      <c r="A853" s="149" t="s">
        <v>12</v>
      </c>
      <c r="B853" s="139" t="s">
        <v>3449</v>
      </c>
      <c r="C853" s="140" t="s">
        <v>1744</v>
      </c>
      <c r="D853" s="140" t="s">
        <v>3551</v>
      </c>
      <c r="E853" s="140" t="s">
        <v>36</v>
      </c>
      <c r="F853" s="140" t="s">
        <v>36</v>
      </c>
      <c r="G853" s="140"/>
      <c r="H853" s="140"/>
      <c r="I853" s="141">
        <v>42242</v>
      </c>
      <c r="J853" s="140" t="s">
        <v>36</v>
      </c>
      <c r="K853" s="140" t="s">
        <v>154</v>
      </c>
      <c r="L853" s="140" t="s">
        <v>2566</v>
      </c>
      <c r="M853" s="140" t="s">
        <v>2567</v>
      </c>
      <c r="N853" s="140" t="s">
        <v>2668</v>
      </c>
      <c r="O853" s="140" t="s">
        <v>2600</v>
      </c>
      <c r="P853" s="140" t="s">
        <v>2735</v>
      </c>
      <c r="Q853" s="140" t="s">
        <v>3504</v>
      </c>
      <c r="R853" s="140" t="s">
        <v>2713</v>
      </c>
      <c r="S853" s="140">
        <v>4.1099999999999998E-2</v>
      </c>
      <c r="T853" s="140">
        <v>3.5361290322580646E-2</v>
      </c>
      <c r="U853" s="140">
        <f t="shared" si="38"/>
        <v>5.7387096774193513E-3</v>
      </c>
      <c r="V853" s="140">
        <v>2.3570000000000002</v>
      </c>
      <c r="W853" s="140">
        <f>5.248+4.618</f>
        <v>9.8659999999999997</v>
      </c>
      <c r="X853" s="149">
        <f t="shared" si="37"/>
        <v>23.254162000000001</v>
      </c>
      <c r="Y853" s="149"/>
    </row>
    <row r="854" spans="1:25" ht="16">
      <c r="A854" s="149" t="s">
        <v>12</v>
      </c>
      <c r="B854" s="139" t="s">
        <v>3450</v>
      </c>
      <c r="C854" s="140" t="s">
        <v>1744</v>
      </c>
      <c r="D854" s="140" t="s">
        <v>3551</v>
      </c>
      <c r="E854" s="140" t="s">
        <v>36</v>
      </c>
      <c r="F854" s="140" t="s">
        <v>36</v>
      </c>
      <c r="G854" s="140"/>
      <c r="H854" s="140"/>
      <c r="I854" s="141">
        <v>42243</v>
      </c>
      <c r="J854" s="140" t="s">
        <v>36</v>
      </c>
      <c r="K854" s="140" t="s">
        <v>154</v>
      </c>
      <c r="L854" s="140" t="s">
        <v>2566</v>
      </c>
      <c r="M854" s="140" t="s">
        <v>2567</v>
      </c>
      <c r="N854" s="140" t="s">
        <v>2668</v>
      </c>
      <c r="O854" s="140" t="s">
        <v>2600</v>
      </c>
      <c r="P854" s="140" t="s">
        <v>2735</v>
      </c>
      <c r="Q854" s="140" t="s">
        <v>3504</v>
      </c>
      <c r="R854" s="140" t="s">
        <v>2713</v>
      </c>
      <c r="S854" s="140">
        <v>4.0800000000000003E-2</v>
      </c>
      <c r="T854" s="140">
        <v>3.5361290322580646E-2</v>
      </c>
      <c r="U854" s="140">
        <f t="shared" si="38"/>
        <v>5.4387096774193566E-3</v>
      </c>
      <c r="V854" s="140">
        <v>2.274</v>
      </c>
      <c r="W854" s="140">
        <f>5.97+5.003</f>
        <v>10.972999999999999</v>
      </c>
      <c r="X854" s="149">
        <f t="shared" si="37"/>
        <v>24.952601999999999</v>
      </c>
      <c r="Y854" s="149"/>
    </row>
    <row r="855" spans="1:25" ht="16">
      <c r="A855" s="149" t="s">
        <v>12</v>
      </c>
      <c r="B855" s="139" t="s">
        <v>3451</v>
      </c>
      <c r="C855" s="140" t="s">
        <v>1744</v>
      </c>
      <c r="D855" s="140" t="s">
        <v>3551</v>
      </c>
      <c r="E855" s="140" t="s">
        <v>3502</v>
      </c>
      <c r="F855" s="140" t="s">
        <v>36</v>
      </c>
      <c r="G855" s="140"/>
      <c r="H855" s="140"/>
      <c r="I855" s="141">
        <v>42244</v>
      </c>
      <c r="J855" s="140" t="s">
        <v>36</v>
      </c>
      <c r="K855" s="140" t="s">
        <v>154</v>
      </c>
      <c r="L855" s="140" t="s">
        <v>2566</v>
      </c>
      <c r="M855" s="140" t="s">
        <v>2567</v>
      </c>
      <c r="N855" s="140" t="s">
        <v>2668</v>
      </c>
      <c r="O855" s="140" t="s">
        <v>2600</v>
      </c>
      <c r="P855" s="140" t="s">
        <v>2735</v>
      </c>
      <c r="Q855" s="140" t="s">
        <v>3504</v>
      </c>
      <c r="R855" s="140" t="s">
        <v>2713</v>
      </c>
      <c r="S855" s="140">
        <v>4.07E-2</v>
      </c>
      <c r="T855" s="140">
        <v>3.5361290322580646E-2</v>
      </c>
      <c r="U855" s="140">
        <f t="shared" si="38"/>
        <v>5.3387096774193538E-3</v>
      </c>
      <c r="V855" s="140">
        <v>2.2349999999999999</v>
      </c>
      <c r="W855" s="140">
        <f>4.813+4.947</f>
        <v>9.76</v>
      </c>
      <c r="X855" s="149">
        <f t="shared" si="37"/>
        <v>21.813599999999997</v>
      </c>
      <c r="Y855" s="149"/>
    </row>
    <row r="856" spans="1:25" ht="16">
      <c r="A856" s="149" t="s">
        <v>12</v>
      </c>
      <c r="B856" s="139" t="s">
        <v>3452</v>
      </c>
      <c r="C856" s="140" t="s">
        <v>1744</v>
      </c>
      <c r="D856" s="140" t="s">
        <v>3551</v>
      </c>
      <c r="E856" s="140" t="s">
        <v>3506</v>
      </c>
      <c r="F856" s="140">
        <v>343</v>
      </c>
      <c r="G856" s="140"/>
      <c r="H856" s="140"/>
      <c r="I856" s="141">
        <v>42245</v>
      </c>
      <c r="J856" s="140" t="s">
        <v>36</v>
      </c>
      <c r="K856" s="140" t="s">
        <v>154</v>
      </c>
      <c r="L856" s="140" t="s">
        <v>2566</v>
      </c>
      <c r="M856" s="140" t="s">
        <v>2567</v>
      </c>
      <c r="N856" s="140" t="s">
        <v>2668</v>
      </c>
      <c r="O856" s="140" t="s">
        <v>2600</v>
      </c>
      <c r="P856" s="140" t="s">
        <v>2735</v>
      </c>
      <c r="Q856" s="140" t="s">
        <v>3504</v>
      </c>
      <c r="R856" s="140" t="s">
        <v>2713</v>
      </c>
      <c r="S856" s="140">
        <v>4.0500000000000001E-2</v>
      </c>
      <c r="T856" s="140">
        <v>3.5361290322580646E-2</v>
      </c>
      <c r="U856" s="140">
        <f t="shared" si="38"/>
        <v>5.138709677419355E-3</v>
      </c>
      <c r="V856" s="140">
        <v>2.4060000000000001</v>
      </c>
      <c r="W856" s="140">
        <f>5.076+5.521</f>
        <v>10.597</v>
      </c>
      <c r="X856" s="149">
        <f t="shared" si="37"/>
        <v>25.496382000000001</v>
      </c>
      <c r="Y856" s="149"/>
    </row>
    <row r="857" spans="1:25" ht="16">
      <c r="A857" s="149" t="s">
        <v>12</v>
      </c>
      <c r="B857" s="139" t="s">
        <v>3453</v>
      </c>
      <c r="C857" s="140" t="s">
        <v>1744</v>
      </c>
      <c r="D857" s="140" t="s">
        <v>3551</v>
      </c>
      <c r="E857" s="140" t="s">
        <v>3507</v>
      </c>
      <c r="F857" s="140" t="s">
        <v>36</v>
      </c>
      <c r="G857" s="140"/>
      <c r="H857" s="140"/>
      <c r="I857" s="141">
        <v>42246</v>
      </c>
      <c r="J857" s="140" t="s">
        <v>36</v>
      </c>
      <c r="K857" s="140" t="s">
        <v>154</v>
      </c>
      <c r="L857" s="140" t="s">
        <v>2566</v>
      </c>
      <c r="M857" s="140" t="s">
        <v>2567</v>
      </c>
      <c r="N857" s="140" t="s">
        <v>2668</v>
      </c>
      <c r="O857" s="140" t="s">
        <v>2600</v>
      </c>
      <c r="P857" s="140" t="s">
        <v>2735</v>
      </c>
      <c r="Q857" s="140" t="s">
        <v>3504</v>
      </c>
      <c r="R857" s="140" t="s">
        <v>2713</v>
      </c>
      <c r="S857" s="140">
        <v>4.0899999999999999E-2</v>
      </c>
      <c r="T857" s="140">
        <v>3.5361290322580646E-2</v>
      </c>
      <c r="U857" s="140">
        <f t="shared" si="38"/>
        <v>5.5387096774193526E-3</v>
      </c>
      <c r="V857" s="140">
        <v>2.4049999999999998</v>
      </c>
      <c r="W857" s="140">
        <f>5.397+4.361</f>
        <v>9.7579999999999991</v>
      </c>
      <c r="X857" s="149">
        <f t="shared" si="37"/>
        <v>23.467989999999997</v>
      </c>
      <c r="Y857" s="149"/>
    </row>
    <row r="858" spans="1:25" ht="16">
      <c r="A858" s="149" t="s">
        <v>12</v>
      </c>
      <c r="B858" s="139" t="s">
        <v>3454</v>
      </c>
      <c r="C858" s="140" t="s">
        <v>1744</v>
      </c>
      <c r="D858" s="140" t="s">
        <v>3551</v>
      </c>
      <c r="E858" s="140" t="s">
        <v>3417</v>
      </c>
      <c r="F858" s="140">
        <v>17</v>
      </c>
      <c r="G858" s="140"/>
      <c r="H858" s="140"/>
      <c r="I858" s="141">
        <v>42247</v>
      </c>
      <c r="J858" s="140" t="s">
        <v>36</v>
      </c>
      <c r="K858" s="140" t="s">
        <v>154</v>
      </c>
      <c r="L858" s="140" t="s">
        <v>2566</v>
      </c>
      <c r="M858" s="140" t="s">
        <v>2567</v>
      </c>
      <c r="N858" s="140" t="s">
        <v>2668</v>
      </c>
      <c r="O858" s="140" t="s">
        <v>2600</v>
      </c>
      <c r="P858" s="140" t="s">
        <v>2735</v>
      </c>
      <c r="Q858" s="140" t="s">
        <v>3508</v>
      </c>
      <c r="R858" s="140" t="s">
        <v>2713</v>
      </c>
      <c r="S858" s="140">
        <v>4.2599999999999999E-2</v>
      </c>
      <c r="T858" s="140">
        <v>3.5361290322580646E-2</v>
      </c>
      <c r="U858" s="140">
        <f t="shared" si="38"/>
        <v>7.2387096774193527E-3</v>
      </c>
      <c r="V858" s="140">
        <v>2.8370000000000002</v>
      </c>
      <c r="W858" s="140">
        <f>6.204+6.797</f>
        <v>13.000999999999999</v>
      </c>
      <c r="X858" s="149">
        <f t="shared" si="37"/>
        <v>36.883837</v>
      </c>
      <c r="Y858" s="149"/>
    </row>
    <row r="859" spans="1:25" ht="16">
      <c r="A859" s="149" t="s">
        <v>12</v>
      </c>
      <c r="B859" s="139" t="s">
        <v>3455</v>
      </c>
      <c r="C859" s="140" t="s">
        <v>1744</v>
      </c>
      <c r="D859" s="140" t="s">
        <v>3551</v>
      </c>
      <c r="E859" s="140" t="s">
        <v>3509</v>
      </c>
      <c r="F859" s="140" t="s">
        <v>36</v>
      </c>
      <c r="G859" s="140"/>
      <c r="H859" s="140"/>
      <c r="I859" s="141">
        <v>42248</v>
      </c>
      <c r="J859" s="140" t="s">
        <v>36</v>
      </c>
      <c r="K859" s="140" t="s">
        <v>154</v>
      </c>
      <c r="L859" s="140" t="s">
        <v>2566</v>
      </c>
      <c r="M859" s="140" t="s">
        <v>2567</v>
      </c>
      <c r="N859" s="140" t="s">
        <v>2668</v>
      </c>
      <c r="O859" s="140" t="s">
        <v>2600</v>
      </c>
      <c r="P859" s="140" t="s">
        <v>2735</v>
      </c>
      <c r="Q859" s="140" t="s">
        <v>3508</v>
      </c>
      <c r="R859" s="140" t="s">
        <v>2713</v>
      </c>
      <c r="S859" s="140">
        <v>4.2999999999999997E-2</v>
      </c>
      <c r="T859" s="140">
        <v>3.5361290322580646E-2</v>
      </c>
      <c r="U859" s="140">
        <f t="shared" si="38"/>
        <v>7.6387096774193503E-3</v>
      </c>
      <c r="V859" s="140">
        <v>2.7040000000000002</v>
      </c>
      <c r="W859" s="140">
        <f>5.864+5.454</f>
        <v>11.318</v>
      </c>
      <c r="X859" s="149">
        <f t="shared" si="37"/>
        <v>30.603872000000003</v>
      </c>
      <c r="Y859" s="149"/>
    </row>
    <row r="860" spans="1:25" ht="16">
      <c r="A860" s="149" t="s">
        <v>12</v>
      </c>
      <c r="B860" s="139" t="s">
        <v>3456</v>
      </c>
      <c r="C860" s="140" t="s">
        <v>1744</v>
      </c>
      <c r="D860" s="140" t="s">
        <v>3551</v>
      </c>
      <c r="E860" s="140" t="s">
        <v>3510</v>
      </c>
      <c r="F860" s="140">
        <v>634</v>
      </c>
      <c r="G860" s="140"/>
      <c r="H860" s="140"/>
      <c r="I860" s="141">
        <v>42249</v>
      </c>
      <c r="J860" s="140" t="s">
        <v>36</v>
      </c>
      <c r="K860" s="140" t="s">
        <v>154</v>
      </c>
      <c r="L860" s="140" t="s">
        <v>2566</v>
      </c>
      <c r="M860" s="140" t="s">
        <v>2567</v>
      </c>
      <c r="N860" s="140" t="s">
        <v>2668</v>
      </c>
      <c r="O860" s="140" t="s">
        <v>2600</v>
      </c>
      <c r="P860" s="140" t="s">
        <v>2735</v>
      </c>
      <c r="Q860" s="140" t="s">
        <v>3508</v>
      </c>
      <c r="R860" s="140" t="s">
        <v>2713</v>
      </c>
      <c r="S860" s="140">
        <v>4.3299999999999998E-2</v>
      </c>
      <c r="T860" s="140">
        <v>3.5361290322580646E-2</v>
      </c>
      <c r="U860" s="140">
        <f t="shared" si="38"/>
        <v>7.9387096774193519E-3</v>
      </c>
      <c r="V860" s="140">
        <v>2.8029999999999999</v>
      </c>
      <c r="W860" s="140">
        <f>5.885+6.937</f>
        <v>12.821999999999999</v>
      </c>
      <c r="X860" s="149">
        <f t="shared" si="37"/>
        <v>35.940065999999995</v>
      </c>
      <c r="Y860" s="149"/>
    </row>
    <row r="861" spans="1:25" ht="16">
      <c r="A861" s="149" t="s">
        <v>12</v>
      </c>
      <c r="B861" s="139" t="s">
        <v>3457</v>
      </c>
      <c r="C861" s="140" t="s">
        <v>1744</v>
      </c>
      <c r="D861" s="140" t="s">
        <v>3551</v>
      </c>
      <c r="E861" s="140" t="s">
        <v>3511</v>
      </c>
      <c r="F861" s="140">
        <v>640</v>
      </c>
      <c r="G861" s="140"/>
      <c r="H861" s="140"/>
      <c r="I861" s="141">
        <v>42250</v>
      </c>
      <c r="J861" s="140" t="s">
        <v>36</v>
      </c>
      <c r="K861" s="140" t="s">
        <v>154</v>
      </c>
      <c r="L861" s="140" t="s">
        <v>2566</v>
      </c>
      <c r="M861" s="140" t="s">
        <v>2567</v>
      </c>
      <c r="N861" s="140" t="s">
        <v>2668</v>
      </c>
      <c r="O861" s="140" t="s">
        <v>2600</v>
      </c>
      <c r="P861" s="140" t="s">
        <v>2735</v>
      </c>
      <c r="Q861" s="140" t="s">
        <v>3508</v>
      </c>
      <c r="R861" s="140" t="s">
        <v>2713</v>
      </c>
      <c r="S861" s="140">
        <v>4.2700000000000002E-2</v>
      </c>
      <c r="T861" s="140">
        <v>3.5361290322580646E-2</v>
      </c>
      <c r="U861" s="140">
        <f t="shared" si="38"/>
        <v>7.3387096774193555E-3</v>
      </c>
      <c r="V861" s="140">
        <v>2.8</v>
      </c>
      <c r="W861" s="140">
        <f>6.89+6.008</f>
        <v>12.898</v>
      </c>
      <c r="X861" s="149">
        <f t="shared" si="37"/>
        <v>36.114399999999996</v>
      </c>
      <c r="Y861" s="149"/>
    </row>
    <row r="862" spans="1:25" ht="16">
      <c r="A862" s="149" t="s">
        <v>12</v>
      </c>
      <c r="B862" s="139" t="s">
        <v>3458</v>
      </c>
      <c r="C862" s="140" t="s">
        <v>1744</v>
      </c>
      <c r="D862" s="140" t="s">
        <v>3551</v>
      </c>
      <c r="E862" s="140" t="s">
        <v>3512</v>
      </c>
      <c r="F862" s="140">
        <v>246</v>
      </c>
      <c r="G862" s="140"/>
      <c r="H862" s="140"/>
      <c r="I862" s="141">
        <v>42251</v>
      </c>
      <c r="J862" s="140" t="s">
        <v>36</v>
      </c>
      <c r="K862" s="140" t="s">
        <v>154</v>
      </c>
      <c r="L862" s="140" t="s">
        <v>2566</v>
      </c>
      <c r="M862" s="140" t="s">
        <v>2567</v>
      </c>
      <c r="N862" s="140" t="s">
        <v>2668</v>
      </c>
      <c r="O862" s="140" t="s">
        <v>2600</v>
      </c>
      <c r="P862" s="140" t="s">
        <v>2735</v>
      </c>
      <c r="Q862" s="140" t="s">
        <v>3508</v>
      </c>
      <c r="R862" s="140" t="s">
        <v>2713</v>
      </c>
      <c r="S862" s="140">
        <v>4.1500000000000002E-2</v>
      </c>
      <c r="T862" s="140">
        <v>3.5361290322580646E-2</v>
      </c>
      <c r="U862" s="140">
        <f t="shared" si="38"/>
        <v>6.1387096774193559E-3</v>
      </c>
      <c r="V862" s="140">
        <v>2.5830000000000002</v>
      </c>
      <c r="W862" s="140">
        <v>12.167</v>
      </c>
      <c r="X862" s="149">
        <f t="shared" si="37"/>
        <v>31.427361000000001</v>
      </c>
      <c r="Y862" s="149"/>
    </row>
    <row r="863" spans="1:25" ht="16">
      <c r="A863" s="149" t="s">
        <v>12</v>
      </c>
      <c r="B863" s="139" t="s">
        <v>3459</v>
      </c>
      <c r="C863" s="140" t="s">
        <v>1744</v>
      </c>
      <c r="D863" s="140" t="s">
        <v>3551</v>
      </c>
      <c r="E863" s="140" t="s">
        <v>3509</v>
      </c>
      <c r="F863" s="140" t="s">
        <v>36</v>
      </c>
      <c r="G863" s="140"/>
      <c r="H863" s="140"/>
      <c r="I863" s="141">
        <v>42252</v>
      </c>
      <c r="J863" s="140" t="s">
        <v>36</v>
      </c>
      <c r="K863" s="140" t="s">
        <v>154</v>
      </c>
      <c r="L863" s="140" t="s">
        <v>2566</v>
      </c>
      <c r="M863" s="140" t="s">
        <v>2567</v>
      </c>
      <c r="N863" s="140" t="s">
        <v>2668</v>
      </c>
      <c r="O863" s="140" t="s">
        <v>2600</v>
      </c>
      <c r="P863" s="140" t="s">
        <v>2735</v>
      </c>
      <c r="Q863" s="140" t="s">
        <v>3508</v>
      </c>
      <c r="R863" s="140" t="s">
        <v>2713</v>
      </c>
      <c r="S863" s="140">
        <v>4.2999999999999997E-2</v>
      </c>
      <c r="T863" s="140">
        <v>3.5361290322580646E-2</v>
      </c>
      <c r="U863" s="140">
        <f t="shared" si="38"/>
        <v>7.6387096774193503E-3</v>
      </c>
      <c r="V863" s="140">
        <v>2.8079999999999998</v>
      </c>
      <c r="W863" s="140">
        <f>7.181+6.422</f>
        <v>13.603</v>
      </c>
      <c r="X863" s="149">
        <f t="shared" si="37"/>
        <v>38.197223999999999</v>
      </c>
      <c r="Y863" s="149"/>
    </row>
    <row r="864" spans="1:25" ht="16">
      <c r="A864" s="149" t="s">
        <v>12</v>
      </c>
      <c r="B864" s="139" t="s">
        <v>3460</v>
      </c>
      <c r="C864" s="140" t="s">
        <v>1744</v>
      </c>
      <c r="D864" s="140" t="s">
        <v>3551</v>
      </c>
      <c r="E864" s="140" t="s">
        <v>3421</v>
      </c>
      <c r="F864" s="140">
        <v>530</v>
      </c>
      <c r="G864" s="140"/>
      <c r="H864" s="140"/>
      <c r="I864" s="141">
        <v>42253</v>
      </c>
      <c r="J864" s="140" t="s">
        <v>36</v>
      </c>
      <c r="K864" s="140" t="s">
        <v>154</v>
      </c>
      <c r="L864" s="140" t="s">
        <v>2566</v>
      </c>
      <c r="M864" s="140" t="s">
        <v>2567</v>
      </c>
      <c r="N864" s="140" t="s">
        <v>2668</v>
      </c>
      <c r="O864" s="140" t="s">
        <v>2600</v>
      </c>
      <c r="P864" s="140" t="s">
        <v>2735</v>
      </c>
      <c r="Q864" s="140" t="s">
        <v>3508</v>
      </c>
      <c r="R864" s="140" t="s">
        <v>2713</v>
      </c>
      <c r="S864" s="140">
        <v>4.2299999999999997E-2</v>
      </c>
      <c r="T864" s="140">
        <v>3.5361290322580646E-2</v>
      </c>
      <c r="U864" s="140">
        <f t="shared" si="38"/>
        <v>6.938709677419351E-3</v>
      </c>
      <c r="V864" s="140">
        <v>2.871</v>
      </c>
      <c r="W864" s="140">
        <f>5.986+6.949</f>
        <v>12.934999999999999</v>
      </c>
      <c r="X864" s="149">
        <f t="shared" si="37"/>
        <v>37.136384999999997</v>
      </c>
      <c r="Y864" s="149"/>
    </row>
    <row r="865" spans="1:25" ht="16">
      <c r="A865" s="149" t="s">
        <v>12</v>
      </c>
      <c r="B865" s="139" t="s">
        <v>3461</v>
      </c>
      <c r="C865" s="140" t="s">
        <v>1744</v>
      </c>
      <c r="D865" s="140" t="s">
        <v>3551</v>
      </c>
      <c r="E865" s="140" t="s">
        <v>3513</v>
      </c>
      <c r="F865" s="140" t="s">
        <v>36</v>
      </c>
      <c r="G865" s="140"/>
      <c r="H865" s="140"/>
      <c r="I865" s="141">
        <v>42254</v>
      </c>
      <c r="J865" s="140" t="s">
        <v>36</v>
      </c>
      <c r="K865" s="140" t="s">
        <v>154</v>
      </c>
      <c r="L865" s="140" t="s">
        <v>2566</v>
      </c>
      <c r="M865" s="140" t="s">
        <v>2567</v>
      </c>
      <c r="N865" s="140" t="s">
        <v>2668</v>
      </c>
      <c r="O865" s="140" t="s">
        <v>2600</v>
      </c>
      <c r="P865" s="140" t="s">
        <v>2735</v>
      </c>
      <c r="Q865" s="140" t="s">
        <v>3508</v>
      </c>
      <c r="R865" s="140" t="s">
        <v>2713</v>
      </c>
      <c r="S865" s="140">
        <v>4.2700000000000002E-2</v>
      </c>
      <c r="T865" s="140">
        <v>3.5361290322580646E-2</v>
      </c>
      <c r="U865" s="140">
        <f t="shared" si="38"/>
        <v>7.3387096774193555E-3</v>
      </c>
      <c r="V865" s="140">
        <v>2.7240000000000002</v>
      </c>
      <c r="W865" s="140">
        <f>7.232+5.695</f>
        <v>12.927</v>
      </c>
      <c r="X865" s="149">
        <f t="shared" si="37"/>
        <v>35.213148000000004</v>
      </c>
      <c r="Y865" s="149"/>
    </row>
    <row r="866" spans="1:25" ht="16">
      <c r="A866" s="149" t="s">
        <v>12</v>
      </c>
      <c r="B866" s="139" t="s">
        <v>3462</v>
      </c>
      <c r="C866" s="140" t="s">
        <v>1744</v>
      </c>
      <c r="D866" s="140" t="s">
        <v>3551</v>
      </c>
      <c r="E866" s="140" t="s">
        <v>3509</v>
      </c>
      <c r="F866" s="140" t="s">
        <v>36</v>
      </c>
      <c r="G866" s="140"/>
      <c r="H866" s="140"/>
      <c r="I866" s="141">
        <v>42255</v>
      </c>
      <c r="J866" s="140" t="s">
        <v>36</v>
      </c>
      <c r="K866" s="140" t="s">
        <v>154</v>
      </c>
      <c r="L866" s="140" t="s">
        <v>2566</v>
      </c>
      <c r="M866" s="140" t="s">
        <v>2567</v>
      </c>
      <c r="N866" s="140" t="s">
        <v>2668</v>
      </c>
      <c r="O866" s="140" t="s">
        <v>2600</v>
      </c>
      <c r="P866" s="140" t="s">
        <v>2735</v>
      </c>
      <c r="Q866" s="140" t="s">
        <v>3508</v>
      </c>
      <c r="R866" s="140" t="s">
        <v>2713</v>
      </c>
      <c r="S866" s="140">
        <v>4.24E-2</v>
      </c>
      <c r="T866" s="140">
        <v>3.5361290322580646E-2</v>
      </c>
      <c r="U866" s="140">
        <f t="shared" si="38"/>
        <v>7.0387096774193539E-3</v>
      </c>
      <c r="V866" s="140">
        <v>2.6629999999999998</v>
      </c>
      <c r="W866" s="140">
        <f>6.045+6.424</f>
        <v>12.469000000000001</v>
      </c>
      <c r="X866" s="149">
        <f t="shared" si="37"/>
        <v>33.204947000000004</v>
      </c>
      <c r="Y866" s="149"/>
    </row>
    <row r="867" spans="1:25" ht="16">
      <c r="A867" s="149" t="s">
        <v>12</v>
      </c>
      <c r="B867" s="139" t="s">
        <v>3463</v>
      </c>
      <c r="C867" s="140" t="s">
        <v>1744</v>
      </c>
      <c r="D867" s="140" t="s">
        <v>3551</v>
      </c>
      <c r="E867" s="140" t="s">
        <v>3514</v>
      </c>
      <c r="F867" s="140" t="s">
        <v>36</v>
      </c>
      <c r="G867" s="140"/>
      <c r="H867" s="140"/>
      <c r="I867" s="141">
        <v>42256</v>
      </c>
      <c r="J867" s="140" t="s">
        <v>36</v>
      </c>
      <c r="K867" s="140" t="s">
        <v>154</v>
      </c>
      <c r="L867" s="140" t="s">
        <v>2566</v>
      </c>
      <c r="M867" s="140" t="s">
        <v>2567</v>
      </c>
      <c r="N867" s="140" t="s">
        <v>2668</v>
      </c>
      <c r="O867" s="140" t="s">
        <v>2600</v>
      </c>
      <c r="P867" s="140" t="s">
        <v>2735</v>
      </c>
      <c r="Q867" s="140" t="s">
        <v>3508</v>
      </c>
      <c r="R867" s="140" t="s">
        <v>2713</v>
      </c>
      <c r="S867" s="140">
        <v>4.2299999999999997E-2</v>
      </c>
      <c r="T867" s="140">
        <v>3.5361290322580646E-2</v>
      </c>
      <c r="U867" s="140">
        <f t="shared" si="38"/>
        <v>6.938709677419351E-3</v>
      </c>
      <c r="V867" s="140">
        <v>2.5099999999999998</v>
      </c>
      <c r="W867" s="140">
        <f>5.636+6.558</f>
        <v>12.193999999999999</v>
      </c>
      <c r="X867" s="149">
        <f t="shared" si="37"/>
        <v>30.606939999999994</v>
      </c>
      <c r="Y867" s="149"/>
    </row>
    <row r="868" spans="1:25" ht="16">
      <c r="A868" s="149" t="s">
        <v>12</v>
      </c>
      <c r="B868" s="139" t="s">
        <v>3464</v>
      </c>
      <c r="C868" s="140" t="s">
        <v>1744</v>
      </c>
      <c r="D868" s="140" t="s">
        <v>3551</v>
      </c>
      <c r="E868" s="140" t="s">
        <v>3515</v>
      </c>
      <c r="F868" s="140" t="s">
        <v>36</v>
      </c>
      <c r="G868" s="140"/>
      <c r="H868" s="140"/>
      <c r="I868" s="141">
        <v>42257</v>
      </c>
      <c r="J868" s="140" t="s">
        <v>36</v>
      </c>
      <c r="K868" s="140" t="s">
        <v>154</v>
      </c>
      <c r="L868" s="140" t="s">
        <v>2566</v>
      </c>
      <c r="M868" s="140" t="s">
        <v>2567</v>
      </c>
      <c r="N868" s="140" t="s">
        <v>2668</v>
      </c>
      <c r="O868" s="140" t="s">
        <v>2600</v>
      </c>
      <c r="P868" s="140" t="s">
        <v>2735</v>
      </c>
      <c r="Q868" s="140" t="s">
        <v>3508</v>
      </c>
      <c r="R868" s="140" t="s">
        <v>2712</v>
      </c>
      <c r="S868" s="140">
        <v>3.8899999999999997E-2</v>
      </c>
      <c r="T868" s="140">
        <v>3.5361290322580646E-2</v>
      </c>
      <c r="U868" s="140">
        <f t="shared" si="38"/>
        <v>3.5387096774193508E-3</v>
      </c>
      <c r="V868" s="140">
        <v>2.085</v>
      </c>
      <c r="W868" s="140">
        <f>4.952+4.24</f>
        <v>9.1920000000000002</v>
      </c>
      <c r="X868" s="149">
        <f t="shared" si="37"/>
        <v>19.165320000000001</v>
      </c>
      <c r="Y868" s="149"/>
    </row>
    <row r="869" spans="1:25" ht="16">
      <c r="A869" s="149" t="s">
        <v>12</v>
      </c>
      <c r="B869" s="139" t="s">
        <v>3465</v>
      </c>
      <c r="C869" s="140" t="s">
        <v>1744</v>
      </c>
      <c r="D869" s="140" t="s">
        <v>3551</v>
      </c>
      <c r="E869" s="140" t="s">
        <v>3516</v>
      </c>
      <c r="F869" s="140" t="s">
        <v>36</v>
      </c>
      <c r="G869" s="140"/>
      <c r="H869" s="140"/>
      <c r="I869" s="141">
        <v>42258</v>
      </c>
      <c r="J869" s="140" t="s">
        <v>36</v>
      </c>
      <c r="K869" s="140" t="s">
        <v>154</v>
      </c>
      <c r="L869" s="140" t="s">
        <v>2566</v>
      </c>
      <c r="M869" s="140" t="s">
        <v>2567</v>
      </c>
      <c r="N869" s="140" t="s">
        <v>2668</v>
      </c>
      <c r="O869" s="140" t="s">
        <v>2600</v>
      </c>
      <c r="P869" s="140" t="s">
        <v>2735</v>
      </c>
      <c r="Q869" s="140" t="s">
        <v>3508</v>
      </c>
      <c r="R869" s="140" t="s">
        <v>2713</v>
      </c>
      <c r="S869" s="140">
        <v>3.8800000000000001E-2</v>
      </c>
      <c r="T869" s="140">
        <v>3.5361290322580646E-2</v>
      </c>
      <c r="U869" s="140">
        <f t="shared" si="38"/>
        <v>3.4387096774193548E-3</v>
      </c>
      <c r="V869" s="140">
        <v>2.165</v>
      </c>
      <c r="W869" s="140">
        <f>4.753+4.883</f>
        <v>9.6359999999999992</v>
      </c>
      <c r="X869" s="149">
        <f t="shared" si="37"/>
        <v>20.861939999999997</v>
      </c>
      <c r="Y869" s="149"/>
    </row>
    <row r="870" spans="1:25" ht="16">
      <c r="A870" s="149" t="s">
        <v>12</v>
      </c>
      <c r="B870" s="139" t="s">
        <v>3466</v>
      </c>
      <c r="C870" s="140" t="s">
        <v>1744</v>
      </c>
      <c r="D870" s="140" t="s">
        <v>3551</v>
      </c>
      <c r="E870" s="140" t="s">
        <v>3518</v>
      </c>
      <c r="F870" s="140" t="s">
        <v>36</v>
      </c>
      <c r="G870" s="140"/>
      <c r="H870" s="140"/>
      <c r="I870" s="141">
        <v>42259</v>
      </c>
      <c r="J870" s="140" t="s">
        <v>36</v>
      </c>
      <c r="K870" s="140" t="s">
        <v>154</v>
      </c>
      <c r="L870" s="140" t="s">
        <v>2566</v>
      </c>
      <c r="M870" s="140" t="s">
        <v>2567</v>
      </c>
      <c r="N870" s="140" t="s">
        <v>2668</v>
      </c>
      <c r="O870" s="140" t="s">
        <v>2600</v>
      </c>
      <c r="P870" s="140" t="s">
        <v>2735</v>
      </c>
      <c r="Q870" s="140" t="s">
        <v>3517</v>
      </c>
      <c r="R870" s="140" t="s">
        <v>2713</v>
      </c>
      <c r="S870" s="140">
        <v>3.8300000000000001E-2</v>
      </c>
      <c r="T870" s="140">
        <v>3.5361290322580646E-2</v>
      </c>
      <c r="U870" s="140">
        <f t="shared" si="38"/>
        <v>2.9387096774193544E-3</v>
      </c>
      <c r="V870" s="140">
        <v>2.2330000000000001</v>
      </c>
      <c r="W870" s="140">
        <f>4.562+5.741</f>
        <v>10.303000000000001</v>
      </c>
      <c r="X870" s="149">
        <f t="shared" si="37"/>
        <v>23.006599000000001</v>
      </c>
      <c r="Y870" s="149"/>
    </row>
    <row r="871" spans="1:25" ht="16">
      <c r="A871" s="149" t="s">
        <v>12</v>
      </c>
      <c r="B871" s="139" t="s">
        <v>3467</v>
      </c>
      <c r="C871" s="140" t="s">
        <v>1744</v>
      </c>
      <c r="D871" s="140" t="s">
        <v>3551</v>
      </c>
      <c r="E871" s="140" t="s">
        <v>3519</v>
      </c>
      <c r="F871" s="140" t="s">
        <v>36</v>
      </c>
      <c r="G871" s="140"/>
      <c r="H871" s="140"/>
      <c r="I871" s="141">
        <v>42260</v>
      </c>
      <c r="J871" s="140" t="s">
        <v>36</v>
      </c>
      <c r="K871" s="140" t="s">
        <v>154</v>
      </c>
      <c r="L871" s="140" t="s">
        <v>2566</v>
      </c>
      <c r="M871" s="140" t="s">
        <v>2567</v>
      </c>
      <c r="N871" s="140" t="s">
        <v>2668</v>
      </c>
      <c r="O871" s="140" t="s">
        <v>2600</v>
      </c>
      <c r="P871" s="140" t="s">
        <v>2735</v>
      </c>
      <c r="Q871" s="140" t="s">
        <v>3517</v>
      </c>
      <c r="R871" s="140" t="s">
        <v>2713</v>
      </c>
      <c r="S871" s="140">
        <v>3.9E-2</v>
      </c>
      <c r="T871" s="140">
        <v>3.5361290322580646E-2</v>
      </c>
      <c r="U871" s="140">
        <f t="shared" si="38"/>
        <v>3.6387096774193536E-3</v>
      </c>
      <c r="V871" s="140">
        <v>2.3079999999999998</v>
      </c>
      <c r="W871" s="140">
        <f>5.213+5.547</f>
        <v>10.76</v>
      </c>
      <c r="X871" s="149">
        <f t="shared" si="37"/>
        <v>24.834079999999997</v>
      </c>
      <c r="Y871" s="149"/>
    </row>
    <row r="872" spans="1:25" ht="16">
      <c r="A872" s="149" t="s">
        <v>12</v>
      </c>
      <c r="B872" s="139" t="s">
        <v>3468</v>
      </c>
      <c r="C872" s="140" t="s">
        <v>1744</v>
      </c>
      <c r="D872" s="140" t="s">
        <v>3551</v>
      </c>
      <c r="E872" s="140" t="s">
        <v>3520</v>
      </c>
      <c r="F872" s="140">
        <v>588</v>
      </c>
      <c r="G872" s="140"/>
      <c r="H872" s="140"/>
      <c r="I872" s="141">
        <v>42261</v>
      </c>
      <c r="J872" s="140" t="s">
        <v>36</v>
      </c>
      <c r="K872" s="140" t="s">
        <v>154</v>
      </c>
      <c r="L872" s="140" t="s">
        <v>2566</v>
      </c>
      <c r="M872" s="140" t="s">
        <v>2567</v>
      </c>
      <c r="N872" s="140" t="s">
        <v>2668</v>
      </c>
      <c r="O872" s="140" t="s">
        <v>2600</v>
      </c>
      <c r="P872" s="140" t="s">
        <v>2735</v>
      </c>
      <c r="Q872" s="140" t="s">
        <v>3517</v>
      </c>
      <c r="R872" s="140" t="s">
        <v>2713</v>
      </c>
      <c r="S872" s="140">
        <v>4.2299999999999997E-2</v>
      </c>
      <c r="T872" s="140">
        <v>3.5361290322580646E-2</v>
      </c>
      <c r="U872" s="140">
        <f t="shared" si="38"/>
        <v>6.938709677419351E-3</v>
      </c>
      <c r="V872" s="140">
        <v>2.95</v>
      </c>
      <c r="W872" s="140">
        <f>5.599+5.354</f>
        <v>10.952999999999999</v>
      </c>
      <c r="X872" s="149">
        <f t="shared" si="37"/>
        <v>32.311349999999997</v>
      </c>
      <c r="Y872" s="149"/>
    </row>
    <row r="873" spans="1:25" ht="16">
      <c r="A873" s="149" t="s">
        <v>12</v>
      </c>
      <c r="B873" s="139" t="s">
        <v>3469</v>
      </c>
      <c r="C873" s="140" t="s">
        <v>1744</v>
      </c>
      <c r="D873" s="140" t="s">
        <v>3551</v>
      </c>
      <c r="E873" s="140" t="s">
        <v>3521</v>
      </c>
      <c r="F873" s="140">
        <v>158</v>
      </c>
      <c r="G873" s="140"/>
      <c r="H873" s="140"/>
      <c r="I873" s="141">
        <v>42262</v>
      </c>
      <c r="J873" s="140" t="s">
        <v>36</v>
      </c>
      <c r="K873" s="140" t="s">
        <v>154</v>
      </c>
      <c r="L873" s="140" t="s">
        <v>2566</v>
      </c>
      <c r="M873" s="140" t="s">
        <v>2567</v>
      </c>
      <c r="N873" s="140" t="s">
        <v>2668</v>
      </c>
      <c r="O873" s="140" t="s">
        <v>2600</v>
      </c>
      <c r="P873" s="140" t="s">
        <v>2735</v>
      </c>
      <c r="Q873" s="140" t="s">
        <v>3517</v>
      </c>
      <c r="R873" s="140" t="s">
        <v>2713</v>
      </c>
      <c r="S873" s="140">
        <v>3.9699999999999999E-2</v>
      </c>
      <c r="T873" s="140">
        <v>3.5361290322580646E-2</v>
      </c>
      <c r="U873" s="140">
        <f t="shared" si="38"/>
        <v>4.3387096774193529E-3</v>
      </c>
      <c r="V873" s="140">
        <v>2.3380000000000001</v>
      </c>
      <c r="W873" s="140">
        <f>5.227+6.091</f>
        <v>11.318000000000001</v>
      </c>
      <c r="X873" s="149">
        <f t="shared" si="37"/>
        <v>26.461484000000006</v>
      </c>
      <c r="Y873" s="149"/>
    </row>
    <row r="874" spans="1:25" ht="16">
      <c r="A874" s="149" t="s">
        <v>12</v>
      </c>
      <c r="B874" s="139" t="s">
        <v>3470</v>
      </c>
      <c r="C874" s="140" t="s">
        <v>1744</v>
      </c>
      <c r="D874" s="140" t="s">
        <v>3551</v>
      </c>
      <c r="E874" s="140" t="s">
        <v>3522</v>
      </c>
      <c r="F874" s="140">
        <v>477</v>
      </c>
      <c r="G874" s="140"/>
      <c r="H874" s="140"/>
      <c r="I874" s="141">
        <v>42263</v>
      </c>
      <c r="J874" s="140" t="s">
        <v>36</v>
      </c>
      <c r="K874" s="140" t="s">
        <v>154</v>
      </c>
      <c r="L874" s="140" t="s">
        <v>2566</v>
      </c>
      <c r="M874" s="140" t="s">
        <v>2567</v>
      </c>
      <c r="N874" s="140" t="s">
        <v>2668</v>
      </c>
      <c r="O874" s="140" t="s">
        <v>2600</v>
      </c>
      <c r="P874" s="140" t="s">
        <v>2735</v>
      </c>
      <c r="Q874" s="140" t="s">
        <v>3517</v>
      </c>
      <c r="R874" s="140" t="s">
        <v>2713</v>
      </c>
      <c r="S874" s="140">
        <v>3.9199999999999999E-2</v>
      </c>
      <c r="T874" s="140">
        <v>3.5361290322580646E-2</v>
      </c>
      <c r="U874" s="140">
        <f t="shared" si="38"/>
        <v>3.8387096774193524E-3</v>
      </c>
      <c r="V874" s="140">
        <v>2.411</v>
      </c>
      <c r="W874" s="140">
        <f>4.842+5.19</f>
        <v>10.032</v>
      </c>
      <c r="X874" s="149">
        <f t="shared" si="37"/>
        <v>24.187152000000001</v>
      </c>
      <c r="Y874" s="149"/>
    </row>
    <row r="875" spans="1:25" ht="16">
      <c r="A875" s="149" t="s">
        <v>12</v>
      </c>
      <c r="B875" s="139" t="s">
        <v>3471</v>
      </c>
      <c r="C875" s="140" t="s">
        <v>1744</v>
      </c>
      <c r="D875" s="140" t="s">
        <v>3551</v>
      </c>
      <c r="E875" s="140" t="s">
        <v>3522</v>
      </c>
      <c r="F875" s="140">
        <v>474</v>
      </c>
      <c r="G875" s="140"/>
      <c r="H875" s="140"/>
      <c r="I875" s="141">
        <v>42264</v>
      </c>
      <c r="J875" s="140" t="s">
        <v>36</v>
      </c>
      <c r="K875" s="140" t="s">
        <v>154</v>
      </c>
      <c r="L875" s="140" t="s">
        <v>2566</v>
      </c>
      <c r="M875" s="140" t="s">
        <v>2567</v>
      </c>
      <c r="N875" s="140" t="s">
        <v>2668</v>
      </c>
      <c r="O875" s="140" t="s">
        <v>2600</v>
      </c>
      <c r="P875" s="140" t="s">
        <v>2735</v>
      </c>
      <c r="Q875" s="140" t="s">
        <v>3517</v>
      </c>
      <c r="R875" s="140" t="s">
        <v>2713</v>
      </c>
      <c r="S875" s="140">
        <v>3.95E-2</v>
      </c>
      <c r="T875" s="140">
        <v>3.5361290322580646E-2</v>
      </c>
      <c r="U875" s="140">
        <f t="shared" si="38"/>
        <v>4.1387096774193541E-3</v>
      </c>
      <c r="V875" s="140">
        <v>2.387</v>
      </c>
      <c r="W875" s="140">
        <f>6.033+4.924</f>
        <v>10.957000000000001</v>
      </c>
      <c r="X875" s="149">
        <f t="shared" si="37"/>
        <v>26.154359000000003</v>
      </c>
      <c r="Y875" s="149"/>
    </row>
    <row r="876" spans="1:25" ht="16">
      <c r="A876" s="149" t="s">
        <v>12</v>
      </c>
      <c r="B876" s="139" t="s">
        <v>3472</v>
      </c>
      <c r="C876" s="140" t="s">
        <v>1744</v>
      </c>
      <c r="D876" s="140" t="s">
        <v>3551</v>
      </c>
      <c r="E876" s="140" t="s">
        <v>3523</v>
      </c>
      <c r="F876" s="140">
        <v>508</v>
      </c>
      <c r="G876" s="140"/>
      <c r="H876" s="140"/>
      <c r="I876" s="141">
        <v>42265</v>
      </c>
      <c r="J876" s="140" t="s">
        <v>36</v>
      </c>
      <c r="K876" s="140" t="s">
        <v>154</v>
      </c>
      <c r="L876" s="140" t="s">
        <v>2566</v>
      </c>
      <c r="M876" s="140" t="s">
        <v>2567</v>
      </c>
      <c r="N876" s="140" t="s">
        <v>2668</v>
      </c>
      <c r="O876" s="140" t="s">
        <v>2600</v>
      </c>
      <c r="P876" s="140" t="s">
        <v>2735</v>
      </c>
      <c r="Q876" s="140" t="s">
        <v>3517</v>
      </c>
      <c r="R876" s="140" t="s">
        <v>2713</v>
      </c>
      <c r="S876" s="140">
        <v>3.9199999999999999E-2</v>
      </c>
      <c r="T876" s="140">
        <v>3.5361290322580646E-2</v>
      </c>
      <c r="U876" s="140">
        <f t="shared" si="38"/>
        <v>3.8387096774193524E-3</v>
      </c>
      <c r="V876" s="140">
        <v>2.3119999999999998</v>
      </c>
      <c r="W876" s="140">
        <f>5.162+6.229</f>
        <v>11.391</v>
      </c>
      <c r="X876" s="149">
        <f t="shared" si="37"/>
        <v>26.335991999999997</v>
      </c>
      <c r="Y876" s="149"/>
    </row>
    <row r="877" spans="1:25" ht="16">
      <c r="A877" s="149" t="s">
        <v>12</v>
      </c>
      <c r="B877" s="139" t="s">
        <v>3473</v>
      </c>
      <c r="C877" s="140" t="s">
        <v>1744</v>
      </c>
      <c r="D877" s="140" t="s">
        <v>3551</v>
      </c>
      <c r="E877" s="140" t="s">
        <v>3524</v>
      </c>
      <c r="F877" s="140">
        <v>509</v>
      </c>
      <c r="G877" s="140"/>
      <c r="H877" s="140"/>
      <c r="I877" s="141">
        <v>42266</v>
      </c>
      <c r="J877" s="140" t="s">
        <v>36</v>
      </c>
      <c r="K877" s="140" t="s">
        <v>154</v>
      </c>
      <c r="L877" s="140" t="s">
        <v>2566</v>
      </c>
      <c r="M877" s="140" t="s">
        <v>2567</v>
      </c>
      <c r="N877" s="140" t="s">
        <v>2668</v>
      </c>
      <c r="O877" s="140" t="s">
        <v>2600</v>
      </c>
      <c r="P877" s="140" t="s">
        <v>2735</v>
      </c>
      <c r="Q877" s="140" t="s">
        <v>3517</v>
      </c>
      <c r="R877" s="140" t="s">
        <v>2713</v>
      </c>
      <c r="S877" s="140">
        <v>3.95E-2</v>
      </c>
      <c r="T877" s="140">
        <v>3.5361290322580646E-2</v>
      </c>
      <c r="U877" s="140">
        <f t="shared" si="38"/>
        <v>4.1387096774193541E-3</v>
      </c>
      <c r="V877" s="140">
        <v>2.2690000000000001</v>
      </c>
      <c r="W877" s="140">
        <f>4.775+6.259</f>
        <v>11.034000000000001</v>
      </c>
      <c r="X877" s="149">
        <f t="shared" si="37"/>
        <v>25.036146000000002</v>
      </c>
      <c r="Y877" s="149"/>
    </row>
    <row r="878" spans="1:25" ht="16">
      <c r="A878" s="149" t="s">
        <v>12</v>
      </c>
      <c r="B878" s="139" t="s">
        <v>3474</v>
      </c>
      <c r="C878" s="140" t="s">
        <v>1744</v>
      </c>
      <c r="D878" s="140" t="s">
        <v>3551</v>
      </c>
      <c r="E878" s="140" t="s">
        <v>3525</v>
      </c>
      <c r="F878" s="140">
        <v>495</v>
      </c>
      <c r="G878" s="140"/>
      <c r="H878" s="140"/>
      <c r="I878" s="141">
        <v>42267</v>
      </c>
      <c r="J878" s="140" t="s">
        <v>36</v>
      </c>
      <c r="K878" s="140" t="s">
        <v>154</v>
      </c>
      <c r="L878" s="140" t="s">
        <v>2566</v>
      </c>
      <c r="M878" s="140" t="s">
        <v>2567</v>
      </c>
      <c r="N878" s="140" t="s">
        <v>2668</v>
      </c>
      <c r="O878" s="140" t="s">
        <v>2600</v>
      </c>
      <c r="P878" s="140" t="s">
        <v>2735</v>
      </c>
      <c r="Q878" s="140" t="s">
        <v>3517</v>
      </c>
      <c r="R878" s="140" t="s">
        <v>2713</v>
      </c>
      <c r="S878" s="140">
        <v>3.8800000000000001E-2</v>
      </c>
      <c r="T878" s="140">
        <v>3.5361290322580646E-2</v>
      </c>
      <c r="U878" s="140">
        <f t="shared" si="38"/>
        <v>3.4387096774193548E-3</v>
      </c>
      <c r="V878" s="140">
        <v>2.17</v>
      </c>
      <c r="W878" s="140">
        <f>5.325+4.904</f>
        <v>10.228999999999999</v>
      </c>
      <c r="X878" s="149">
        <f t="shared" si="37"/>
        <v>22.196929999999998</v>
      </c>
      <c r="Y878" s="149"/>
    </row>
    <row r="879" spans="1:25" ht="16">
      <c r="A879" s="149" t="s">
        <v>12</v>
      </c>
      <c r="B879" s="139" t="s">
        <v>3475</v>
      </c>
      <c r="C879" s="140" t="s">
        <v>1744</v>
      </c>
      <c r="D879" s="140" t="s">
        <v>3551</v>
      </c>
      <c r="E879" s="140" t="s">
        <v>3526</v>
      </c>
      <c r="F879" s="140">
        <v>491</v>
      </c>
      <c r="G879" s="140"/>
      <c r="H879" s="140"/>
      <c r="I879" s="141">
        <v>42268</v>
      </c>
      <c r="J879" s="140" t="s">
        <v>36</v>
      </c>
      <c r="K879" s="140" t="s">
        <v>154</v>
      </c>
      <c r="L879" s="140" t="s">
        <v>2566</v>
      </c>
      <c r="M879" s="140" t="s">
        <v>2567</v>
      </c>
      <c r="N879" s="140" t="s">
        <v>2668</v>
      </c>
      <c r="O879" s="140" t="s">
        <v>2600</v>
      </c>
      <c r="P879" s="140" t="s">
        <v>2735</v>
      </c>
      <c r="Q879" s="140" t="s">
        <v>3517</v>
      </c>
      <c r="R879" s="140" t="s">
        <v>2713</v>
      </c>
      <c r="S879" s="140">
        <v>3.9399999999999998E-2</v>
      </c>
      <c r="T879" s="140">
        <v>3.5361290322580646E-2</v>
      </c>
      <c r="U879" s="140">
        <f t="shared" si="38"/>
        <v>4.0387096774193512E-3</v>
      </c>
      <c r="V879" s="140">
        <v>2.2400000000000002</v>
      </c>
      <c r="W879" s="140">
        <f>4.939+5.476</f>
        <v>10.414999999999999</v>
      </c>
      <c r="X879" s="149">
        <f t="shared" si="37"/>
        <v>23.329599999999999</v>
      </c>
      <c r="Y879" s="149"/>
    </row>
    <row r="880" spans="1:25" ht="16">
      <c r="A880" s="149" t="s">
        <v>12</v>
      </c>
      <c r="B880" s="139" t="s">
        <v>3476</v>
      </c>
      <c r="C880" s="140" t="s">
        <v>1744</v>
      </c>
      <c r="D880" s="140" t="s">
        <v>3551</v>
      </c>
      <c r="E880" s="140" t="s">
        <v>3527</v>
      </c>
      <c r="F880" s="140">
        <v>480</v>
      </c>
      <c r="G880" s="140"/>
      <c r="H880" s="140"/>
      <c r="I880" s="141">
        <v>42269</v>
      </c>
      <c r="J880" s="140" t="s">
        <v>36</v>
      </c>
      <c r="K880" s="140" t="s">
        <v>154</v>
      </c>
      <c r="L880" s="140" t="s">
        <v>2566</v>
      </c>
      <c r="M880" s="140" t="s">
        <v>2567</v>
      </c>
      <c r="N880" s="140" t="s">
        <v>2668</v>
      </c>
      <c r="O880" s="140" t="s">
        <v>2600</v>
      </c>
      <c r="P880" s="140" t="s">
        <v>2735</v>
      </c>
      <c r="Q880" s="140" t="s">
        <v>3517</v>
      </c>
      <c r="R880" s="140" t="s">
        <v>2713</v>
      </c>
      <c r="S880" s="140">
        <v>3.8699999999999998E-2</v>
      </c>
      <c r="T880" s="140">
        <v>3.5361290322580646E-2</v>
      </c>
      <c r="U880" s="140">
        <f t="shared" si="38"/>
        <v>3.338709677419352E-3</v>
      </c>
      <c r="V880" s="140">
        <v>2.2029999999999998</v>
      </c>
      <c r="W880" s="140">
        <v>10.975</v>
      </c>
      <c r="X880" s="149">
        <f t="shared" si="37"/>
        <v>24.177924999999998</v>
      </c>
      <c r="Y880" s="149"/>
    </row>
    <row r="881" spans="1:25" ht="16">
      <c r="A881" s="149" t="s">
        <v>12</v>
      </c>
      <c r="B881" s="139" t="s">
        <v>3477</v>
      </c>
      <c r="C881" s="140" t="s">
        <v>1744</v>
      </c>
      <c r="D881" s="140" t="s">
        <v>3551</v>
      </c>
      <c r="E881" s="140" t="s">
        <v>3528</v>
      </c>
      <c r="F881" s="140">
        <v>481</v>
      </c>
      <c r="G881" s="140"/>
      <c r="H881" s="140"/>
      <c r="I881" s="141">
        <v>42270</v>
      </c>
      <c r="J881" s="140" t="s">
        <v>36</v>
      </c>
      <c r="K881" s="140" t="s">
        <v>154</v>
      </c>
      <c r="L881" s="140" t="s">
        <v>2566</v>
      </c>
      <c r="M881" s="140" t="s">
        <v>2567</v>
      </c>
      <c r="N881" s="140" t="s">
        <v>2668</v>
      </c>
      <c r="O881" s="140" t="s">
        <v>2600</v>
      </c>
      <c r="P881" s="140" t="s">
        <v>2735</v>
      </c>
      <c r="Q881" s="140" t="s">
        <v>3517</v>
      </c>
      <c r="R881" s="140" t="s">
        <v>2713</v>
      </c>
      <c r="S881" s="140">
        <v>3.9E-2</v>
      </c>
      <c r="T881" s="140">
        <v>3.5361290322580646E-2</v>
      </c>
      <c r="U881" s="140">
        <f t="shared" si="38"/>
        <v>3.6387096774193536E-3</v>
      </c>
      <c r="V881" s="140">
        <v>2.2930000000000001</v>
      </c>
      <c r="W881" s="140">
        <f>5.478+4.893</f>
        <v>10.370999999999999</v>
      </c>
      <c r="X881" s="149">
        <f t="shared" si="37"/>
        <v>23.780702999999999</v>
      </c>
      <c r="Y881" s="149"/>
    </row>
    <row r="882" spans="1:25" ht="16">
      <c r="A882" s="149" t="s">
        <v>12</v>
      </c>
      <c r="B882" s="139" t="s">
        <v>3478</v>
      </c>
      <c r="C882" s="140" t="s">
        <v>1744</v>
      </c>
      <c r="D882" s="140" t="s">
        <v>3551</v>
      </c>
      <c r="E882" s="140" t="s">
        <v>3506</v>
      </c>
      <c r="F882" s="140">
        <v>342</v>
      </c>
      <c r="G882" s="140"/>
      <c r="H882" s="140"/>
      <c r="I882" s="141">
        <v>42271</v>
      </c>
      <c r="J882" s="140" t="s">
        <v>36</v>
      </c>
      <c r="K882" s="140" t="s">
        <v>154</v>
      </c>
      <c r="L882" s="140" t="s">
        <v>2566</v>
      </c>
      <c r="M882" s="140" t="s">
        <v>2567</v>
      </c>
      <c r="N882" s="140" t="s">
        <v>2668</v>
      </c>
      <c r="O882" s="140" t="s">
        <v>2600</v>
      </c>
      <c r="P882" s="140" t="s">
        <v>2735</v>
      </c>
      <c r="Q882" s="140" t="s">
        <v>3517</v>
      </c>
      <c r="R882" s="140" t="s">
        <v>2713</v>
      </c>
      <c r="S882" s="140">
        <v>3.9399999999999998E-2</v>
      </c>
      <c r="T882" s="140">
        <v>3.5361290322580646E-2</v>
      </c>
      <c r="U882" s="140">
        <f t="shared" si="38"/>
        <v>4.0387096774193512E-3</v>
      </c>
      <c r="V882" s="140">
        <v>2.3919999999999999</v>
      </c>
      <c r="W882" s="140">
        <f>5.2+6.374</f>
        <v>11.574</v>
      </c>
      <c r="X882" s="149">
        <f t="shared" si="37"/>
        <v>27.685008</v>
      </c>
      <c r="Y882" s="149"/>
    </row>
    <row r="883" spans="1:25" ht="16">
      <c r="A883" s="149" t="s">
        <v>12</v>
      </c>
      <c r="B883" s="139" t="s">
        <v>3479</v>
      </c>
      <c r="C883" s="140" t="s">
        <v>1744</v>
      </c>
      <c r="D883" s="140" t="s">
        <v>3551</v>
      </c>
      <c r="E883" s="140" t="s">
        <v>3514</v>
      </c>
      <c r="F883" s="140" t="s">
        <v>36</v>
      </c>
      <c r="G883" s="140"/>
      <c r="H883" s="140"/>
      <c r="I883" s="141">
        <v>42272</v>
      </c>
      <c r="J883" s="140" t="s">
        <v>36</v>
      </c>
      <c r="K883" s="140" t="s">
        <v>154</v>
      </c>
      <c r="L883" s="140" t="s">
        <v>2566</v>
      </c>
      <c r="M883" s="140" t="s">
        <v>2567</v>
      </c>
      <c r="N883" s="140" t="s">
        <v>2668</v>
      </c>
      <c r="O883" s="140" t="s">
        <v>2600</v>
      </c>
      <c r="P883" s="140" t="s">
        <v>2735</v>
      </c>
      <c r="Q883" s="140" t="s">
        <v>3517</v>
      </c>
      <c r="R883" s="140" t="s">
        <v>2713</v>
      </c>
      <c r="S883" s="140">
        <v>3.8600000000000002E-2</v>
      </c>
      <c r="T883" s="140">
        <v>3.5361290322580646E-2</v>
      </c>
      <c r="U883" s="140">
        <f t="shared" si="38"/>
        <v>3.2387096774193561E-3</v>
      </c>
      <c r="V883" s="140">
        <v>2.17</v>
      </c>
      <c r="W883" s="140">
        <v>10.147</v>
      </c>
      <c r="X883" s="149">
        <f t="shared" si="37"/>
        <v>22.018989999999999</v>
      </c>
      <c r="Y883" s="149"/>
    </row>
    <row r="884" spans="1:25" ht="16">
      <c r="A884" s="149" t="s">
        <v>12</v>
      </c>
      <c r="B884" s="139" t="s">
        <v>3480</v>
      </c>
      <c r="C884" s="140" t="s">
        <v>1744</v>
      </c>
      <c r="D884" s="140" t="s">
        <v>3551</v>
      </c>
      <c r="E884" s="140" t="s">
        <v>3228</v>
      </c>
      <c r="F884" s="140" t="s">
        <v>36</v>
      </c>
      <c r="G884" s="140"/>
      <c r="H884" s="140"/>
      <c r="I884" s="141">
        <v>42273</v>
      </c>
      <c r="J884" s="140" t="s">
        <v>36</v>
      </c>
      <c r="K884" s="140" t="s">
        <v>154</v>
      </c>
      <c r="L884" s="140" t="s">
        <v>2566</v>
      </c>
      <c r="M884" s="140" t="s">
        <v>2567</v>
      </c>
      <c r="N884" s="140" t="s">
        <v>2668</v>
      </c>
      <c r="O884" s="140" t="s">
        <v>2600</v>
      </c>
      <c r="P884" s="140" t="s">
        <v>2735</v>
      </c>
      <c r="Q884" s="140" t="s">
        <v>3517</v>
      </c>
      <c r="R884" s="140" t="s">
        <v>2713</v>
      </c>
      <c r="S884" s="140">
        <v>4.0399999999999998E-2</v>
      </c>
      <c r="T884" s="140">
        <v>3.5361290322580646E-2</v>
      </c>
      <c r="U884" s="140">
        <f t="shared" si="38"/>
        <v>5.0387096774193521E-3</v>
      </c>
      <c r="V884" s="140">
        <v>2.6120000000000001</v>
      </c>
      <c r="W884" s="140">
        <v>11.196999999999999</v>
      </c>
      <c r="X884" s="149">
        <f t="shared" si="37"/>
        <v>29.246563999999999</v>
      </c>
      <c r="Y884" s="149"/>
    </row>
    <row r="885" spans="1:25" ht="16">
      <c r="A885" s="149" t="s">
        <v>12</v>
      </c>
      <c r="B885" s="139" t="s">
        <v>3481</v>
      </c>
      <c r="C885" s="140" t="s">
        <v>1744</v>
      </c>
      <c r="D885" s="140" t="s">
        <v>3551</v>
      </c>
      <c r="E885" s="140" t="s">
        <v>3529</v>
      </c>
      <c r="F885" s="140">
        <v>730</v>
      </c>
      <c r="G885" s="140"/>
      <c r="H885" s="140"/>
      <c r="I885" s="141">
        <v>42274</v>
      </c>
      <c r="J885" s="140" t="s">
        <v>36</v>
      </c>
      <c r="K885" s="140" t="s">
        <v>154</v>
      </c>
      <c r="L885" s="140" t="s">
        <v>2566</v>
      </c>
      <c r="M885" s="140" t="s">
        <v>2567</v>
      </c>
      <c r="N885" s="140" t="s">
        <v>2668</v>
      </c>
      <c r="O885" s="140" t="s">
        <v>2600</v>
      </c>
      <c r="P885" s="140" t="s">
        <v>2735</v>
      </c>
      <c r="Q885" s="140" t="s">
        <v>3517</v>
      </c>
      <c r="R885" s="140" t="s">
        <v>2713</v>
      </c>
      <c r="S885" s="140">
        <v>3.9300000000000002E-2</v>
      </c>
      <c r="T885" s="140">
        <v>3.5361290322580646E-2</v>
      </c>
      <c r="U885" s="140">
        <f t="shared" si="38"/>
        <v>3.9387096774193553E-3</v>
      </c>
      <c r="V885" s="140">
        <v>2.2629999999999999</v>
      </c>
      <c r="W885" s="140">
        <f>5.085+6.901</f>
        <v>11.986000000000001</v>
      </c>
      <c r="X885" s="149">
        <f t="shared" si="37"/>
        <v>27.124317999999999</v>
      </c>
      <c r="Y885" s="149"/>
    </row>
    <row r="886" spans="1:25" ht="16">
      <c r="A886" s="149" t="s">
        <v>12</v>
      </c>
      <c r="B886" s="139" t="s">
        <v>3482</v>
      </c>
      <c r="C886" s="140" t="s">
        <v>1744</v>
      </c>
      <c r="D886" s="140" t="s">
        <v>3551</v>
      </c>
      <c r="E886" s="140" t="s">
        <v>3530</v>
      </c>
      <c r="F886" s="140">
        <v>156</v>
      </c>
      <c r="G886" s="140"/>
      <c r="H886" s="140"/>
      <c r="I886" s="141">
        <v>42275</v>
      </c>
      <c r="J886" s="140" t="s">
        <v>36</v>
      </c>
      <c r="K886" s="140" t="s">
        <v>154</v>
      </c>
      <c r="L886" s="140" t="s">
        <v>2566</v>
      </c>
      <c r="M886" s="140" t="s">
        <v>2567</v>
      </c>
      <c r="N886" s="140" t="s">
        <v>2668</v>
      </c>
      <c r="O886" s="140" t="s">
        <v>2600</v>
      </c>
      <c r="P886" s="140" t="s">
        <v>2735</v>
      </c>
      <c r="Q886" s="140" t="s">
        <v>2384</v>
      </c>
      <c r="R886" s="140" t="s">
        <v>2713</v>
      </c>
      <c r="S886" s="140">
        <v>4.6600000000000003E-2</v>
      </c>
      <c r="T886" s="140">
        <v>3.5361290322580646E-2</v>
      </c>
      <c r="U886" s="140">
        <f t="shared" si="38"/>
        <v>1.1238709677419356E-2</v>
      </c>
      <c r="V886" s="140">
        <v>3.335</v>
      </c>
      <c r="W886" s="140">
        <f>7.197+8.473</f>
        <v>15.670000000000002</v>
      </c>
      <c r="X886" s="149">
        <f t="shared" si="37"/>
        <v>52.259450000000008</v>
      </c>
      <c r="Y886" s="149"/>
    </row>
    <row r="887" spans="1:25" ht="16">
      <c r="A887" s="149" t="s">
        <v>12</v>
      </c>
      <c r="B887" s="139" t="s">
        <v>3483</v>
      </c>
      <c r="C887" s="140" t="s">
        <v>1744</v>
      </c>
      <c r="D887" s="140" t="s">
        <v>3551</v>
      </c>
      <c r="E887" s="140" t="s">
        <v>3531</v>
      </c>
      <c r="F887" s="140">
        <v>428</v>
      </c>
      <c r="G887" s="140"/>
      <c r="H887" s="140"/>
      <c r="I887" s="141">
        <v>42276</v>
      </c>
      <c r="J887" s="140" t="s">
        <v>36</v>
      </c>
      <c r="K887" s="140" t="s">
        <v>154</v>
      </c>
      <c r="L887" s="140" t="s">
        <v>2566</v>
      </c>
      <c r="M887" s="140" t="s">
        <v>2567</v>
      </c>
      <c r="N887" s="140" t="s">
        <v>2668</v>
      </c>
      <c r="O887" s="140" t="s">
        <v>2600</v>
      </c>
      <c r="P887" s="140" t="s">
        <v>2735</v>
      </c>
      <c r="Q887" s="140" t="s">
        <v>2384</v>
      </c>
      <c r="R887" s="140" t="s">
        <v>2712</v>
      </c>
      <c r="S887" s="140">
        <v>4.2799999999999998E-2</v>
      </c>
      <c r="T887" s="140">
        <v>3.5361290322580646E-2</v>
      </c>
      <c r="U887" s="140">
        <f t="shared" si="38"/>
        <v>7.4387096774193515E-3</v>
      </c>
      <c r="V887" s="140">
        <v>3.0550000000000002</v>
      </c>
      <c r="W887" s="140">
        <f>5.083+1.739+6.3</f>
        <v>13.122</v>
      </c>
      <c r="X887" s="149">
        <f t="shared" si="37"/>
        <v>40.087710000000001</v>
      </c>
      <c r="Y887" s="149"/>
    </row>
    <row r="888" spans="1:25" ht="16">
      <c r="A888" s="149" t="s">
        <v>12</v>
      </c>
      <c r="B888" s="139" t="s">
        <v>3484</v>
      </c>
      <c r="C888" s="140" t="s">
        <v>1744</v>
      </c>
      <c r="D888" s="140" t="s">
        <v>3551</v>
      </c>
      <c r="E888" s="140" t="s">
        <v>3532</v>
      </c>
      <c r="F888" s="140" t="s">
        <v>36</v>
      </c>
      <c r="G888" s="140"/>
      <c r="H888" s="140"/>
      <c r="I888" s="141">
        <v>42277</v>
      </c>
      <c r="J888" s="140" t="s">
        <v>36</v>
      </c>
      <c r="K888" s="140" t="s">
        <v>154</v>
      </c>
      <c r="L888" s="140" t="s">
        <v>2566</v>
      </c>
      <c r="M888" s="140" t="s">
        <v>2567</v>
      </c>
      <c r="N888" s="140" t="s">
        <v>2668</v>
      </c>
      <c r="O888" s="140" t="s">
        <v>2600</v>
      </c>
      <c r="P888" s="140" t="s">
        <v>2735</v>
      </c>
      <c r="Q888" s="140" t="s">
        <v>2384</v>
      </c>
      <c r="R888" s="140" t="s">
        <v>2713</v>
      </c>
      <c r="S888" s="140">
        <v>4.82E-2</v>
      </c>
      <c r="T888" s="140">
        <v>3.5361290322580646E-2</v>
      </c>
      <c r="U888" s="140">
        <f t="shared" si="38"/>
        <v>1.2838709677419353E-2</v>
      </c>
      <c r="V888" s="140">
        <v>3.3860000000000001</v>
      </c>
      <c r="W888" s="140">
        <f>7.909+8.116</f>
        <v>16.024999999999999</v>
      </c>
      <c r="X888" s="149">
        <f t="shared" si="37"/>
        <v>54.260649999999998</v>
      </c>
      <c r="Y888" s="149"/>
    </row>
    <row r="889" spans="1:25" ht="16">
      <c r="A889" s="149" t="s">
        <v>12</v>
      </c>
      <c r="B889" s="139" t="s">
        <v>3485</v>
      </c>
      <c r="C889" s="140" t="s">
        <v>1744</v>
      </c>
      <c r="D889" s="140" t="s">
        <v>3551</v>
      </c>
      <c r="E889" s="140" t="s">
        <v>3198</v>
      </c>
      <c r="F889" s="140">
        <v>328</v>
      </c>
      <c r="G889" s="140"/>
      <c r="H889" s="140"/>
      <c r="I889" s="141">
        <v>42278</v>
      </c>
      <c r="J889" s="140" t="s">
        <v>36</v>
      </c>
      <c r="K889" s="140" t="s">
        <v>154</v>
      </c>
      <c r="L889" s="140" t="s">
        <v>2566</v>
      </c>
      <c r="M889" s="140" t="s">
        <v>2567</v>
      </c>
      <c r="N889" s="140" t="s">
        <v>2668</v>
      </c>
      <c r="O889" s="140" t="s">
        <v>2600</v>
      </c>
      <c r="P889" s="140" t="s">
        <v>2735</v>
      </c>
      <c r="Q889" s="140" t="s">
        <v>2384</v>
      </c>
      <c r="R889" s="140" t="s">
        <v>2713</v>
      </c>
      <c r="S889" s="140">
        <v>5.0799999999999998E-2</v>
      </c>
      <c r="T889" s="140">
        <v>3.5361290322580646E-2</v>
      </c>
      <c r="U889" s="140">
        <f t="shared" si="38"/>
        <v>1.5438709677419352E-2</v>
      </c>
      <c r="V889" s="140">
        <v>3.4609999999999999</v>
      </c>
      <c r="W889" s="140">
        <f>7.331+7.739</f>
        <v>15.07</v>
      </c>
      <c r="X889" s="149">
        <f t="shared" si="37"/>
        <v>52.157269999999997</v>
      </c>
      <c r="Y889" s="149"/>
    </row>
    <row r="890" spans="1:25" ht="16">
      <c r="A890" s="149" t="s">
        <v>12</v>
      </c>
      <c r="B890" s="139" t="s">
        <v>3486</v>
      </c>
      <c r="C890" s="140" t="s">
        <v>1744</v>
      </c>
      <c r="D890" s="140" t="s">
        <v>3551</v>
      </c>
      <c r="E890" s="140" t="s">
        <v>3533</v>
      </c>
      <c r="F890" s="140">
        <v>335</v>
      </c>
      <c r="G890" s="140"/>
      <c r="H890" s="140"/>
      <c r="I890" s="141">
        <v>42279</v>
      </c>
      <c r="J890" s="140" t="s">
        <v>36</v>
      </c>
      <c r="K890" s="140" t="s">
        <v>154</v>
      </c>
      <c r="L890" s="140" t="s">
        <v>2566</v>
      </c>
      <c r="M890" s="140" t="s">
        <v>2567</v>
      </c>
      <c r="N890" s="140" t="s">
        <v>2668</v>
      </c>
      <c r="O890" s="140" t="s">
        <v>2600</v>
      </c>
      <c r="P890" s="140" t="s">
        <v>2735</v>
      </c>
      <c r="Q890" s="140" t="s">
        <v>2384</v>
      </c>
      <c r="R890" s="140" t="s">
        <v>2713</v>
      </c>
      <c r="S890" s="140">
        <v>4.3999999999999997E-2</v>
      </c>
      <c r="T890" s="140">
        <v>3.5361290322580646E-2</v>
      </c>
      <c r="U890" s="140">
        <f t="shared" si="38"/>
        <v>8.6387096774193511E-3</v>
      </c>
      <c r="V890" s="140">
        <v>3.1080000000000001</v>
      </c>
      <c r="W890" s="140">
        <f>6.886+6.999</f>
        <v>13.885</v>
      </c>
      <c r="X890" s="149">
        <f t="shared" si="37"/>
        <v>43.154580000000003</v>
      </c>
      <c r="Y890" s="149"/>
    </row>
    <row r="891" spans="1:25" ht="16">
      <c r="A891" s="149" t="s">
        <v>12</v>
      </c>
      <c r="B891" s="139" t="s">
        <v>3487</v>
      </c>
      <c r="C891" s="140" t="s">
        <v>1744</v>
      </c>
      <c r="D891" s="140" t="s">
        <v>3551</v>
      </c>
      <c r="E891" s="140" t="s">
        <v>3534</v>
      </c>
      <c r="F891" s="140">
        <v>102</v>
      </c>
      <c r="G891" s="140"/>
      <c r="H891" s="140"/>
      <c r="I891" s="141">
        <v>42280</v>
      </c>
      <c r="J891" s="140" t="s">
        <v>36</v>
      </c>
      <c r="K891" s="140" t="s">
        <v>154</v>
      </c>
      <c r="L891" s="140" t="s">
        <v>2566</v>
      </c>
      <c r="M891" s="140" t="s">
        <v>2567</v>
      </c>
      <c r="N891" s="140" t="s">
        <v>2668</v>
      </c>
      <c r="O891" s="140" t="s">
        <v>2600</v>
      </c>
      <c r="P891" s="140" t="s">
        <v>2735</v>
      </c>
      <c r="Q891" s="140" t="s">
        <v>2384</v>
      </c>
      <c r="R891" s="140" t="s">
        <v>2713</v>
      </c>
      <c r="S891" s="140">
        <v>4.2500000000000003E-2</v>
      </c>
      <c r="T891" s="140">
        <v>3.5361290322580646E-2</v>
      </c>
      <c r="U891" s="140">
        <f t="shared" si="38"/>
        <v>7.1387096774193567E-3</v>
      </c>
      <c r="V891" s="140">
        <v>3</v>
      </c>
      <c r="W891" s="140">
        <f>6.918+7.025</f>
        <v>13.943000000000001</v>
      </c>
      <c r="X891" s="149">
        <f t="shared" si="37"/>
        <v>41.829000000000008</v>
      </c>
      <c r="Y891" s="149"/>
    </row>
    <row r="892" spans="1:25" ht="16">
      <c r="A892" s="149" t="s">
        <v>12</v>
      </c>
      <c r="B892" s="139" t="s">
        <v>3488</v>
      </c>
      <c r="C892" s="140" t="s">
        <v>1744</v>
      </c>
      <c r="D892" s="140" t="s">
        <v>3551</v>
      </c>
      <c r="E892" s="140" t="s">
        <v>3535</v>
      </c>
      <c r="F892" s="140">
        <v>157</v>
      </c>
      <c r="G892" s="140"/>
      <c r="H892" s="140"/>
      <c r="I892" s="141">
        <v>42281</v>
      </c>
      <c r="J892" s="140" t="s">
        <v>36</v>
      </c>
      <c r="K892" s="140" t="s">
        <v>154</v>
      </c>
      <c r="L892" s="140" t="s">
        <v>2566</v>
      </c>
      <c r="M892" s="140" t="s">
        <v>2567</v>
      </c>
      <c r="N892" s="140" t="s">
        <v>2668</v>
      </c>
      <c r="O892" s="140" t="s">
        <v>2600</v>
      </c>
      <c r="P892" s="140" t="s">
        <v>2735</v>
      </c>
      <c r="Q892" s="140" t="s">
        <v>2384</v>
      </c>
      <c r="R892" s="140" t="s">
        <v>2713</v>
      </c>
      <c r="S892" s="140">
        <v>4.6100000000000002E-2</v>
      </c>
      <c r="T892" s="140">
        <v>3.5361290322580646E-2</v>
      </c>
      <c r="U892" s="140">
        <f t="shared" si="38"/>
        <v>1.0738709677419356E-2</v>
      </c>
      <c r="V892" s="140">
        <v>3.2919999999999998</v>
      </c>
      <c r="W892" s="140">
        <f>8.01+6.793</f>
        <v>14.803000000000001</v>
      </c>
      <c r="X892" s="149">
        <f t="shared" si="37"/>
        <v>48.731476000000001</v>
      </c>
      <c r="Y892" s="149"/>
    </row>
    <row r="893" spans="1:25" ht="16">
      <c r="A893" s="149" t="s">
        <v>12</v>
      </c>
      <c r="B893" s="139" t="s">
        <v>3489</v>
      </c>
      <c r="C893" s="140" t="s">
        <v>1744</v>
      </c>
      <c r="D893" s="140" t="s">
        <v>3551</v>
      </c>
      <c r="E893" s="140" t="s">
        <v>3536</v>
      </c>
      <c r="F893" s="140">
        <v>345</v>
      </c>
      <c r="G893" s="140"/>
      <c r="H893" s="140"/>
      <c r="I893" s="141">
        <v>42282</v>
      </c>
      <c r="J893" s="140" t="s">
        <v>36</v>
      </c>
      <c r="K893" s="140" t="s">
        <v>154</v>
      </c>
      <c r="L893" s="140" t="s">
        <v>2566</v>
      </c>
      <c r="M893" s="140" t="s">
        <v>2567</v>
      </c>
      <c r="N893" s="140" t="s">
        <v>2668</v>
      </c>
      <c r="O893" s="140" t="s">
        <v>2600</v>
      </c>
      <c r="P893" s="140" t="s">
        <v>2735</v>
      </c>
      <c r="Q893" s="140" t="s">
        <v>2384</v>
      </c>
      <c r="R893" s="140" t="s">
        <v>2713</v>
      </c>
      <c r="S893" s="140">
        <v>4.5999999999999999E-2</v>
      </c>
      <c r="T893" s="140">
        <v>3.5361290322580646E-2</v>
      </c>
      <c r="U893" s="140">
        <f t="shared" si="38"/>
        <v>1.0638709677419353E-2</v>
      </c>
      <c r="V893" s="140">
        <v>3.2930000000000001</v>
      </c>
      <c r="W893" s="140">
        <f>7.128+6.7</f>
        <v>13.827999999999999</v>
      </c>
      <c r="X893" s="149">
        <f t="shared" si="37"/>
        <v>45.535603999999999</v>
      </c>
      <c r="Y893" s="149"/>
    </row>
    <row r="894" spans="1:25" ht="16">
      <c r="A894" s="149" t="s">
        <v>12</v>
      </c>
      <c r="B894" s="139" t="s">
        <v>3490</v>
      </c>
      <c r="C894" s="140" t="s">
        <v>1744</v>
      </c>
      <c r="D894" s="140" t="s">
        <v>3551</v>
      </c>
      <c r="E894" s="140" t="s">
        <v>3227</v>
      </c>
      <c r="F894" s="140">
        <v>1</v>
      </c>
      <c r="G894" s="140"/>
      <c r="H894" s="140"/>
      <c r="I894" s="141">
        <v>42283</v>
      </c>
      <c r="J894" s="140" t="s">
        <v>36</v>
      </c>
      <c r="K894" s="140" t="s">
        <v>154</v>
      </c>
      <c r="L894" s="140" t="s">
        <v>2566</v>
      </c>
      <c r="M894" s="140" t="s">
        <v>2567</v>
      </c>
      <c r="N894" s="140" t="s">
        <v>2668</v>
      </c>
      <c r="O894" s="140" t="s">
        <v>2600</v>
      </c>
      <c r="P894" s="140" t="s">
        <v>2735</v>
      </c>
      <c r="Q894" s="140" t="s">
        <v>2384</v>
      </c>
      <c r="R894" s="140" t="s">
        <v>2713</v>
      </c>
      <c r="S894" s="140">
        <v>4.4900000000000002E-2</v>
      </c>
      <c r="T894" s="140">
        <v>3.5361290322580646E-2</v>
      </c>
      <c r="U894" s="140">
        <f t="shared" si="38"/>
        <v>9.5387096774193561E-3</v>
      </c>
      <c r="V894" s="140">
        <v>3.2650000000000001</v>
      </c>
      <c r="W894" s="140">
        <v>13.991</v>
      </c>
      <c r="X894" s="149">
        <f t="shared" si="37"/>
        <v>45.680615000000003</v>
      </c>
      <c r="Y894" s="149"/>
    </row>
    <row r="895" spans="1:25" ht="16">
      <c r="A895" s="149" t="s">
        <v>12</v>
      </c>
      <c r="B895" s="139" t="s">
        <v>3491</v>
      </c>
      <c r="C895" s="140" t="s">
        <v>1744</v>
      </c>
      <c r="D895" s="140" t="s">
        <v>3551</v>
      </c>
      <c r="E895" s="140" t="s">
        <v>3419</v>
      </c>
      <c r="F895" s="140">
        <v>51</v>
      </c>
      <c r="G895" s="140"/>
      <c r="H895" s="140"/>
      <c r="I895" s="141">
        <v>42284</v>
      </c>
      <c r="J895" s="140" t="s">
        <v>36</v>
      </c>
      <c r="K895" s="140" t="s">
        <v>154</v>
      </c>
      <c r="L895" s="140" t="s">
        <v>2566</v>
      </c>
      <c r="M895" s="140" t="s">
        <v>2567</v>
      </c>
      <c r="N895" s="140" t="s">
        <v>2668</v>
      </c>
      <c r="O895" s="140" t="s">
        <v>2600</v>
      </c>
      <c r="P895" s="140" t="s">
        <v>2735</v>
      </c>
      <c r="Q895" s="140" t="s">
        <v>2384</v>
      </c>
      <c r="R895" s="140" t="s">
        <v>2713</v>
      </c>
      <c r="S895" s="140">
        <v>4.3499999999999997E-2</v>
      </c>
      <c r="T895" s="140">
        <v>3.5361290322580646E-2</v>
      </c>
      <c r="U895" s="140">
        <f t="shared" si="38"/>
        <v>8.1387096774193507E-3</v>
      </c>
      <c r="V895" s="140">
        <v>3.3370000000000002</v>
      </c>
      <c r="W895" s="140">
        <f>7.74+7.54</f>
        <v>15.280000000000001</v>
      </c>
      <c r="X895" s="149">
        <f t="shared" si="37"/>
        <v>50.989360000000005</v>
      </c>
      <c r="Y895" s="149"/>
    </row>
    <row r="896" spans="1:25" ht="16">
      <c r="A896" s="149" t="s">
        <v>12</v>
      </c>
      <c r="B896" s="139" t="s">
        <v>3492</v>
      </c>
      <c r="C896" s="140" t="s">
        <v>1744</v>
      </c>
      <c r="D896" s="140" t="s">
        <v>3551</v>
      </c>
      <c r="E896" s="140" t="s">
        <v>3511</v>
      </c>
      <c r="F896" s="140">
        <v>649</v>
      </c>
      <c r="G896" s="140"/>
      <c r="H896" s="140"/>
      <c r="I896" s="141">
        <v>42285</v>
      </c>
      <c r="J896" s="140" t="s">
        <v>36</v>
      </c>
      <c r="K896" s="140" t="s">
        <v>154</v>
      </c>
      <c r="L896" s="140" t="s">
        <v>2566</v>
      </c>
      <c r="M896" s="140" t="s">
        <v>2567</v>
      </c>
      <c r="N896" s="140" t="s">
        <v>2668</v>
      </c>
      <c r="O896" s="140" t="s">
        <v>2600</v>
      </c>
      <c r="P896" s="140" t="s">
        <v>2735</v>
      </c>
      <c r="Q896" s="140" t="s">
        <v>2384</v>
      </c>
      <c r="R896" s="140" t="s">
        <v>2712</v>
      </c>
      <c r="S896" s="140">
        <v>4.5499999999999999E-2</v>
      </c>
      <c r="T896" s="140">
        <v>3.5361290322580646E-2</v>
      </c>
      <c r="U896" s="140">
        <f t="shared" si="38"/>
        <v>1.0138709677419352E-2</v>
      </c>
      <c r="V896" s="140">
        <v>3.3279999999999998</v>
      </c>
      <c r="W896" s="140">
        <f>6.821+7.752</f>
        <v>14.573</v>
      </c>
      <c r="X896" s="149">
        <f t="shared" si="37"/>
        <v>48.498944000000002</v>
      </c>
      <c r="Y896" s="149"/>
    </row>
    <row r="897" spans="1:25" ht="16">
      <c r="A897" s="149" t="s">
        <v>12</v>
      </c>
      <c r="B897" s="139" t="s">
        <v>3493</v>
      </c>
      <c r="C897" s="140" t="s">
        <v>1744</v>
      </c>
      <c r="D897" s="140" t="s">
        <v>3551</v>
      </c>
      <c r="E897" s="140" t="s">
        <v>3537</v>
      </c>
      <c r="F897" s="140">
        <v>417</v>
      </c>
      <c r="G897" s="140"/>
      <c r="H897" s="140"/>
      <c r="I897" s="141">
        <v>42286</v>
      </c>
      <c r="J897" s="140" t="s">
        <v>36</v>
      </c>
      <c r="K897" s="140" t="s">
        <v>154</v>
      </c>
      <c r="L897" s="140" t="s">
        <v>2566</v>
      </c>
      <c r="M897" s="140" t="s">
        <v>2567</v>
      </c>
      <c r="N897" s="140" t="s">
        <v>2668</v>
      </c>
      <c r="O897" s="140" t="s">
        <v>2600</v>
      </c>
      <c r="P897" s="140" t="s">
        <v>2735</v>
      </c>
      <c r="Q897" s="140" t="s">
        <v>2384</v>
      </c>
      <c r="R897" s="140" t="s">
        <v>2712</v>
      </c>
      <c r="S897" s="140">
        <v>4.1399999999999999E-2</v>
      </c>
      <c r="T897" s="140">
        <v>3.5361290322580646E-2</v>
      </c>
      <c r="U897" s="140">
        <f t="shared" si="38"/>
        <v>6.038709677419353E-3</v>
      </c>
      <c r="V897" s="140">
        <v>2.7349999999999999</v>
      </c>
      <c r="W897" s="140">
        <f>5.787+7.419</f>
        <v>13.206</v>
      </c>
      <c r="X897" s="149">
        <f t="shared" si="37"/>
        <v>36.118409999999997</v>
      </c>
      <c r="Y897" s="149"/>
    </row>
    <row r="898" spans="1:25" ht="16">
      <c r="A898" s="149" t="s">
        <v>12</v>
      </c>
      <c r="B898" s="139" t="s">
        <v>3494</v>
      </c>
      <c r="C898" s="140" t="s">
        <v>1744</v>
      </c>
      <c r="D898" s="140" t="s">
        <v>3551</v>
      </c>
      <c r="E898" s="140" t="s">
        <v>3538</v>
      </c>
      <c r="F898" s="140">
        <v>257</v>
      </c>
      <c r="G898" s="140"/>
      <c r="H898" s="140"/>
      <c r="I898" s="141">
        <v>42287</v>
      </c>
      <c r="J898" s="140" t="s">
        <v>36</v>
      </c>
      <c r="K898" s="140" t="s">
        <v>154</v>
      </c>
      <c r="L898" s="140" t="s">
        <v>2566</v>
      </c>
      <c r="M898" s="140" t="s">
        <v>2567</v>
      </c>
      <c r="N898" s="140" t="s">
        <v>2668</v>
      </c>
      <c r="O898" s="140" t="s">
        <v>2600</v>
      </c>
      <c r="P898" s="140" t="s">
        <v>2735</v>
      </c>
      <c r="Q898" s="140" t="s">
        <v>2384</v>
      </c>
      <c r="R898" s="140" t="s">
        <v>2712</v>
      </c>
      <c r="S898" s="140">
        <v>4.24E-2</v>
      </c>
      <c r="T898" s="140">
        <v>3.5361290322580646E-2</v>
      </c>
      <c r="U898" s="140">
        <f t="shared" si="38"/>
        <v>7.0387096774193539E-3</v>
      </c>
      <c r="V898" s="140">
        <v>2.8119999999999998</v>
      </c>
      <c r="W898" s="140">
        <f>6.502+6.671</f>
        <v>13.173</v>
      </c>
      <c r="X898" s="149">
        <f t="shared" ref="X898:X904" si="39">V898*W898</f>
        <v>37.042476000000001</v>
      </c>
      <c r="Y898" s="149"/>
    </row>
    <row r="899" spans="1:25" ht="16">
      <c r="A899" s="149" t="s">
        <v>12</v>
      </c>
      <c r="B899" s="139" t="s">
        <v>3495</v>
      </c>
      <c r="C899" s="140" t="s">
        <v>1744</v>
      </c>
      <c r="D899" s="140" t="s">
        <v>3551</v>
      </c>
      <c r="E899" s="140" t="s">
        <v>3353</v>
      </c>
      <c r="F899" s="140">
        <v>329</v>
      </c>
      <c r="G899" s="140"/>
      <c r="H899" s="140"/>
      <c r="I899" s="141">
        <v>42288</v>
      </c>
      <c r="J899" s="140" t="s">
        <v>36</v>
      </c>
      <c r="K899" s="140" t="s">
        <v>154</v>
      </c>
      <c r="L899" s="140" t="s">
        <v>2566</v>
      </c>
      <c r="M899" s="140" t="s">
        <v>2567</v>
      </c>
      <c r="N899" s="140" t="s">
        <v>2668</v>
      </c>
      <c r="O899" s="140" t="s">
        <v>2600</v>
      </c>
      <c r="P899" s="140" t="s">
        <v>2735</v>
      </c>
      <c r="Q899" s="140" t="s">
        <v>2384</v>
      </c>
      <c r="R899" s="140" t="s">
        <v>2713</v>
      </c>
      <c r="S899" s="140">
        <v>4.3400000000000001E-2</v>
      </c>
      <c r="T899" s="140">
        <v>3.5361290322580646E-2</v>
      </c>
      <c r="U899" s="140">
        <f t="shared" ref="U899:U904" si="40">S899-T899</f>
        <v>8.0387096774193548E-3</v>
      </c>
      <c r="V899" s="140">
        <v>3.1459999999999999</v>
      </c>
      <c r="W899" s="140">
        <f>7.141+6.914</f>
        <v>14.055</v>
      </c>
      <c r="X899" s="149">
        <f t="shared" si="39"/>
        <v>44.217030000000001</v>
      </c>
      <c r="Y899" s="149"/>
    </row>
    <row r="900" spans="1:25" ht="16">
      <c r="A900" s="149" t="s">
        <v>12</v>
      </c>
      <c r="B900" s="139" t="s">
        <v>3496</v>
      </c>
      <c r="C900" s="140" t="s">
        <v>1744</v>
      </c>
      <c r="D900" s="140" t="s">
        <v>3551</v>
      </c>
      <c r="E900" s="140" t="s">
        <v>3539</v>
      </c>
      <c r="F900" s="140">
        <v>370</v>
      </c>
      <c r="G900" s="140"/>
      <c r="H900" s="140"/>
      <c r="I900" s="141">
        <v>42289</v>
      </c>
      <c r="J900" s="140" t="s">
        <v>36</v>
      </c>
      <c r="K900" s="140" t="s">
        <v>154</v>
      </c>
      <c r="L900" s="140" t="s">
        <v>2566</v>
      </c>
      <c r="M900" s="140" t="s">
        <v>2567</v>
      </c>
      <c r="N900" s="140" t="s">
        <v>2668</v>
      </c>
      <c r="O900" s="140" t="s">
        <v>2600</v>
      </c>
      <c r="P900" s="140" t="s">
        <v>2735</v>
      </c>
      <c r="Q900" s="140" t="s">
        <v>2384</v>
      </c>
      <c r="R900" s="140" t="s">
        <v>2713</v>
      </c>
      <c r="S900" s="140">
        <v>4.4400000000000002E-2</v>
      </c>
      <c r="T900" s="140">
        <v>3.5361290322580646E-2</v>
      </c>
      <c r="U900" s="140">
        <f t="shared" si="40"/>
        <v>9.0387096774193557E-3</v>
      </c>
      <c r="V900" s="140">
        <v>3.1589999999999998</v>
      </c>
      <c r="W900" s="140">
        <f>6.952+7.285</f>
        <v>14.237</v>
      </c>
      <c r="X900" s="149">
        <f t="shared" si="39"/>
        <v>44.974682999999999</v>
      </c>
      <c r="Y900" s="149"/>
    </row>
    <row r="901" spans="1:25" ht="16">
      <c r="A901" s="149" t="s">
        <v>12</v>
      </c>
      <c r="B901" s="139" t="s">
        <v>3497</v>
      </c>
      <c r="C901" s="140" t="s">
        <v>1744</v>
      </c>
      <c r="D901" s="140" t="s">
        <v>3551</v>
      </c>
      <c r="E901" s="140" t="s">
        <v>3540</v>
      </c>
      <c r="F901" s="140">
        <v>746</v>
      </c>
      <c r="G901" s="140"/>
      <c r="H901" s="140"/>
      <c r="I901" s="141">
        <v>42290</v>
      </c>
      <c r="J901" s="140" t="s">
        <v>36</v>
      </c>
      <c r="K901" s="140" t="s">
        <v>154</v>
      </c>
      <c r="L901" s="140" t="s">
        <v>2566</v>
      </c>
      <c r="M901" s="140" t="s">
        <v>2567</v>
      </c>
      <c r="N901" s="140" t="s">
        <v>2668</v>
      </c>
      <c r="O901" s="140" t="s">
        <v>2600</v>
      </c>
      <c r="P901" s="140" t="s">
        <v>2735</v>
      </c>
      <c r="Q901" s="140" t="s">
        <v>2384</v>
      </c>
      <c r="R901" s="140" t="s">
        <v>2713</v>
      </c>
      <c r="S901" s="140">
        <v>4.5699999999999998E-2</v>
      </c>
      <c r="T901" s="140">
        <v>3.5361290322580646E-2</v>
      </c>
      <c r="U901" s="140">
        <f t="shared" si="40"/>
        <v>1.0338709677419351E-2</v>
      </c>
      <c r="V901" s="140">
        <v>3.2850000000000001</v>
      </c>
      <c r="W901" s="140">
        <f>7.175+7.881</f>
        <v>15.056000000000001</v>
      </c>
      <c r="X901" s="149">
        <f t="shared" si="39"/>
        <v>49.458960000000005</v>
      </c>
      <c r="Y901" s="149"/>
    </row>
    <row r="902" spans="1:25" ht="16">
      <c r="A902" s="149" t="s">
        <v>12</v>
      </c>
      <c r="B902" s="139" t="s">
        <v>3498</v>
      </c>
      <c r="C902" s="140" t="s">
        <v>1744</v>
      </c>
      <c r="D902" s="140" t="s">
        <v>3551</v>
      </c>
      <c r="E902" s="140" t="s">
        <v>3541</v>
      </c>
      <c r="F902" s="140">
        <v>126</v>
      </c>
      <c r="G902" s="140"/>
      <c r="H902" s="140"/>
      <c r="I902" s="141">
        <v>42291</v>
      </c>
      <c r="J902" s="140" t="s">
        <v>36</v>
      </c>
      <c r="K902" s="140" t="s">
        <v>154</v>
      </c>
      <c r="L902" s="140" t="s">
        <v>2566</v>
      </c>
      <c r="M902" s="140" t="s">
        <v>2567</v>
      </c>
      <c r="N902" s="140" t="s">
        <v>2668</v>
      </c>
      <c r="O902" s="140" t="s">
        <v>2600</v>
      </c>
      <c r="P902" s="140" t="s">
        <v>2735</v>
      </c>
      <c r="Q902" s="140" t="s">
        <v>2384</v>
      </c>
      <c r="R902" s="140" t="s">
        <v>2713</v>
      </c>
      <c r="S902" s="140">
        <v>4.65E-2</v>
      </c>
      <c r="T902" s="140">
        <v>3.5361290322580646E-2</v>
      </c>
      <c r="U902" s="140">
        <f t="shared" si="40"/>
        <v>1.1138709677419353E-2</v>
      </c>
      <c r="V902" s="140">
        <v>3.4820000000000002</v>
      </c>
      <c r="W902" s="140">
        <f>7.156+8.963</f>
        <v>16.119</v>
      </c>
      <c r="X902" s="149">
        <f t="shared" si="39"/>
        <v>56.126358000000003</v>
      </c>
      <c r="Y902" s="149"/>
    </row>
    <row r="903" spans="1:25" ht="16">
      <c r="A903" s="149" t="s">
        <v>12</v>
      </c>
      <c r="B903" s="139" t="s">
        <v>3499</v>
      </c>
      <c r="C903" s="140" t="s">
        <v>1744</v>
      </c>
      <c r="D903" s="140" t="s">
        <v>3551</v>
      </c>
      <c r="E903" s="140" t="s">
        <v>3542</v>
      </c>
      <c r="F903" s="140" t="s">
        <v>36</v>
      </c>
      <c r="G903" s="140"/>
      <c r="H903" s="140"/>
      <c r="I903" s="141">
        <v>42292</v>
      </c>
      <c r="J903" s="140" t="s">
        <v>36</v>
      </c>
      <c r="K903" s="140" t="s">
        <v>154</v>
      </c>
      <c r="L903" s="140" t="s">
        <v>2566</v>
      </c>
      <c r="M903" s="140" t="s">
        <v>2567</v>
      </c>
      <c r="N903" s="140" t="s">
        <v>2668</v>
      </c>
      <c r="O903" s="140" t="s">
        <v>2600</v>
      </c>
      <c r="P903" s="140" t="s">
        <v>2735</v>
      </c>
      <c r="Q903" s="140" t="s">
        <v>2384</v>
      </c>
      <c r="R903" s="140" t="s">
        <v>2713</v>
      </c>
      <c r="S903" s="140">
        <v>4.6699999999999998E-2</v>
      </c>
      <c r="T903" s="140">
        <v>3.5361290322580646E-2</v>
      </c>
      <c r="U903" s="140">
        <f t="shared" si="40"/>
        <v>1.1338709677419352E-2</v>
      </c>
      <c r="V903" s="140">
        <v>3.44</v>
      </c>
      <c r="W903" s="140">
        <f>7.724+7.049</f>
        <v>14.773</v>
      </c>
      <c r="X903" s="149">
        <f t="shared" si="39"/>
        <v>50.819119999999998</v>
      </c>
      <c r="Y903" s="149"/>
    </row>
    <row r="904" spans="1:25" ht="16">
      <c r="A904" s="149" t="s">
        <v>12</v>
      </c>
      <c r="B904" s="139" t="s">
        <v>3500</v>
      </c>
      <c r="C904" s="140" t="s">
        <v>1744</v>
      </c>
      <c r="D904" s="140" t="s">
        <v>3551</v>
      </c>
      <c r="E904" s="140" t="s">
        <v>3542</v>
      </c>
      <c r="F904" s="140" t="s">
        <v>36</v>
      </c>
      <c r="G904" s="140"/>
      <c r="H904" s="140"/>
      <c r="I904" s="141">
        <v>42293</v>
      </c>
      <c r="J904" s="140" t="s">
        <v>36</v>
      </c>
      <c r="K904" s="140" t="s">
        <v>154</v>
      </c>
      <c r="L904" s="140" t="s">
        <v>2566</v>
      </c>
      <c r="M904" s="140" t="s">
        <v>2567</v>
      </c>
      <c r="N904" s="140" t="s">
        <v>2668</v>
      </c>
      <c r="O904" s="140" t="s">
        <v>2600</v>
      </c>
      <c r="P904" s="140" t="s">
        <v>2735</v>
      </c>
      <c r="Q904" s="140" t="s">
        <v>2384</v>
      </c>
      <c r="R904" s="140" t="s">
        <v>2713</v>
      </c>
      <c r="S904" s="140">
        <v>4.53E-2</v>
      </c>
      <c r="T904" s="140">
        <v>3.5361290322580646E-2</v>
      </c>
      <c r="U904" s="140">
        <f t="shared" si="40"/>
        <v>9.9387096774193537E-3</v>
      </c>
      <c r="V904" s="140">
        <v>3.214</v>
      </c>
      <c r="W904" s="140">
        <f>7.041+8.07</f>
        <v>15.111000000000001</v>
      </c>
      <c r="X904" s="149">
        <f t="shared" si="39"/>
        <v>48.566754000000003</v>
      </c>
      <c r="Y904" s="149"/>
    </row>
  </sheetData>
  <conditionalFormatting sqref="U706:U904">
    <cfRule type="cellIs" dxfId="106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780"/>
  <sheetViews>
    <sheetView topLeftCell="I1" zoomScale="87" zoomScaleNormal="87" workbookViewId="0">
      <pane ySplit="1" topLeftCell="A725" activePane="bottomLeft" state="frozen"/>
      <selection pane="bottomLeft" activeCell="Q749" sqref="Q749"/>
    </sheetView>
  </sheetViews>
  <sheetFormatPr baseColWidth="10" defaultColWidth="8.83203125" defaultRowHeight="15"/>
  <cols>
    <col min="1" max="1" width="16.5" style="20" bestFit="1" customWidth="1"/>
    <col min="2" max="2" width="16.5" style="20" customWidth="1"/>
    <col min="3" max="3" width="16.5" style="31" customWidth="1"/>
    <col min="4" max="4" width="10.6640625" style="20" bestFit="1" customWidth="1"/>
    <col min="5" max="6" width="16.5" style="20" customWidth="1"/>
    <col min="7" max="8" width="8.83203125" style="20"/>
    <col min="9" max="9" width="12.6640625" style="20" bestFit="1" customWidth="1"/>
    <col min="10" max="10" width="12.6640625" style="20" customWidth="1"/>
    <col min="11" max="11" width="11.1640625" bestFit="1" customWidth="1"/>
    <col min="12" max="12" width="9.1640625"/>
    <col min="13" max="13" width="16.5" style="176" bestFit="1" customWidth="1"/>
    <col min="14" max="14" width="9.5" bestFit="1" customWidth="1"/>
    <col min="15" max="16" width="8.83203125" style="20"/>
    <col min="17" max="17" width="20.6640625" style="65" customWidth="1"/>
    <col min="18" max="18" width="11" style="20" customWidth="1"/>
    <col min="19" max="19" width="9" style="20" customWidth="1"/>
    <col min="20" max="20" width="8.83203125" style="20" customWidth="1"/>
    <col min="21" max="21" width="4.33203125" style="20" customWidth="1"/>
    <col min="22" max="22" width="8.83203125" style="20"/>
    <col min="23" max="23" width="7.5" style="20" bestFit="1" customWidth="1"/>
    <col min="24" max="24" width="9.5" style="20" bestFit="1" customWidth="1"/>
    <col min="25" max="25" width="11.6640625" style="20" bestFit="1" customWidth="1"/>
    <col min="26" max="26" width="9.5" style="20" bestFit="1" customWidth="1"/>
    <col min="27" max="16384" width="8.83203125" style="20"/>
  </cols>
  <sheetData>
    <row r="1" spans="1:26" s="42" customFormat="1" ht="16" thickBot="1">
      <c r="A1" s="42" t="s">
        <v>289</v>
      </c>
      <c r="B1" s="42" t="s">
        <v>2114</v>
      </c>
      <c r="C1" s="59" t="s">
        <v>1</v>
      </c>
      <c r="D1" s="42" t="s">
        <v>1330</v>
      </c>
      <c r="E1" s="42" t="s">
        <v>344</v>
      </c>
      <c r="F1" s="42" t="s">
        <v>345</v>
      </c>
      <c r="G1" s="42" t="s">
        <v>346</v>
      </c>
      <c r="H1" s="42" t="s">
        <v>2560</v>
      </c>
      <c r="I1" s="42" t="s">
        <v>347</v>
      </c>
      <c r="K1" s="42" t="s">
        <v>348</v>
      </c>
      <c r="L1" s="42" t="s">
        <v>2718</v>
      </c>
      <c r="M1" s="174"/>
      <c r="N1" s="42" t="s">
        <v>1097</v>
      </c>
      <c r="O1" s="58" t="s">
        <v>1743</v>
      </c>
      <c r="P1" s="58" t="s">
        <v>1741</v>
      </c>
      <c r="Q1" s="64" t="s">
        <v>1742</v>
      </c>
      <c r="R1" s="42" t="s">
        <v>1684</v>
      </c>
      <c r="S1" s="42" t="s">
        <v>10</v>
      </c>
      <c r="T1" s="42" t="s">
        <v>1738</v>
      </c>
      <c r="U1" s="42" t="s">
        <v>2113</v>
      </c>
      <c r="W1" s="42" t="s">
        <v>1332</v>
      </c>
      <c r="X1" s="42" t="s">
        <v>1331</v>
      </c>
      <c r="Y1" s="42" t="s">
        <v>1329</v>
      </c>
      <c r="Z1" s="42" t="s">
        <v>349</v>
      </c>
    </row>
    <row r="2" spans="1:26" ht="16" thickTop="1">
      <c r="A2" s="20" t="s">
        <v>1328</v>
      </c>
      <c r="B2" s="20" t="s">
        <v>2115</v>
      </c>
      <c r="C2" s="61" t="s">
        <v>2226</v>
      </c>
      <c r="D2" s="49">
        <v>42921</v>
      </c>
      <c r="E2" s="20">
        <v>9.7558279999999993</v>
      </c>
      <c r="F2" s="20">
        <v>49.725133</v>
      </c>
      <c r="K2" s="20" t="s">
        <v>2600</v>
      </c>
      <c r="L2" s="20"/>
      <c r="M2" s="171" t="s">
        <v>3573</v>
      </c>
      <c r="N2" s="20" t="s">
        <v>2713</v>
      </c>
      <c r="O2" s="28">
        <v>1.5E-3</v>
      </c>
      <c r="P2" s="50">
        <v>0</v>
      </c>
      <c r="Q2" s="65">
        <f>O2</f>
        <v>1.5E-3</v>
      </c>
      <c r="R2" s="20">
        <v>1.673</v>
      </c>
      <c r="S2" s="20">
        <f>5.126+3.216</f>
        <v>8.3420000000000005</v>
      </c>
      <c r="T2" s="20">
        <f t="shared" ref="T2:T65" si="0">R2*S2</f>
        <v>13.956166000000001</v>
      </c>
      <c r="W2" s="20" t="s">
        <v>890</v>
      </c>
      <c r="X2" s="20" t="s">
        <v>889</v>
      </c>
      <c r="Y2" s="49">
        <v>42972</v>
      </c>
      <c r="Z2" s="20">
        <f t="shared" ref="Z2:Z65" si="1">Y2-D2</f>
        <v>51</v>
      </c>
    </row>
    <row r="3" spans="1:26">
      <c r="A3" s="20" t="s">
        <v>1327</v>
      </c>
      <c r="B3" s="20" t="s">
        <v>2115</v>
      </c>
      <c r="C3" s="31" t="s">
        <v>2226</v>
      </c>
      <c r="D3" s="49">
        <v>42921</v>
      </c>
      <c r="E3" s="20">
        <v>9.7558279999999993</v>
      </c>
      <c r="F3" s="20">
        <v>49.725133</v>
      </c>
      <c r="K3" s="20" t="s">
        <v>892</v>
      </c>
      <c r="L3" s="20"/>
      <c r="M3" s="171" t="s">
        <v>3574</v>
      </c>
      <c r="N3" s="20" t="s">
        <v>2713</v>
      </c>
      <c r="O3" s="28">
        <v>3.5000000000000001E-3</v>
      </c>
      <c r="P3" s="50">
        <v>0</v>
      </c>
      <c r="Q3" s="65">
        <f>O3</f>
        <v>3.5000000000000001E-3</v>
      </c>
      <c r="R3" s="20">
        <v>2.1749999999999998</v>
      </c>
      <c r="S3" s="20">
        <f>3.948+4.972</f>
        <v>8.92</v>
      </c>
      <c r="T3" s="20">
        <f t="shared" si="0"/>
        <v>19.401</v>
      </c>
      <c r="W3" s="20" t="s">
        <v>890</v>
      </c>
      <c r="X3" s="20" t="s">
        <v>889</v>
      </c>
      <c r="Y3" s="49">
        <v>42972</v>
      </c>
      <c r="Z3" s="20">
        <f t="shared" si="1"/>
        <v>51</v>
      </c>
    </row>
    <row r="4" spans="1:26">
      <c r="A4" s="20" t="s">
        <v>1326</v>
      </c>
      <c r="B4" s="20" t="s">
        <v>2115</v>
      </c>
      <c r="C4" s="31" t="s">
        <v>2226</v>
      </c>
      <c r="D4" s="49">
        <v>42921</v>
      </c>
      <c r="E4" s="20">
        <v>9.7558279999999993</v>
      </c>
      <c r="F4" s="20">
        <v>49.725133</v>
      </c>
      <c r="K4" s="20" t="s">
        <v>892</v>
      </c>
      <c r="L4" s="20"/>
      <c r="M4" s="171" t="s">
        <v>3574</v>
      </c>
      <c r="N4" s="20" t="s">
        <v>2713</v>
      </c>
      <c r="O4" s="28">
        <v>3.0000000000000001E-3</v>
      </c>
      <c r="P4" s="50">
        <v>0</v>
      </c>
      <c r="Q4" s="65">
        <f>O4</f>
        <v>3.0000000000000001E-3</v>
      </c>
      <c r="R4" s="20">
        <v>2.109</v>
      </c>
      <c r="S4" s="20">
        <f>4.661+1.516+3.717</f>
        <v>9.8940000000000001</v>
      </c>
      <c r="T4" s="20">
        <f t="shared" si="0"/>
        <v>20.866446</v>
      </c>
      <c r="W4" s="20" t="s">
        <v>890</v>
      </c>
      <c r="X4" s="20" t="s">
        <v>889</v>
      </c>
      <c r="Y4" s="49">
        <v>42972</v>
      </c>
      <c r="Z4" s="20">
        <f t="shared" si="1"/>
        <v>51</v>
      </c>
    </row>
    <row r="5" spans="1:26">
      <c r="A5" s="20" t="s">
        <v>1325</v>
      </c>
      <c r="B5" s="20" t="s">
        <v>2115</v>
      </c>
      <c r="C5" s="31" t="s">
        <v>2226</v>
      </c>
      <c r="D5" s="49">
        <v>42921</v>
      </c>
      <c r="E5" s="20">
        <v>9.7558279999999993</v>
      </c>
      <c r="F5" s="20">
        <v>49.725133</v>
      </c>
      <c r="K5" s="20" t="s">
        <v>2600</v>
      </c>
      <c r="L5" s="20"/>
      <c r="M5" s="172" t="s">
        <v>3578</v>
      </c>
      <c r="N5" s="20" t="s">
        <v>2713</v>
      </c>
      <c r="O5" s="28">
        <v>4.0000000000000002E-4</v>
      </c>
      <c r="P5" s="50">
        <v>0</v>
      </c>
      <c r="Q5" s="65">
        <f>O5</f>
        <v>4.0000000000000002E-4</v>
      </c>
      <c r="R5" s="20">
        <v>1.2310000000000001</v>
      </c>
      <c r="S5" s="20">
        <f>2.926+1.591+1.397</f>
        <v>5.9140000000000006</v>
      </c>
      <c r="T5" s="20">
        <f t="shared" si="0"/>
        <v>7.2801340000000012</v>
      </c>
      <c r="W5" s="20" t="s">
        <v>890</v>
      </c>
      <c r="X5" s="20" t="s">
        <v>889</v>
      </c>
      <c r="Y5" s="49">
        <v>42972</v>
      </c>
      <c r="Z5" s="20">
        <f t="shared" si="1"/>
        <v>51</v>
      </c>
    </row>
    <row r="6" spans="1:26">
      <c r="A6" s="20" t="s">
        <v>1324</v>
      </c>
      <c r="B6" s="20" t="s">
        <v>2115</v>
      </c>
      <c r="C6" s="31" t="s">
        <v>2226</v>
      </c>
      <c r="D6" s="49">
        <v>42921</v>
      </c>
      <c r="E6" s="20">
        <v>9.7558279999999993</v>
      </c>
      <c r="F6" s="20">
        <v>49.725133</v>
      </c>
      <c r="K6" s="20" t="s">
        <v>2600</v>
      </c>
      <c r="L6" s="20"/>
      <c r="M6" s="172" t="s">
        <v>3573</v>
      </c>
      <c r="N6" s="20" t="s">
        <v>2713</v>
      </c>
      <c r="O6" s="28">
        <v>1.2999999999999999E-3</v>
      </c>
      <c r="P6" s="50">
        <v>0</v>
      </c>
      <c r="Q6" s="65">
        <f>O6</f>
        <v>1.2999999999999999E-3</v>
      </c>
      <c r="R6" s="20">
        <v>1.4610000000000001</v>
      </c>
      <c r="S6" s="20">
        <f>3.754+1.318+1.464+1.427</f>
        <v>7.9629999999999992</v>
      </c>
      <c r="T6" s="20">
        <f t="shared" si="0"/>
        <v>11.633942999999999</v>
      </c>
      <c r="W6" s="20" t="s">
        <v>890</v>
      </c>
      <c r="X6" s="20" t="s">
        <v>889</v>
      </c>
      <c r="Y6" s="49">
        <v>42972</v>
      </c>
      <c r="Z6" s="20">
        <f t="shared" si="1"/>
        <v>51</v>
      </c>
    </row>
    <row r="7" spans="1:26">
      <c r="A7" s="20" t="s">
        <v>1323</v>
      </c>
      <c r="B7" s="20" t="s">
        <v>2115</v>
      </c>
      <c r="C7" s="31" t="s">
        <v>2226</v>
      </c>
      <c r="D7" s="49">
        <v>42921</v>
      </c>
      <c r="E7" s="20">
        <v>9.7558279999999993</v>
      </c>
      <c r="F7" s="20">
        <v>49.725133</v>
      </c>
      <c r="K7" s="20" t="s">
        <v>2600</v>
      </c>
      <c r="L7" s="20"/>
      <c r="M7" s="172" t="s">
        <v>3579</v>
      </c>
      <c r="N7" s="20" t="s">
        <v>2713</v>
      </c>
      <c r="O7" s="28">
        <v>4.1599999999999998E-2</v>
      </c>
      <c r="P7">
        <v>3.8671999999999984E-2</v>
      </c>
      <c r="Q7" s="65">
        <f>O7-P7</f>
        <v>2.9280000000000139E-3</v>
      </c>
      <c r="R7" s="20">
        <v>1.915</v>
      </c>
      <c r="S7" s="20">
        <v>10.153</v>
      </c>
      <c r="T7" s="20">
        <f t="shared" si="0"/>
        <v>19.442995</v>
      </c>
      <c r="W7" s="20" t="s">
        <v>887</v>
      </c>
      <c r="X7" s="20" t="s">
        <v>889</v>
      </c>
      <c r="Y7" s="49">
        <v>42972</v>
      </c>
      <c r="Z7" s="20">
        <f t="shared" si="1"/>
        <v>51</v>
      </c>
    </row>
    <row r="8" spans="1:26">
      <c r="A8" s="20" t="s">
        <v>1322</v>
      </c>
      <c r="B8" s="20" t="s">
        <v>2115</v>
      </c>
      <c r="C8" s="31" t="s">
        <v>2226</v>
      </c>
      <c r="D8" s="49">
        <v>42921</v>
      </c>
      <c r="E8" s="20">
        <v>9.7558279999999993</v>
      </c>
      <c r="F8" s="20">
        <v>49.725133</v>
      </c>
      <c r="K8" s="20" t="s">
        <v>2600</v>
      </c>
      <c r="L8" s="20"/>
      <c r="M8" s="172" t="s">
        <v>3578</v>
      </c>
      <c r="N8" s="20" t="s">
        <v>2713</v>
      </c>
      <c r="O8" s="28">
        <v>1.1999999999999999E-3</v>
      </c>
      <c r="P8" s="50">
        <v>0</v>
      </c>
      <c r="Q8" s="65">
        <f>O8</f>
        <v>1.1999999999999999E-3</v>
      </c>
      <c r="R8" s="20">
        <v>1.371</v>
      </c>
      <c r="S8" s="20">
        <f>4.181+3.856</f>
        <v>8.036999999999999</v>
      </c>
      <c r="T8" s="20">
        <f t="shared" si="0"/>
        <v>11.018726999999998</v>
      </c>
      <c r="W8" s="20" t="s">
        <v>890</v>
      </c>
      <c r="X8" s="20" t="s">
        <v>889</v>
      </c>
      <c r="Y8" s="49">
        <v>42972</v>
      </c>
      <c r="Z8" s="20">
        <f t="shared" si="1"/>
        <v>51</v>
      </c>
    </row>
    <row r="9" spans="1:26">
      <c r="A9" s="20" t="s">
        <v>1321</v>
      </c>
      <c r="B9" s="20" t="s">
        <v>2115</v>
      </c>
      <c r="C9" s="31" t="s">
        <v>2226</v>
      </c>
      <c r="D9" s="49">
        <v>42921</v>
      </c>
      <c r="E9" s="20">
        <v>9.7558279999999993</v>
      </c>
      <c r="F9" s="20">
        <v>49.725133</v>
      </c>
      <c r="K9" s="20" t="s">
        <v>2600</v>
      </c>
      <c r="L9" s="20"/>
      <c r="M9" s="172" t="s">
        <v>3578</v>
      </c>
      <c r="N9" s="20" t="s">
        <v>2713</v>
      </c>
      <c r="O9" s="28">
        <v>8.9999999999999998E-4</v>
      </c>
      <c r="P9" s="50">
        <v>0</v>
      </c>
      <c r="Q9" s="65">
        <f>O9</f>
        <v>8.9999999999999998E-4</v>
      </c>
      <c r="R9" s="20">
        <v>1.385</v>
      </c>
      <c r="S9" s="20">
        <f>1.718+1.624+3.317</f>
        <v>6.6590000000000007</v>
      </c>
      <c r="T9" s="20">
        <f t="shared" si="0"/>
        <v>9.2227150000000009</v>
      </c>
      <c r="W9" s="20" t="s">
        <v>890</v>
      </c>
      <c r="X9" s="20" t="s">
        <v>889</v>
      </c>
      <c r="Y9" s="49">
        <v>42972</v>
      </c>
      <c r="Z9" s="20">
        <f t="shared" si="1"/>
        <v>51</v>
      </c>
    </row>
    <row r="10" spans="1:26">
      <c r="A10" s="20" t="s">
        <v>1320</v>
      </c>
      <c r="B10" s="20" t="s">
        <v>2115</v>
      </c>
      <c r="C10" s="31" t="s">
        <v>2226</v>
      </c>
      <c r="D10" s="49">
        <v>42921</v>
      </c>
      <c r="E10" s="20">
        <v>9.7558279999999993</v>
      </c>
      <c r="F10" s="20">
        <v>49.725133</v>
      </c>
      <c r="K10" s="20" t="s">
        <v>2600</v>
      </c>
      <c r="L10" s="20"/>
      <c r="M10" s="172" t="s">
        <v>3579</v>
      </c>
      <c r="N10" s="20" t="s">
        <v>2713</v>
      </c>
      <c r="O10" s="28">
        <v>4.2099999999999999E-2</v>
      </c>
      <c r="P10">
        <v>3.8671999999999984E-2</v>
      </c>
      <c r="Q10" s="65">
        <f>O10-P10</f>
        <v>3.4280000000000144E-3</v>
      </c>
      <c r="R10" s="20">
        <v>1.7909999999999999</v>
      </c>
      <c r="S10" s="20">
        <f>4.057+1.425+3.822</f>
        <v>9.3040000000000003</v>
      </c>
      <c r="T10" s="20">
        <f t="shared" si="0"/>
        <v>16.663464000000001</v>
      </c>
      <c r="W10" s="20" t="s">
        <v>887</v>
      </c>
      <c r="X10" s="20" t="s">
        <v>889</v>
      </c>
      <c r="Y10" s="49">
        <v>42972</v>
      </c>
      <c r="Z10" s="20">
        <f t="shared" si="1"/>
        <v>51</v>
      </c>
    </row>
    <row r="11" spans="1:26">
      <c r="A11" s="20" t="s">
        <v>1319</v>
      </c>
      <c r="B11" s="20" t="s">
        <v>2115</v>
      </c>
      <c r="C11" s="31" t="s">
        <v>2226</v>
      </c>
      <c r="D11" s="49">
        <v>42921</v>
      </c>
      <c r="E11" s="20">
        <v>9.7558279999999993</v>
      </c>
      <c r="F11" s="20">
        <v>49.725133</v>
      </c>
      <c r="K11" s="20" t="s">
        <v>892</v>
      </c>
      <c r="L11" s="20"/>
      <c r="M11" s="172" t="s">
        <v>3574</v>
      </c>
      <c r="N11" s="20" t="s">
        <v>2713</v>
      </c>
      <c r="O11" s="28">
        <v>3.5999999999999999E-3</v>
      </c>
      <c r="P11" s="50">
        <v>0</v>
      </c>
      <c r="Q11" s="65">
        <f>O11</f>
        <v>3.5999999999999999E-3</v>
      </c>
      <c r="R11" s="20">
        <v>2.081</v>
      </c>
      <c r="S11" s="20">
        <f>4.778+1.767+3.765</f>
        <v>10.31</v>
      </c>
      <c r="T11" s="20">
        <f t="shared" si="0"/>
        <v>21.455110000000001</v>
      </c>
      <c r="W11" s="20" t="s">
        <v>890</v>
      </c>
      <c r="X11" s="20" t="s">
        <v>889</v>
      </c>
      <c r="Y11" s="49">
        <v>42972</v>
      </c>
      <c r="Z11" s="20">
        <f t="shared" si="1"/>
        <v>51</v>
      </c>
    </row>
    <row r="12" spans="1:26">
      <c r="A12" s="20" t="s">
        <v>1318</v>
      </c>
      <c r="B12" s="20" t="s">
        <v>2115</v>
      </c>
      <c r="C12" s="31" t="s">
        <v>2226</v>
      </c>
      <c r="D12" s="49">
        <v>42921</v>
      </c>
      <c r="E12" s="20">
        <v>9.7558279999999993</v>
      </c>
      <c r="F12" s="20">
        <v>49.725133</v>
      </c>
      <c r="K12" s="20" t="s">
        <v>2600</v>
      </c>
      <c r="L12" s="20"/>
      <c r="M12" s="172" t="s">
        <v>3579</v>
      </c>
      <c r="N12" s="20" t="s">
        <v>2713</v>
      </c>
      <c r="O12" s="28">
        <v>1.1999999999999999E-3</v>
      </c>
      <c r="P12" s="50">
        <v>0</v>
      </c>
      <c r="Q12" s="65">
        <f>O12</f>
        <v>1.1999999999999999E-3</v>
      </c>
      <c r="R12" s="20">
        <v>1.46</v>
      </c>
      <c r="S12" s="20">
        <f>3.444+1.433+2.025</f>
        <v>6.9019999999999992</v>
      </c>
      <c r="T12" s="20">
        <f t="shared" si="0"/>
        <v>10.076919999999999</v>
      </c>
      <c r="W12" s="20" t="s">
        <v>890</v>
      </c>
      <c r="X12" s="20" t="s">
        <v>889</v>
      </c>
      <c r="Y12" s="49">
        <v>42972</v>
      </c>
      <c r="Z12" s="20">
        <f t="shared" si="1"/>
        <v>51</v>
      </c>
    </row>
    <row r="13" spans="1:26">
      <c r="A13" s="20" t="s">
        <v>1317</v>
      </c>
      <c r="B13" s="20" t="s">
        <v>2115</v>
      </c>
      <c r="C13" s="31" t="s">
        <v>2226</v>
      </c>
      <c r="D13" s="49">
        <v>42921</v>
      </c>
      <c r="E13" s="20">
        <v>9.7558279999999993</v>
      </c>
      <c r="F13" s="20">
        <v>49.725133</v>
      </c>
      <c r="K13" s="20" t="s">
        <v>2600</v>
      </c>
      <c r="L13" s="20"/>
      <c r="M13" s="172" t="s">
        <v>3579</v>
      </c>
      <c r="N13" s="20" t="s">
        <v>2713</v>
      </c>
      <c r="O13" s="28">
        <v>4.02E-2</v>
      </c>
      <c r="P13">
        <v>3.8671999999999984E-2</v>
      </c>
      <c r="Q13" s="65">
        <f>O13-P13</f>
        <v>1.5280000000000155E-3</v>
      </c>
      <c r="R13" s="20">
        <v>1.6910000000000001</v>
      </c>
      <c r="S13" s="20">
        <f>4.397+4.321</f>
        <v>8.718</v>
      </c>
      <c r="T13" s="20">
        <f t="shared" si="0"/>
        <v>14.742138000000001</v>
      </c>
      <c r="W13" s="20" t="s">
        <v>887</v>
      </c>
      <c r="X13" s="20" t="s">
        <v>889</v>
      </c>
      <c r="Y13" s="49">
        <v>42972</v>
      </c>
      <c r="Z13" s="20">
        <f t="shared" si="1"/>
        <v>51</v>
      </c>
    </row>
    <row r="14" spans="1:26">
      <c r="A14" s="20" t="s">
        <v>1316</v>
      </c>
      <c r="B14" s="20" t="s">
        <v>2115</v>
      </c>
      <c r="C14" s="31" t="s">
        <v>2226</v>
      </c>
      <c r="D14" s="49">
        <v>42921</v>
      </c>
      <c r="E14" s="20">
        <v>9.7558279999999993</v>
      </c>
      <c r="F14" s="20">
        <v>49.725133</v>
      </c>
      <c r="K14" s="20" t="s">
        <v>892</v>
      </c>
      <c r="L14" s="20"/>
      <c r="M14" s="172" t="s">
        <v>3574</v>
      </c>
      <c r="N14" s="20" t="s">
        <v>2713</v>
      </c>
      <c r="O14" s="28">
        <v>4.3799999999999999E-2</v>
      </c>
      <c r="P14">
        <v>3.8671999999999984E-2</v>
      </c>
      <c r="Q14" s="65">
        <f>O14-P14</f>
        <v>5.1280000000000145E-3</v>
      </c>
      <c r="R14" s="20">
        <v>2.2330000000000001</v>
      </c>
      <c r="S14" s="20">
        <v>11.321</v>
      </c>
      <c r="T14" s="20">
        <f t="shared" si="0"/>
        <v>25.279793000000002</v>
      </c>
      <c r="W14" s="20" t="s">
        <v>887</v>
      </c>
      <c r="X14" s="20" t="s">
        <v>889</v>
      </c>
      <c r="Y14" s="49">
        <v>42972</v>
      </c>
      <c r="Z14" s="20">
        <f t="shared" si="1"/>
        <v>51</v>
      </c>
    </row>
    <row r="15" spans="1:26">
      <c r="A15" s="20" t="s">
        <v>1315</v>
      </c>
      <c r="B15" s="20" t="s">
        <v>2115</v>
      </c>
      <c r="C15" s="31" t="s">
        <v>2226</v>
      </c>
      <c r="D15" s="49">
        <v>42921</v>
      </c>
      <c r="E15" s="20">
        <v>9.7558279999999993</v>
      </c>
      <c r="F15" s="20">
        <v>49.725133</v>
      </c>
      <c r="K15" s="20" t="s">
        <v>2600</v>
      </c>
      <c r="L15" s="20"/>
      <c r="M15" s="172" t="s">
        <v>3573</v>
      </c>
      <c r="N15" s="20" t="s">
        <v>2713</v>
      </c>
      <c r="O15" s="28">
        <v>4.1200000000000001E-2</v>
      </c>
      <c r="P15">
        <v>3.8671999999999984E-2</v>
      </c>
      <c r="Q15" s="65">
        <f>O15-P15</f>
        <v>2.5280000000000163E-3</v>
      </c>
      <c r="R15" s="20">
        <v>1.609</v>
      </c>
      <c r="S15" s="20">
        <f>4.402+4.183</f>
        <v>8.5850000000000009</v>
      </c>
      <c r="T15" s="20">
        <f t="shared" si="0"/>
        <v>13.813265000000001</v>
      </c>
      <c r="W15" s="20" t="s">
        <v>887</v>
      </c>
      <c r="X15" s="20" t="s">
        <v>889</v>
      </c>
      <c r="Y15" s="49">
        <v>42972</v>
      </c>
      <c r="Z15" s="20">
        <f t="shared" si="1"/>
        <v>51</v>
      </c>
    </row>
    <row r="16" spans="1:26">
      <c r="A16" s="20" t="s">
        <v>1314</v>
      </c>
      <c r="B16" s="20" t="s">
        <v>2115</v>
      </c>
      <c r="C16" s="31" t="s">
        <v>2226</v>
      </c>
      <c r="D16" s="49">
        <v>42921</v>
      </c>
      <c r="E16" s="20">
        <v>9.7558279999999993</v>
      </c>
      <c r="F16" s="20">
        <v>49.725133</v>
      </c>
      <c r="K16" s="20" t="s">
        <v>2600</v>
      </c>
      <c r="L16" s="20"/>
      <c r="M16" s="172" t="s">
        <v>3579</v>
      </c>
      <c r="N16" s="20" t="s">
        <v>2713</v>
      </c>
      <c r="O16" s="28">
        <v>3.9699999999999999E-2</v>
      </c>
      <c r="P16">
        <v>3.8671999999999984E-2</v>
      </c>
      <c r="Q16" s="65">
        <f>O16-P16</f>
        <v>1.028000000000015E-3</v>
      </c>
      <c r="R16" s="20">
        <v>1.5429999999999999</v>
      </c>
      <c r="S16" s="20">
        <f>4.912+3.218</f>
        <v>8.129999999999999</v>
      </c>
      <c r="T16" s="20">
        <f t="shared" si="0"/>
        <v>12.544589999999998</v>
      </c>
      <c r="W16" s="20" t="s">
        <v>887</v>
      </c>
      <c r="X16" s="20" t="s">
        <v>889</v>
      </c>
      <c r="Y16" s="49">
        <v>42972</v>
      </c>
      <c r="Z16" s="20">
        <f t="shared" si="1"/>
        <v>51</v>
      </c>
    </row>
    <row r="17" spans="1:26">
      <c r="A17" s="20" t="s">
        <v>1313</v>
      </c>
      <c r="B17" s="20" t="s">
        <v>2115</v>
      </c>
      <c r="C17" s="31" t="s">
        <v>2226</v>
      </c>
      <c r="D17" s="49">
        <v>42921</v>
      </c>
      <c r="E17" s="20">
        <v>9.7558279999999993</v>
      </c>
      <c r="F17" s="20">
        <v>49.725133</v>
      </c>
      <c r="K17" s="20" t="s">
        <v>892</v>
      </c>
      <c r="L17" s="20"/>
      <c r="M17" s="172" t="s">
        <v>3574</v>
      </c>
      <c r="N17" s="20" t="s">
        <v>2713</v>
      </c>
      <c r="O17" s="28">
        <v>3.8E-3</v>
      </c>
      <c r="P17" s="50">
        <v>0</v>
      </c>
      <c r="Q17" s="65">
        <f>O17</f>
        <v>3.8E-3</v>
      </c>
      <c r="R17" s="20">
        <v>2.2469999999999999</v>
      </c>
      <c r="S17" s="20">
        <f>4.85+1.108+3.744</f>
        <v>9.702</v>
      </c>
      <c r="T17" s="20">
        <f t="shared" si="0"/>
        <v>21.800393999999997</v>
      </c>
      <c r="W17" s="20" t="s">
        <v>890</v>
      </c>
      <c r="X17" s="20" t="s">
        <v>889</v>
      </c>
      <c r="Y17" s="49">
        <v>42972</v>
      </c>
      <c r="Z17" s="20">
        <f t="shared" si="1"/>
        <v>51</v>
      </c>
    </row>
    <row r="18" spans="1:26">
      <c r="A18" s="20" t="s">
        <v>1312</v>
      </c>
      <c r="B18" s="20" t="s">
        <v>2115</v>
      </c>
      <c r="C18" s="31" t="s">
        <v>2226</v>
      </c>
      <c r="D18" s="49">
        <v>42921</v>
      </c>
      <c r="E18" s="20">
        <v>9.7558279999999993</v>
      </c>
      <c r="F18" s="20">
        <v>49.725133</v>
      </c>
      <c r="K18" s="20" t="s">
        <v>2600</v>
      </c>
      <c r="L18" s="20"/>
      <c r="M18" s="172" t="s">
        <v>3578</v>
      </c>
      <c r="N18" s="20" t="s">
        <v>2713</v>
      </c>
      <c r="O18" s="28">
        <v>3.8899999999999997E-2</v>
      </c>
      <c r="P18">
        <v>3.8671999999999984E-2</v>
      </c>
      <c r="Q18" s="65">
        <f>O18-P18</f>
        <v>2.2800000000001291E-4</v>
      </c>
      <c r="R18" s="20">
        <v>1.3859999999999999</v>
      </c>
      <c r="S18" s="20">
        <f>3.45+2.514</f>
        <v>5.9640000000000004</v>
      </c>
      <c r="T18" s="20">
        <f t="shared" si="0"/>
        <v>8.2661040000000003</v>
      </c>
      <c r="W18" s="20" t="s">
        <v>887</v>
      </c>
      <c r="X18" s="20" t="s">
        <v>889</v>
      </c>
      <c r="Y18" s="49">
        <v>42972</v>
      </c>
      <c r="Z18" s="20">
        <f t="shared" si="1"/>
        <v>51</v>
      </c>
    </row>
    <row r="19" spans="1:26">
      <c r="A19" s="20" t="s">
        <v>1311</v>
      </c>
      <c r="B19" s="20" t="s">
        <v>2115</v>
      </c>
      <c r="C19" s="31" t="s">
        <v>2226</v>
      </c>
      <c r="D19" s="49">
        <v>42921</v>
      </c>
      <c r="E19" s="20">
        <v>9.7558279999999993</v>
      </c>
      <c r="F19" s="20">
        <v>49.725133</v>
      </c>
      <c r="K19" s="20" t="s">
        <v>2600</v>
      </c>
      <c r="L19" s="20"/>
      <c r="M19" s="172" t="s">
        <v>3573</v>
      </c>
      <c r="N19" s="20" t="s">
        <v>2713</v>
      </c>
      <c r="O19" s="28">
        <v>1.4E-3</v>
      </c>
      <c r="P19" s="50">
        <v>0</v>
      </c>
      <c r="Q19" s="65">
        <f>O19</f>
        <v>1.4E-3</v>
      </c>
      <c r="R19" s="20">
        <v>1.71</v>
      </c>
      <c r="S19" s="20">
        <f>3.81+1.463+4.025</f>
        <v>9.298</v>
      </c>
      <c r="T19" s="20">
        <f t="shared" si="0"/>
        <v>15.89958</v>
      </c>
      <c r="W19" s="20" t="s">
        <v>890</v>
      </c>
      <c r="X19" s="20" t="s">
        <v>889</v>
      </c>
      <c r="Y19" s="49">
        <v>42972</v>
      </c>
      <c r="Z19" s="20">
        <f t="shared" si="1"/>
        <v>51</v>
      </c>
    </row>
    <row r="20" spans="1:26">
      <c r="A20" s="20" t="s">
        <v>1310</v>
      </c>
      <c r="B20" s="20" t="s">
        <v>2115</v>
      </c>
      <c r="C20" s="31" t="s">
        <v>2226</v>
      </c>
      <c r="D20" s="49">
        <v>42921</v>
      </c>
      <c r="E20" s="20">
        <v>9.7558279999999993</v>
      </c>
      <c r="F20" s="20">
        <v>49.725133</v>
      </c>
      <c r="K20" s="20" t="s">
        <v>892</v>
      </c>
      <c r="L20" s="20"/>
      <c r="M20" s="172" t="s">
        <v>3574</v>
      </c>
      <c r="N20" s="20" t="s">
        <v>2713</v>
      </c>
      <c r="O20" s="28">
        <v>4.4999999999999997E-3</v>
      </c>
      <c r="P20" s="50">
        <v>0</v>
      </c>
      <c r="Q20" s="65">
        <f>O20</f>
        <v>4.4999999999999997E-3</v>
      </c>
      <c r="R20" s="20">
        <v>2.25</v>
      </c>
      <c r="S20" s="20">
        <f>5.38+5.389</f>
        <v>10.769</v>
      </c>
      <c r="T20" s="20">
        <f t="shared" si="0"/>
        <v>24.230250000000002</v>
      </c>
      <c r="W20" s="20" t="s">
        <v>890</v>
      </c>
      <c r="X20" s="20" t="s">
        <v>889</v>
      </c>
      <c r="Y20" s="49">
        <v>42972</v>
      </c>
      <c r="Z20" s="20">
        <f t="shared" si="1"/>
        <v>51</v>
      </c>
    </row>
    <row r="21" spans="1:26">
      <c r="A21" s="20" t="s">
        <v>1309</v>
      </c>
      <c r="B21" s="20" t="s">
        <v>2115</v>
      </c>
      <c r="C21" s="31" t="s">
        <v>2226</v>
      </c>
      <c r="D21" s="49">
        <v>42921</v>
      </c>
      <c r="E21" s="20">
        <v>9.7558279999999993</v>
      </c>
      <c r="F21" s="20">
        <v>49.725133</v>
      </c>
      <c r="K21" s="20" t="s">
        <v>2600</v>
      </c>
      <c r="L21" s="20"/>
      <c r="M21" s="172" t="s">
        <v>3579</v>
      </c>
      <c r="N21" s="20" t="s">
        <v>2713</v>
      </c>
      <c r="O21" s="28">
        <v>4.1500000000000002E-2</v>
      </c>
      <c r="P21">
        <v>3.8671999999999984E-2</v>
      </c>
      <c r="Q21" s="65">
        <f t="shared" ref="Q21:Q29" si="2">O21-P21</f>
        <v>2.828000000000018E-3</v>
      </c>
      <c r="R21" s="20">
        <v>1.6890000000000001</v>
      </c>
      <c r="S21" s="20">
        <v>9.0079999999999991</v>
      </c>
      <c r="T21" s="20">
        <f t="shared" si="0"/>
        <v>15.214511999999999</v>
      </c>
      <c r="W21" s="20" t="s">
        <v>887</v>
      </c>
      <c r="X21" s="20" t="s">
        <v>889</v>
      </c>
      <c r="Y21" s="49">
        <v>42972</v>
      </c>
      <c r="Z21" s="20">
        <f t="shared" si="1"/>
        <v>51</v>
      </c>
    </row>
    <row r="22" spans="1:26">
      <c r="A22" s="20" t="s">
        <v>1308</v>
      </c>
      <c r="B22" s="20" t="s">
        <v>2115</v>
      </c>
      <c r="C22" s="31" t="s">
        <v>2226</v>
      </c>
      <c r="D22" s="49">
        <v>42921</v>
      </c>
      <c r="E22" s="20">
        <v>9.7558279999999993</v>
      </c>
      <c r="F22" s="20">
        <v>49.725133</v>
      </c>
      <c r="K22" s="20" t="s">
        <v>2600</v>
      </c>
      <c r="L22" s="20"/>
      <c r="M22" s="172" t="s">
        <v>3579</v>
      </c>
      <c r="N22" s="20" t="s">
        <v>2713</v>
      </c>
      <c r="O22" s="28">
        <v>4.1799999999999997E-2</v>
      </c>
      <c r="P22">
        <v>3.8671999999999984E-2</v>
      </c>
      <c r="Q22" s="65">
        <f t="shared" si="2"/>
        <v>3.1280000000000127E-3</v>
      </c>
      <c r="R22" s="20">
        <v>1.663</v>
      </c>
      <c r="S22" s="20">
        <f>5.115+4.41</f>
        <v>9.5250000000000004</v>
      </c>
      <c r="T22" s="20">
        <f t="shared" si="0"/>
        <v>15.840075000000001</v>
      </c>
      <c r="W22" s="20" t="s">
        <v>887</v>
      </c>
      <c r="X22" s="20" t="s">
        <v>889</v>
      </c>
      <c r="Y22" s="49">
        <v>42972</v>
      </c>
      <c r="Z22" s="20">
        <f t="shared" si="1"/>
        <v>51</v>
      </c>
    </row>
    <row r="23" spans="1:26">
      <c r="A23" s="20" t="s">
        <v>1307</v>
      </c>
      <c r="B23" s="20" t="s">
        <v>2115</v>
      </c>
      <c r="C23" s="31" t="s">
        <v>2226</v>
      </c>
      <c r="D23" s="49">
        <v>42921</v>
      </c>
      <c r="E23" s="20">
        <v>9.7558279999999993</v>
      </c>
      <c r="F23" s="20">
        <v>49.725133</v>
      </c>
      <c r="K23" s="20" t="s">
        <v>2600</v>
      </c>
      <c r="L23" s="20"/>
      <c r="M23" s="172" t="s">
        <v>3578</v>
      </c>
      <c r="N23" s="20" t="s">
        <v>2713</v>
      </c>
      <c r="O23" s="28">
        <v>3.9399999999999998E-2</v>
      </c>
      <c r="P23">
        <v>3.8671999999999984E-2</v>
      </c>
      <c r="Q23" s="65">
        <f t="shared" si="2"/>
        <v>7.2800000000001336E-4</v>
      </c>
      <c r="R23" s="20">
        <v>1.399</v>
      </c>
      <c r="S23" s="20">
        <f>3.361+1.185+2.454</f>
        <v>7</v>
      </c>
      <c r="T23" s="20">
        <f t="shared" si="0"/>
        <v>9.7929999999999993</v>
      </c>
      <c r="W23" s="20" t="s">
        <v>887</v>
      </c>
      <c r="X23" s="20" t="s">
        <v>889</v>
      </c>
      <c r="Y23" s="49">
        <v>42972</v>
      </c>
      <c r="Z23" s="20">
        <f t="shared" si="1"/>
        <v>51</v>
      </c>
    </row>
    <row r="24" spans="1:26">
      <c r="A24" s="20" t="s">
        <v>1306</v>
      </c>
      <c r="B24" s="20" t="s">
        <v>2115</v>
      </c>
      <c r="C24" s="31" t="s">
        <v>2226</v>
      </c>
      <c r="D24" s="49">
        <v>42921</v>
      </c>
      <c r="E24" s="20">
        <v>9.7558279999999993</v>
      </c>
      <c r="F24" s="20">
        <v>49.725133</v>
      </c>
      <c r="K24" s="20" t="s">
        <v>2600</v>
      </c>
      <c r="L24" s="20"/>
      <c r="M24" s="172" t="s">
        <v>3579</v>
      </c>
      <c r="N24" s="20" t="s">
        <v>2713</v>
      </c>
      <c r="O24" s="28">
        <v>4.1200000000000001E-2</v>
      </c>
      <c r="P24">
        <v>3.8671999999999984E-2</v>
      </c>
      <c r="Q24" s="65">
        <f t="shared" si="2"/>
        <v>2.5280000000000163E-3</v>
      </c>
      <c r="R24" s="20">
        <v>1.784</v>
      </c>
      <c r="S24" s="20">
        <f>4.177+3.969</f>
        <v>8.145999999999999</v>
      </c>
      <c r="T24" s="20">
        <f t="shared" si="0"/>
        <v>14.532463999999999</v>
      </c>
      <c r="W24" s="20" t="s">
        <v>887</v>
      </c>
      <c r="X24" s="20" t="s">
        <v>889</v>
      </c>
      <c r="Y24" s="49">
        <v>42972</v>
      </c>
      <c r="Z24" s="20">
        <f t="shared" si="1"/>
        <v>51</v>
      </c>
    </row>
    <row r="25" spans="1:26">
      <c r="A25" s="20" t="s">
        <v>1305</v>
      </c>
      <c r="B25" s="20" t="s">
        <v>2115</v>
      </c>
      <c r="C25" s="31" t="s">
        <v>2226</v>
      </c>
      <c r="D25" s="49">
        <v>42921</v>
      </c>
      <c r="E25" s="20">
        <v>9.7558279999999993</v>
      </c>
      <c r="F25" s="20">
        <v>49.725133</v>
      </c>
      <c r="K25" s="20" t="s">
        <v>892</v>
      </c>
      <c r="L25" s="20"/>
      <c r="M25" s="172" t="s">
        <v>3574</v>
      </c>
      <c r="N25" s="20" t="s">
        <v>2713</v>
      </c>
      <c r="O25" s="28">
        <v>4.3499999999999997E-2</v>
      </c>
      <c r="P25">
        <v>3.8671999999999984E-2</v>
      </c>
      <c r="Q25" s="65">
        <f t="shared" si="2"/>
        <v>4.8280000000000128E-3</v>
      </c>
      <c r="R25" s="20">
        <v>2.1800000000000002</v>
      </c>
      <c r="S25" s="20">
        <v>9.9710000000000001</v>
      </c>
      <c r="T25" s="20">
        <f t="shared" si="0"/>
        <v>21.736780000000003</v>
      </c>
      <c r="W25" s="20" t="s">
        <v>887</v>
      </c>
      <c r="X25" s="20" t="s">
        <v>889</v>
      </c>
      <c r="Y25" s="49">
        <v>42972</v>
      </c>
      <c r="Z25" s="20">
        <f t="shared" si="1"/>
        <v>51</v>
      </c>
    </row>
    <row r="26" spans="1:26">
      <c r="A26" s="20" t="s">
        <v>1304</v>
      </c>
      <c r="B26" s="20" t="s">
        <v>2115</v>
      </c>
      <c r="C26" s="31" t="s">
        <v>2226</v>
      </c>
      <c r="D26" s="49">
        <v>42921</v>
      </c>
      <c r="E26" s="20">
        <v>9.7558279999999993</v>
      </c>
      <c r="F26" s="20">
        <v>49.725133</v>
      </c>
      <c r="K26" s="20" t="s">
        <v>2600</v>
      </c>
      <c r="L26" s="20"/>
      <c r="M26" s="172" t="s">
        <v>2591</v>
      </c>
      <c r="N26" s="20" t="s">
        <v>2713</v>
      </c>
      <c r="O26" s="28">
        <v>4.6600000000000003E-2</v>
      </c>
      <c r="P26">
        <v>3.8671999999999984E-2</v>
      </c>
      <c r="Q26" s="65">
        <f t="shared" si="2"/>
        <v>7.9280000000000184E-3</v>
      </c>
      <c r="R26" s="20">
        <v>2.8109999999999999</v>
      </c>
      <c r="S26" s="20">
        <f>6.227+6.319</f>
        <v>12.545999999999999</v>
      </c>
      <c r="T26" s="20">
        <f t="shared" si="0"/>
        <v>35.266805999999995</v>
      </c>
      <c r="W26" s="20" t="s">
        <v>887</v>
      </c>
      <c r="X26" s="20" t="s">
        <v>889</v>
      </c>
      <c r="Y26" s="49">
        <v>42972</v>
      </c>
      <c r="Z26" s="20">
        <f t="shared" si="1"/>
        <v>51</v>
      </c>
    </row>
    <row r="27" spans="1:26">
      <c r="A27" s="20" t="s">
        <v>1303</v>
      </c>
      <c r="B27" s="20" t="s">
        <v>2115</v>
      </c>
      <c r="C27" s="31" t="s">
        <v>2226</v>
      </c>
      <c r="D27" s="49">
        <v>42921</v>
      </c>
      <c r="E27" s="20">
        <v>9.7558279999999993</v>
      </c>
      <c r="F27" s="20">
        <v>49.725133</v>
      </c>
      <c r="K27" s="20" t="s">
        <v>2600</v>
      </c>
      <c r="L27" s="20"/>
      <c r="M27" s="172" t="s">
        <v>3578</v>
      </c>
      <c r="N27" s="20" t="s">
        <v>2713</v>
      </c>
      <c r="O27" s="28">
        <v>4.1000000000000002E-2</v>
      </c>
      <c r="P27">
        <v>3.8671999999999984E-2</v>
      </c>
      <c r="Q27" s="65">
        <f t="shared" si="2"/>
        <v>2.3280000000000176E-3</v>
      </c>
      <c r="R27" s="20">
        <v>1.359</v>
      </c>
      <c r="S27" s="20">
        <v>7.2709999999999999</v>
      </c>
      <c r="T27" s="20">
        <f t="shared" si="0"/>
        <v>9.8812890000000007</v>
      </c>
      <c r="W27" s="20" t="s">
        <v>887</v>
      </c>
      <c r="X27" s="20" t="s">
        <v>889</v>
      </c>
      <c r="Y27" s="49">
        <v>42972</v>
      </c>
      <c r="Z27" s="20">
        <f t="shared" si="1"/>
        <v>51</v>
      </c>
    </row>
    <row r="28" spans="1:26">
      <c r="A28" s="20" t="s">
        <v>1302</v>
      </c>
      <c r="B28" s="20" t="s">
        <v>2115</v>
      </c>
      <c r="C28" s="31" t="s">
        <v>2226</v>
      </c>
      <c r="D28" s="49">
        <v>42921</v>
      </c>
      <c r="E28" s="20">
        <v>9.7558279999999993</v>
      </c>
      <c r="F28" s="20">
        <v>49.725133</v>
      </c>
      <c r="K28" s="20" t="s">
        <v>2600</v>
      </c>
      <c r="L28" s="20"/>
      <c r="M28" s="172" t="s">
        <v>3579</v>
      </c>
      <c r="N28" s="20" t="s">
        <v>2713</v>
      </c>
      <c r="O28" s="28">
        <v>4.1200000000000001E-2</v>
      </c>
      <c r="P28">
        <v>3.8671999999999984E-2</v>
      </c>
      <c r="Q28" s="65">
        <f t="shared" si="2"/>
        <v>2.5280000000000163E-3</v>
      </c>
      <c r="R28" s="20">
        <v>1.71</v>
      </c>
      <c r="S28" s="20">
        <f>3.875+4.198</f>
        <v>8.0730000000000004</v>
      </c>
      <c r="T28" s="20">
        <f t="shared" si="0"/>
        <v>13.804830000000001</v>
      </c>
      <c r="W28" s="20" t="s">
        <v>887</v>
      </c>
      <c r="X28" s="20" t="s">
        <v>889</v>
      </c>
      <c r="Y28" s="49">
        <v>42972</v>
      </c>
      <c r="Z28" s="20">
        <f t="shared" si="1"/>
        <v>51</v>
      </c>
    </row>
    <row r="29" spans="1:26">
      <c r="A29" s="20" t="s">
        <v>1301</v>
      </c>
      <c r="B29" s="20" t="s">
        <v>2115</v>
      </c>
      <c r="C29" s="31" t="s">
        <v>2226</v>
      </c>
      <c r="D29" s="49">
        <v>42921</v>
      </c>
      <c r="E29" s="20">
        <v>9.7558279999999993</v>
      </c>
      <c r="F29" s="20">
        <v>49.725133</v>
      </c>
      <c r="K29" s="20" t="s">
        <v>2600</v>
      </c>
      <c r="L29" s="20"/>
      <c r="M29" s="172" t="s">
        <v>3579</v>
      </c>
      <c r="N29" s="20" t="s">
        <v>2713</v>
      </c>
      <c r="O29" s="28">
        <v>4.1500000000000002E-2</v>
      </c>
      <c r="P29">
        <v>3.8671999999999984E-2</v>
      </c>
      <c r="Q29" s="65">
        <f t="shared" si="2"/>
        <v>2.828000000000018E-3</v>
      </c>
      <c r="R29" s="20">
        <v>1.694</v>
      </c>
      <c r="S29" s="20">
        <f>4.989+4.097</f>
        <v>9.0860000000000003</v>
      </c>
      <c r="T29" s="20">
        <f t="shared" si="0"/>
        <v>15.391684</v>
      </c>
      <c r="W29" s="20" t="s">
        <v>887</v>
      </c>
      <c r="X29" s="20" t="s">
        <v>889</v>
      </c>
      <c r="Y29" s="49">
        <v>42972</v>
      </c>
      <c r="Z29" s="20">
        <f t="shared" si="1"/>
        <v>51</v>
      </c>
    </row>
    <row r="30" spans="1:26">
      <c r="A30" s="20" t="s">
        <v>1300</v>
      </c>
      <c r="B30" s="20" t="s">
        <v>2115</v>
      </c>
      <c r="C30" s="31" t="s">
        <v>2226</v>
      </c>
      <c r="D30" s="49">
        <v>42921</v>
      </c>
      <c r="E30" s="20">
        <v>9.7558279999999993</v>
      </c>
      <c r="F30" s="20">
        <v>49.725133</v>
      </c>
      <c r="K30" s="20" t="s">
        <v>892</v>
      </c>
      <c r="L30" s="20"/>
      <c r="M30" s="172" t="s">
        <v>3574</v>
      </c>
      <c r="N30" s="20" t="s">
        <v>2713</v>
      </c>
      <c r="O30" s="28">
        <v>3.5999999999999999E-3</v>
      </c>
      <c r="P30" s="50">
        <v>0</v>
      </c>
      <c r="Q30" s="65">
        <f>O30</f>
        <v>3.5999999999999999E-3</v>
      </c>
      <c r="R30" s="20">
        <v>2.1669999999999998</v>
      </c>
      <c r="S30" s="20">
        <f>5.28+4.712</f>
        <v>9.9920000000000009</v>
      </c>
      <c r="T30" s="20">
        <f t="shared" si="0"/>
        <v>21.652664000000001</v>
      </c>
      <c r="W30" s="20" t="s">
        <v>890</v>
      </c>
      <c r="X30" s="20" t="s">
        <v>889</v>
      </c>
      <c r="Y30" s="49">
        <v>42972</v>
      </c>
      <c r="Z30" s="20">
        <f t="shared" si="1"/>
        <v>51</v>
      </c>
    </row>
    <row r="31" spans="1:26">
      <c r="A31" s="20" t="s">
        <v>1299</v>
      </c>
      <c r="B31" s="20" t="s">
        <v>2115</v>
      </c>
      <c r="C31" s="31" t="s">
        <v>2226</v>
      </c>
      <c r="D31" s="49">
        <v>42921</v>
      </c>
      <c r="E31" s="20">
        <v>9.7558279999999993</v>
      </c>
      <c r="F31" s="20">
        <v>49.725133</v>
      </c>
      <c r="K31" s="20" t="s">
        <v>2600</v>
      </c>
      <c r="L31" s="20"/>
      <c r="M31" s="172" t="s">
        <v>3578</v>
      </c>
      <c r="N31" s="20" t="s">
        <v>2713</v>
      </c>
      <c r="O31" s="28">
        <v>4.0800000000000003E-2</v>
      </c>
      <c r="P31">
        <v>3.8671999999999984E-2</v>
      </c>
      <c r="Q31" s="65">
        <f t="shared" ref="Q31:Q43" si="3">O31-P31</f>
        <v>2.1280000000000188E-3</v>
      </c>
      <c r="R31" s="20">
        <v>1.5429999999999999</v>
      </c>
      <c r="S31" s="20">
        <v>7.5430000000000001</v>
      </c>
      <c r="T31" s="20">
        <f t="shared" si="0"/>
        <v>11.638849</v>
      </c>
      <c r="W31" s="20" t="s">
        <v>887</v>
      </c>
      <c r="X31" s="20" t="s">
        <v>889</v>
      </c>
      <c r="Y31" s="49">
        <v>42972</v>
      </c>
      <c r="Z31" s="20">
        <f t="shared" si="1"/>
        <v>51</v>
      </c>
    </row>
    <row r="32" spans="1:26">
      <c r="A32" s="20" t="s">
        <v>1298</v>
      </c>
      <c r="B32" s="20" t="s">
        <v>2115</v>
      </c>
      <c r="C32" s="31" t="s">
        <v>2226</v>
      </c>
      <c r="D32" s="49">
        <v>42921</v>
      </c>
      <c r="E32" s="20">
        <v>9.7558279999999993</v>
      </c>
      <c r="F32" s="20">
        <v>49.725133</v>
      </c>
      <c r="K32" s="20" t="s">
        <v>2600</v>
      </c>
      <c r="L32" s="20"/>
      <c r="M32" s="172" t="s">
        <v>3578</v>
      </c>
      <c r="N32" s="20" t="s">
        <v>2713</v>
      </c>
      <c r="O32" s="28">
        <v>4.1200000000000001E-2</v>
      </c>
      <c r="P32">
        <v>3.8671999999999984E-2</v>
      </c>
      <c r="Q32" s="65">
        <f t="shared" si="3"/>
        <v>2.5280000000000163E-3</v>
      </c>
      <c r="R32" s="20">
        <v>1.5660000000000001</v>
      </c>
      <c r="S32" s="20">
        <v>7.5149999999999997</v>
      </c>
      <c r="T32" s="20">
        <f t="shared" si="0"/>
        <v>11.76849</v>
      </c>
      <c r="W32" s="20" t="s">
        <v>887</v>
      </c>
      <c r="X32" s="20" t="s">
        <v>889</v>
      </c>
      <c r="Y32" s="49">
        <v>42972</v>
      </c>
      <c r="Z32" s="20">
        <f t="shared" si="1"/>
        <v>51</v>
      </c>
    </row>
    <row r="33" spans="1:26">
      <c r="A33" s="20" t="s">
        <v>1297</v>
      </c>
      <c r="B33" s="20" t="s">
        <v>2115</v>
      </c>
      <c r="C33" s="31" t="s">
        <v>2226</v>
      </c>
      <c r="D33" s="49">
        <v>42921</v>
      </c>
      <c r="E33" s="20">
        <v>9.7558279999999993</v>
      </c>
      <c r="F33" s="20">
        <v>49.725133</v>
      </c>
      <c r="K33" s="20" t="s">
        <v>2602</v>
      </c>
      <c r="L33" s="20"/>
      <c r="M33" s="172" t="s">
        <v>3580</v>
      </c>
      <c r="N33" s="20" t="s">
        <v>2713</v>
      </c>
      <c r="O33" s="28">
        <v>4.3299999999999998E-2</v>
      </c>
      <c r="P33">
        <v>3.8671999999999984E-2</v>
      </c>
      <c r="Q33" s="65">
        <f t="shared" si="3"/>
        <v>4.628000000000014E-3</v>
      </c>
      <c r="R33" s="20">
        <v>2.3919999999999999</v>
      </c>
      <c r="S33" s="20">
        <v>10.423</v>
      </c>
      <c r="T33" s="20">
        <f t="shared" si="0"/>
        <v>24.931815999999998</v>
      </c>
      <c r="W33" s="20" t="s">
        <v>887</v>
      </c>
      <c r="X33" s="20" t="s">
        <v>889</v>
      </c>
      <c r="Y33" s="49">
        <v>42972</v>
      </c>
      <c r="Z33" s="20">
        <f t="shared" si="1"/>
        <v>51</v>
      </c>
    </row>
    <row r="34" spans="1:26">
      <c r="A34" s="20" t="s">
        <v>1296</v>
      </c>
      <c r="B34" s="20" t="s">
        <v>2115</v>
      </c>
      <c r="C34" s="31" t="s">
        <v>2226</v>
      </c>
      <c r="D34" s="49">
        <v>42921</v>
      </c>
      <c r="E34" s="20">
        <v>9.7558279999999993</v>
      </c>
      <c r="F34" s="20">
        <v>49.725133</v>
      </c>
      <c r="K34" s="20" t="s">
        <v>2600</v>
      </c>
      <c r="L34" s="20"/>
      <c r="M34" s="172" t="s">
        <v>3579</v>
      </c>
      <c r="N34" s="20" t="s">
        <v>2713</v>
      </c>
      <c r="O34" s="28">
        <v>4.1500000000000002E-2</v>
      </c>
      <c r="P34">
        <v>3.8671999999999984E-2</v>
      </c>
      <c r="Q34" s="65">
        <f t="shared" si="3"/>
        <v>2.828000000000018E-3</v>
      </c>
      <c r="R34" s="20">
        <v>1.726</v>
      </c>
      <c r="S34" s="20">
        <f>4.252+1.442+3.102</f>
        <v>8.7959999999999994</v>
      </c>
      <c r="T34" s="20">
        <f t="shared" si="0"/>
        <v>15.181895999999998</v>
      </c>
      <c r="W34" s="20" t="s">
        <v>887</v>
      </c>
      <c r="X34" s="20" t="s">
        <v>889</v>
      </c>
      <c r="Y34" s="49">
        <v>42972</v>
      </c>
      <c r="Z34" s="20">
        <f t="shared" si="1"/>
        <v>51</v>
      </c>
    </row>
    <row r="35" spans="1:26">
      <c r="A35" s="20" t="s">
        <v>1295</v>
      </c>
      <c r="B35" s="20" t="s">
        <v>2115</v>
      </c>
      <c r="C35" s="31" t="s">
        <v>2226</v>
      </c>
      <c r="D35" s="49">
        <v>42921</v>
      </c>
      <c r="E35" s="20">
        <v>9.7558279999999993</v>
      </c>
      <c r="F35" s="20">
        <v>49.725133</v>
      </c>
      <c r="K35" s="20" t="s">
        <v>892</v>
      </c>
      <c r="L35" s="20"/>
      <c r="M35" s="172" t="s">
        <v>3574</v>
      </c>
      <c r="N35" s="20" t="s">
        <v>2713</v>
      </c>
      <c r="O35" s="28">
        <v>4.2200000000000001E-2</v>
      </c>
      <c r="P35">
        <v>3.8671999999999984E-2</v>
      </c>
      <c r="Q35" s="65">
        <f t="shared" si="3"/>
        <v>3.5280000000000172E-3</v>
      </c>
      <c r="R35" s="20">
        <v>2.0859999999999999</v>
      </c>
      <c r="S35" s="20">
        <v>10.006</v>
      </c>
      <c r="T35" s="20">
        <f t="shared" si="0"/>
        <v>20.872515999999997</v>
      </c>
      <c r="W35" s="20" t="s">
        <v>887</v>
      </c>
      <c r="X35" s="20" t="s">
        <v>889</v>
      </c>
      <c r="Y35" s="49">
        <v>42972</v>
      </c>
      <c r="Z35" s="20">
        <f t="shared" si="1"/>
        <v>51</v>
      </c>
    </row>
    <row r="36" spans="1:26">
      <c r="A36" s="20" t="s">
        <v>1294</v>
      </c>
      <c r="B36" s="20" t="s">
        <v>2115</v>
      </c>
      <c r="C36" s="31" t="s">
        <v>2226</v>
      </c>
      <c r="D36" s="49">
        <v>42921</v>
      </c>
      <c r="E36" s="20">
        <v>9.7558279999999993</v>
      </c>
      <c r="F36" s="20">
        <v>49.725133</v>
      </c>
      <c r="K36" s="20" t="s">
        <v>2600</v>
      </c>
      <c r="L36" s="20"/>
      <c r="M36" s="172" t="s">
        <v>3579</v>
      </c>
      <c r="N36" s="20" t="s">
        <v>2713</v>
      </c>
      <c r="O36" s="28">
        <v>4.0300000000000002E-2</v>
      </c>
      <c r="P36">
        <v>3.8671999999999984E-2</v>
      </c>
      <c r="Q36" s="65">
        <f t="shared" si="3"/>
        <v>1.6280000000000183E-3</v>
      </c>
      <c r="R36" s="20">
        <v>1.6639999999999999</v>
      </c>
      <c r="S36" s="20">
        <f>4.15+1.933+2.887</f>
        <v>8.9700000000000006</v>
      </c>
      <c r="T36" s="20">
        <f t="shared" si="0"/>
        <v>14.926080000000001</v>
      </c>
      <c r="W36" s="20" t="s">
        <v>887</v>
      </c>
      <c r="X36" s="20" t="s">
        <v>889</v>
      </c>
      <c r="Y36" s="49">
        <v>42972</v>
      </c>
      <c r="Z36" s="20">
        <f t="shared" si="1"/>
        <v>51</v>
      </c>
    </row>
    <row r="37" spans="1:26">
      <c r="A37" s="20" t="s">
        <v>1293</v>
      </c>
      <c r="B37" s="20" t="s">
        <v>2115</v>
      </c>
      <c r="C37" s="31" t="s">
        <v>2226</v>
      </c>
      <c r="D37" s="49">
        <v>42921</v>
      </c>
      <c r="E37" s="20">
        <v>9.7558279999999993</v>
      </c>
      <c r="F37" s="20">
        <v>49.725133</v>
      </c>
      <c r="K37" s="20" t="s">
        <v>2600</v>
      </c>
      <c r="L37" s="20"/>
      <c r="M37" s="172" t="s">
        <v>3579</v>
      </c>
      <c r="N37" s="20" t="s">
        <v>2713</v>
      </c>
      <c r="O37" s="28">
        <v>4.1099999999999998E-2</v>
      </c>
      <c r="P37">
        <v>3.8671999999999984E-2</v>
      </c>
      <c r="Q37" s="65">
        <f t="shared" si="3"/>
        <v>2.4280000000000135E-3</v>
      </c>
      <c r="R37" s="20">
        <v>1.706</v>
      </c>
      <c r="S37" s="20">
        <f>4.264+4.351</f>
        <v>8.6150000000000002</v>
      </c>
      <c r="T37" s="20">
        <f t="shared" si="0"/>
        <v>14.697190000000001</v>
      </c>
      <c r="W37" s="20" t="s">
        <v>887</v>
      </c>
      <c r="X37" s="20" t="s">
        <v>889</v>
      </c>
      <c r="Y37" s="49">
        <v>42972</v>
      </c>
      <c r="Z37" s="20">
        <f t="shared" si="1"/>
        <v>51</v>
      </c>
    </row>
    <row r="38" spans="1:26">
      <c r="A38" s="20" t="s">
        <v>1292</v>
      </c>
      <c r="B38" s="20" t="s">
        <v>2115</v>
      </c>
      <c r="C38" s="31" t="s">
        <v>2226</v>
      </c>
      <c r="D38" s="49">
        <v>42921</v>
      </c>
      <c r="E38" s="20">
        <v>9.7558279999999993</v>
      </c>
      <c r="F38" s="20">
        <v>49.725133</v>
      </c>
      <c r="K38" s="20" t="s">
        <v>2600</v>
      </c>
      <c r="L38" s="20"/>
      <c r="M38" s="172" t="s">
        <v>3579</v>
      </c>
      <c r="N38" s="20" t="s">
        <v>2713</v>
      </c>
      <c r="O38" s="28">
        <v>4.0899999999999999E-2</v>
      </c>
      <c r="P38">
        <v>3.8671999999999984E-2</v>
      </c>
      <c r="Q38" s="65">
        <f t="shared" si="3"/>
        <v>2.2280000000000147E-3</v>
      </c>
      <c r="R38" s="20">
        <v>1.59</v>
      </c>
      <c r="S38" s="20">
        <f>4.862+4.027</f>
        <v>8.8889999999999993</v>
      </c>
      <c r="T38" s="20">
        <f t="shared" si="0"/>
        <v>14.133509999999999</v>
      </c>
      <c r="W38" s="20" t="s">
        <v>887</v>
      </c>
      <c r="X38" s="20" t="s">
        <v>889</v>
      </c>
      <c r="Y38" s="49">
        <v>42972</v>
      </c>
      <c r="Z38" s="20">
        <f t="shared" si="1"/>
        <v>51</v>
      </c>
    </row>
    <row r="39" spans="1:26">
      <c r="A39" s="20" t="s">
        <v>1291</v>
      </c>
      <c r="B39" s="20" t="s">
        <v>2115</v>
      </c>
      <c r="C39" s="31" t="s">
        <v>2226</v>
      </c>
      <c r="D39" s="49">
        <v>42921</v>
      </c>
      <c r="E39" s="20">
        <v>9.7558279999999993</v>
      </c>
      <c r="F39" s="20">
        <v>49.725133</v>
      </c>
      <c r="K39" s="20" t="s">
        <v>2600</v>
      </c>
      <c r="L39" s="20"/>
      <c r="M39" s="172" t="s">
        <v>3579</v>
      </c>
      <c r="N39" s="20" t="s">
        <v>2713</v>
      </c>
      <c r="O39" s="28">
        <v>4.1500000000000002E-2</v>
      </c>
      <c r="P39">
        <v>3.8671999999999984E-2</v>
      </c>
      <c r="Q39" s="65">
        <f t="shared" si="3"/>
        <v>2.828000000000018E-3</v>
      </c>
      <c r="R39" s="20">
        <v>1.698</v>
      </c>
      <c r="S39" s="20">
        <f>5.117+4.405</f>
        <v>9.5220000000000002</v>
      </c>
      <c r="T39" s="20">
        <f t="shared" si="0"/>
        <v>16.168355999999999</v>
      </c>
      <c r="W39" s="20" t="s">
        <v>887</v>
      </c>
      <c r="X39" s="20" t="s">
        <v>889</v>
      </c>
      <c r="Y39" s="49">
        <v>42972</v>
      </c>
      <c r="Z39" s="20">
        <f t="shared" si="1"/>
        <v>51</v>
      </c>
    </row>
    <row r="40" spans="1:26">
      <c r="A40" s="20" t="s">
        <v>1290</v>
      </c>
      <c r="B40" s="20" t="s">
        <v>2115</v>
      </c>
      <c r="C40" s="31" t="s">
        <v>2226</v>
      </c>
      <c r="D40" s="49">
        <v>42921</v>
      </c>
      <c r="E40" s="20">
        <v>9.7558279999999993</v>
      </c>
      <c r="F40" s="20">
        <v>49.725133</v>
      </c>
      <c r="K40" s="20" t="s">
        <v>2403</v>
      </c>
      <c r="L40" s="20"/>
      <c r="M40" s="172" t="s">
        <v>2404</v>
      </c>
      <c r="N40" s="20"/>
      <c r="O40" s="28">
        <v>5.8999999999999997E-2</v>
      </c>
      <c r="P40">
        <v>3.8671999999999984E-2</v>
      </c>
      <c r="Q40" s="65">
        <f t="shared" si="3"/>
        <v>2.0328000000000013E-2</v>
      </c>
      <c r="R40" s="20">
        <v>4.9950000000000001</v>
      </c>
      <c r="S40" s="20">
        <f>8.764+9.076</f>
        <v>17.84</v>
      </c>
      <c r="T40" s="20">
        <f t="shared" si="0"/>
        <v>89.110799999999998</v>
      </c>
      <c r="W40" s="20" t="s">
        <v>887</v>
      </c>
      <c r="X40" s="20" t="s">
        <v>889</v>
      </c>
      <c r="Y40" s="49">
        <v>42972</v>
      </c>
      <c r="Z40" s="20">
        <f t="shared" si="1"/>
        <v>51</v>
      </c>
    </row>
    <row r="41" spans="1:26">
      <c r="A41" s="20" t="s">
        <v>1289</v>
      </c>
      <c r="B41" s="20" t="s">
        <v>2115</v>
      </c>
      <c r="C41" s="31" t="s">
        <v>2226</v>
      </c>
      <c r="D41" s="49">
        <v>42921</v>
      </c>
      <c r="E41" s="20">
        <v>9.7558279999999993</v>
      </c>
      <c r="F41" s="20">
        <v>49.725133</v>
      </c>
      <c r="K41" s="20" t="s">
        <v>2600</v>
      </c>
      <c r="L41" s="20"/>
      <c r="M41" s="172" t="s">
        <v>3579</v>
      </c>
      <c r="N41" s="20" t="s">
        <v>2713</v>
      </c>
      <c r="O41" s="28">
        <v>4.1500000000000002E-2</v>
      </c>
      <c r="P41">
        <v>3.8671999999999984E-2</v>
      </c>
      <c r="Q41" s="65">
        <f t="shared" si="3"/>
        <v>2.828000000000018E-3</v>
      </c>
      <c r="R41" s="20">
        <v>1.7989999999999999</v>
      </c>
      <c r="S41" s="20">
        <f>4.403+4.504</f>
        <v>8.907</v>
      </c>
      <c r="T41" s="20">
        <f t="shared" si="0"/>
        <v>16.023692999999998</v>
      </c>
      <c r="W41" s="20" t="s">
        <v>887</v>
      </c>
      <c r="X41" s="20" t="s">
        <v>889</v>
      </c>
      <c r="Y41" s="49">
        <v>42972</v>
      </c>
      <c r="Z41" s="20">
        <f t="shared" si="1"/>
        <v>51</v>
      </c>
    </row>
    <row r="42" spans="1:26">
      <c r="A42" s="20" t="s">
        <v>1288</v>
      </c>
      <c r="B42" s="20" t="s">
        <v>2115</v>
      </c>
      <c r="C42" s="31" t="s">
        <v>2226</v>
      </c>
      <c r="D42" s="49">
        <v>42921</v>
      </c>
      <c r="E42" s="20">
        <v>9.7558279999999993</v>
      </c>
      <c r="F42" s="20">
        <v>49.725133</v>
      </c>
      <c r="K42" s="20" t="s">
        <v>2600</v>
      </c>
      <c r="L42" s="20"/>
      <c r="M42" s="172" t="s">
        <v>3579</v>
      </c>
      <c r="N42" s="20" t="s">
        <v>2713</v>
      </c>
      <c r="O42" s="28">
        <v>4.1500000000000002E-2</v>
      </c>
      <c r="P42">
        <v>3.8671999999999984E-2</v>
      </c>
      <c r="Q42" s="65">
        <f t="shared" si="3"/>
        <v>2.828000000000018E-3</v>
      </c>
      <c r="R42" s="20">
        <v>1.679</v>
      </c>
      <c r="S42" s="20">
        <f>4.425+4.183</f>
        <v>8.6080000000000005</v>
      </c>
      <c r="T42" s="20">
        <f t="shared" si="0"/>
        <v>14.452832000000001</v>
      </c>
      <c r="W42" s="20" t="s">
        <v>887</v>
      </c>
      <c r="X42" s="20" t="s">
        <v>889</v>
      </c>
      <c r="Y42" s="49">
        <v>42972</v>
      </c>
      <c r="Z42" s="20">
        <f t="shared" si="1"/>
        <v>51</v>
      </c>
    </row>
    <row r="43" spans="1:26">
      <c r="A43" s="20" t="s">
        <v>1287</v>
      </c>
      <c r="B43" s="20" t="s">
        <v>2115</v>
      </c>
      <c r="C43" s="31" t="s">
        <v>2226</v>
      </c>
      <c r="D43" s="49">
        <v>42921</v>
      </c>
      <c r="E43" s="20">
        <v>9.7558279999999993</v>
      </c>
      <c r="F43" s="20">
        <v>49.725133</v>
      </c>
      <c r="K43" s="20" t="s">
        <v>2600</v>
      </c>
      <c r="L43" s="20"/>
      <c r="M43" s="172" t="s">
        <v>3573</v>
      </c>
      <c r="N43" s="20" t="s">
        <v>2713</v>
      </c>
      <c r="O43" s="28">
        <v>4.1200000000000001E-2</v>
      </c>
      <c r="P43">
        <v>3.8671999999999984E-2</v>
      </c>
      <c r="Q43" s="65">
        <f t="shared" si="3"/>
        <v>2.5280000000000163E-3</v>
      </c>
      <c r="R43" s="20">
        <v>1.556</v>
      </c>
      <c r="S43" s="20">
        <f>3.947+3.868</f>
        <v>7.8149999999999995</v>
      </c>
      <c r="T43" s="20">
        <f t="shared" si="0"/>
        <v>12.16014</v>
      </c>
      <c r="W43" s="20" t="s">
        <v>887</v>
      </c>
      <c r="X43" s="20" t="s">
        <v>889</v>
      </c>
      <c r="Y43" s="49">
        <v>42972</v>
      </c>
      <c r="Z43" s="20">
        <f t="shared" si="1"/>
        <v>51</v>
      </c>
    </row>
    <row r="44" spans="1:26">
      <c r="A44" s="20" t="s">
        <v>1286</v>
      </c>
      <c r="B44" s="20" t="s">
        <v>2115</v>
      </c>
      <c r="C44" s="31" t="s">
        <v>2226</v>
      </c>
      <c r="D44" s="49">
        <v>42921</v>
      </c>
      <c r="E44" s="20">
        <v>9.7558279999999993</v>
      </c>
      <c r="F44" s="20">
        <v>49.725133</v>
      </c>
      <c r="K44" s="20" t="s">
        <v>2600</v>
      </c>
      <c r="L44" s="20"/>
      <c r="M44" s="172" t="s">
        <v>3578</v>
      </c>
      <c r="N44" s="20" t="s">
        <v>2713</v>
      </c>
      <c r="O44" s="28">
        <v>1E-3</v>
      </c>
      <c r="P44" s="50">
        <v>0</v>
      </c>
      <c r="Q44" s="65">
        <f>O44</f>
        <v>1E-3</v>
      </c>
      <c r="R44" s="20">
        <v>1.474</v>
      </c>
      <c r="S44" s="20">
        <f>3.349+1.923+1.909</f>
        <v>7.181</v>
      </c>
      <c r="T44" s="20">
        <f t="shared" si="0"/>
        <v>10.584794</v>
      </c>
      <c r="W44" s="20" t="s">
        <v>890</v>
      </c>
      <c r="X44" s="20" t="s">
        <v>889</v>
      </c>
      <c r="Y44" s="49">
        <v>42972</v>
      </c>
      <c r="Z44" s="20">
        <f t="shared" si="1"/>
        <v>51</v>
      </c>
    </row>
    <row r="45" spans="1:26">
      <c r="A45" s="20" t="s">
        <v>1285</v>
      </c>
      <c r="B45" s="20" t="s">
        <v>2115</v>
      </c>
      <c r="C45" s="31" t="s">
        <v>2226</v>
      </c>
      <c r="D45" s="49">
        <v>42921</v>
      </c>
      <c r="E45" s="20">
        <v>9.7558279999999993</v>
      </c>
      <c r="F45" s="20">
        <v>49.725133</v>
      </c>
      <c r="K45" s="20" t="s">
        <v>2600</v>
      </c>
      <c r="L45" s="20"/>
      <c r="M45" s="172" t="s">
        <v>3579</v>
      </c>
      <c r="N45" s="20" t="s">
        <v>2713</v>
      </c>
      <c r="O45" s="28">
        <v>4.1300000000000003E-2</v>
      </c>
      <c r="P45">
        <v>3.8671999999999984E-2</v>
      </c>
      <c r="Q45" s="65">
        <f t="shared" ref="Q45:Q50" si="4">O45-P45</f>
        <v>2.6280000000000192E-3</v>
      </c>
      <c r="R45" s="20">
        <v>1.573</v>
      </c>
      <c r="S45" s="20">
        <f>3.97+1.156+3.807</f>
        <v>8.9329999999999998</v>
      </c>
      <c r="T45" s="20">
        <f t="shared" si="0"/>
        <v>14.051608999999999</v>
      </c>
      <c r="W45" s="20" t="s">
        <v>887</v>
      </c>
      <c r="X45" s="20" t="s">
        <v>889</v>
      </c>
      <c r="Y45" s="49">
        <v>42972</v>
      </c>
      <c r="Z45" s="20">
        <f t="shared" si="1"/>
        <v>51</v>
      </c>
    </row>
    <row r="46" spans="1:26">
      <c r="A46" s="20" t="s">
        <v>1284</v>
      </c>
      <c r="B46" s="20" t="s">
        <v>2115</v>
      </c>
      <c r="C46" s="31" t="s">
        <v>2226</v>
      </c>
      <c r="D46" s="49">
        <v>42921</v>
      </c>
      <c r="E46" s="20">
        <v>9.7558279999999993</v>
      </c>
      <c r="F46" s="20">
        <v>49.725133</v>
      </c>
      <c r="K46" s="20" t="s">
        <v>2600</v>
      </c>
      <c r="L46" s="20"/>
      <c r="M46" s="172" t="s">
        <v>3579</v>
      </c>
      <c r="N46" s="20" t="s">
        <v>2713</v>
      </c>
      <c r="O46" s="28">
        <v>4.1200000000000001E-2</v>
      </c>
      <c r="P46">
        <v>3.8671999999999984E-2</v>
      </c>
      <c r="Q46" s="65">
        <f t="shared" si="4"/>
        <v>2.5280000000000163E-3</v>
      </c>
      <c r="R46" s="20">
        <v>1.8009999999999999</v>
      </c>
      <c r="S46" s="20">
        <f>4.43+1.844+2.461</f>
        <v>8.7349999999999994</v>
      </c>
      <c r="T46" s="20">
        <f t="shared" si="0"/>
        <v>15.731734999999999</v>
      </c>
      <c r="W46" s="20" t="s">
        <v>887</v>
      </c>
      <c r="X46" s="20" t="s">
        <v>889</v>
      </c>
      <c r="Y46" s="49">
        <v>42972</v>
      </c>
      <c r="Z46" s="20">
        <f t="shared" si="1"/>
        <v>51</v>
      </c>
    </row>
    <row r="47" spans="1:26">
      <c r="A47" s="20" t="s">
        <v>1283</v>
      </c>
      <c r="B47" s="20" t="s">
        <v>2115</v>
      </c>
      <c r="C47" s="31" t="s">
        <v>2226</v>
      </c>
      <c r="D47" s="49">
        <v>42921</v>
      </c>
      <c r="E47" s="20">
        <v>9.7558279999999993</v>
      </c>
      <c r="F47" s="20">
        <v>49.725133</v>
      </c>
      <c r="K47" s="20" t="s">
        <v>2600</v>
      </c>
      <c r="L47" s="20"/>
      <c r="M47" s="172" t="s">
        <v>3579</v>
      </c>
      <c r="N47" s="20" t="s">
        <v>2713</v>
      </c>
      <c r="O47" s="28">
        <v>4.02E-2</v>
      </c>
      <c r="P47">
        <v>3.8671999999999984E-2</v>
      </c>
      <c r="Q47" s="65">
        <f t="shared" si="4"/>
        <v>1.5280000000000155E-3</v>
      </c>
      <c r="R47" s="20">
        <v>1.6830000000000001</v>
      </c>
      <c r="S47" s="20">
        <f>4.753+4.099</f>
        <v>8.8520000000000003</v>
      </c>
      <c r="T47" s="20">
        <f t="shared" si="0"/>
        <v>14.897916</v>
      </c>
      <c r="W47" s="20" t="s">
        <v>887</v>
      </c>
      <c r="X47" s="20" t="s">
        <v>889</v>
      </c>
      <c r="Y47" s="49">
        <v>42972</v>
      </c>
      <c r="Z47" s="20">
        <f t="shared" si="1"/>
        <v>51</v>
      </c>
    </row>
    <row r="48" spans="1:26">
      <c r="A48" s="20" t="s">
        <v>1282</v>
      </c>
      <c r="B48" s="20" t="s">
        <v>2115</v>
      </c>
      <c r="C48" s="31" t="s">
        <v>2226</v>
      </c>
      <c r="D48" s="49">
        <v>42921</v>
      </c>
      <c r="E48" s="20">
        <v>9.7558279999999993</v>
      </c>
      <c r="F48" s="20">
        <v>49.725133</v>
      </c>
      <c r="K48" s="20" t="s">
        <v>2600</v>
      </c>
      <c r="L48" s="20"/>
      <c r="M48" s="172" t="s">
        <v>3578</v>
      </c>
      <c r="N48" s="20" t="s">
        <v>2713</v>
      </c>
      <c r="O48" s="28">
        <v>4.0300000000000002E-2</v>
      </c>
      <c r="P48">
        <v>3.8671999999999984E-2</v>
      </c>
      <c r="Q48" s="65">
        <f t="shared" si="4"/>
        <v>1.6280000000000183E-3</v>
      </c>
      <c r="R48" s="20">
        <v>1.28</v>
      </c>
      <c r="S48" s="20">
        <f>2.91+4.069</f>
        <v>6.9790000000000001</v>
      </c>
      <c r="T48" s="20">
        <f t="shared" si="0"/>
        <v>8.9331200000000006</v>
      </c>
      <c r="W48" s="20" t="s">
        <v>887</v>
      </c>
      <c r="X48" s="20" t="s">
        <v>889</v>
      </c>
      <c r="Y48" s="49">
        <v>42972</v>
      </c>
      <c r="Z48" s="20">
        <f t="shared" si="1"/>
        <v>51</v>
      </c>
    </row>
    <row r="49" spans="1:26">
      <c r="A49" s="20" t="s">
        <v>1281</v>
      </c>
      <c r="B49" s="20" t="s">
        <v>2115</v>
      </c>
      <c r="C49" s="31" t="s">
        <v>2226</v>
      </c>
      <c r="D49" s="49">
        <v>42921</v>
      </c>
      <c r="E49" s="20">
        <v>9.7558279999999993</v>
      </c>
      <c r="F49" s="20">
        <v>49.725133</v>
      </c>
      <c r="K49" s="20" t="s">
        <v>2403</v>
      </c>
      <c r="L49" s="20"/>
      <c r="M49" s="172" t="s">
        <v>2404</v>
      </c>
      <c r="N49" s="20"/>
      <c r="O49" s="28">
        <v>8.4400000000000003E-2</v>
      </c>
      <c r="P49">
        <v>6.7166000000000003E-2</v>
      </c>
      <c r="Q49" s="65">
        <f t="shared" si="4"/>
        <v>1.7233999999999999E-2</v>
      </c>
      <c r="R49" s="20">
        <v>4.359</v>
      </c>
      <c r="S49" s="20">
        <v>15.554</v>
      </c>
      <c r="T49" s="20">
        <f t="shared" si="0"/>
        <v>67.799886000000001</v>
      </c>
      <c r="W49" s="20" t="s">
        <v>887</v>
      </c>
      <c r="X49" s="20" t="s">
        <v>889</v>
      </c>
      <c r="Y49" s="49">
        <v>42972</v>
      </c>
      <c r="Z49" s="20">
        <f t="shared" si="1"/>
        <v>51</v>
      </c>
    </row>
    <row r="50" spans="1:26">
      <c r="A50" s="20" t="s">
        <v>1280</v>
      </c>
      <c r="B50" s="20" t="s">
        <v>2115</v>
      </c>
      <c r="C50" s="31" t="s">
        <v>2226</v>
      </c>
      <c r="D50" s="49">
        <v>42921</v>
      </c>
      <c r="E50" s="20">
        <v>9.7558279999999993</v>
      </c>
      <c r="F50" s="20">
        <v>49.725133</v>
      </c>
      <c r="K50" s="20" t="s">
        <v>2600</v>
      </c>
      <c r="L50" s="20"/>
      <c r="M50" s="172" t="s">
        <v>3573</v>
      </c>
      <c r="N50" s="20" t="s">
        <v>2713</v>
      </c>
      <c r="O50" s="28">
        <v>4.1300000000000003E-2</v>
      </c>
      <c r="P50">
        <v>3.8671999999999984E-2</v>
      </c>
      <c r="Q50" s="65">
        <f t="shared" si="4"/>
        <v>2.6280000000000192E-3</v>
      </c>
      <c r="R50" s="20">
        <v>1.53</v>
      </c>
      <c r="S50" s="20">
        <f>4.046+3.548</f>
        <v>7.5940000000000003</v>
      </c>
      <c r="T50" s="20">
        <f t="shared" si="0"/>
        <v>11.618820000000001</v>
      </c>
      <c r="W50" s="20" t="s">
        <v>887</v>
      </c>
      <c r="X50" s="20" t="s">
        <v>889</v>
      </c>
      <c r="Y50" s="49">
        <v>42972</v>
      </c>
      <c r="Z50" s="20">
        <f t="shared" si="1"/>
        <v>51</v>
      </c>
    </row>
    <row r="51" spans="1:26">
      <c r="A51" s="20" t="s">
        <v>1279</v>
      </c>
      <c r="B51" s="20" t="s">
        <v>2115</v>
      </c>
      <c r="C51" s="31" t="s">
        <v>2226</v>
      </c>
      <c r="D51" s="49">
        <v>42921</v>
      </c>
      <c r="E51" s="20">
        <v>9.7558279999999993</v>
      </c>
      <c r="F51" s="20">
        <v>49.725133</v>
      </c>
      <c r="K51" s="20" t="s">
        <v>892</v>
      </c>
      <c r="L51" s="20"/>
      <c r="M51" s="172" t="s">
        <v>3574</v>
      </c>
      <c r="N51" s="20" t="s">
        <v>2713</v>
      </c>
      <c r="O51" s="28">
        <v>3.0000000000000001E-3</v>
      </c>
      <c r="P51" s="50">
        <v>0</v>
      </c>
      <c r="Q51" s="65">
        <f>O51</f>
        <v>3.0000000000000001E-3</v>
      </c>
      <c r="R51" s="20">
        <v>2.14</v>
      </c>
      <c r="S51" s="20">
        <f>3.19+1.153+4.719</f>
        <v>9.0620000000000012</v>
      </c>
      <c r="T51" s="20">
        <f t="shared" si="0"/>
        <v>19.392680000000002</v>
      </c>
      <c r="W51" s="20" t="s">
        <v>890</v>
      </c>
      <c r="X51" s="20" t="s">
        <v>889</v>
      </c>
      <c r="Y51" s="49">
        <v>42972</v>
      </c>
      <c r="Z51" s="20">
        <f t="shared" si="1"/>
        <v>51</v>
      </c>
    </row>
    <row r="52" spans="1:26">
      <c r="A52" s="20" t="s">
        <v>1278</v>
      </c>
      <c r="B52" s="20" t="s">
        <v>2115</v>
      </c>
      <c r="C52" s="31" t="s">
        <v>2226</v>
      </c>
      <c r="D52" s="49">
        <v>42921</v>
      </c>
      <c r="E52" s="20">
        <v>9.7558279999999993</v>
      </c>
      <c r="F52" s="20">
        <v>49.725133</v>
      </c>
      <c r="K52" s="20" t="s">
        <v>892</v>
      </c>
      <c r="L52" s="20"/>
      <c r="M52" s="172" t="s">
        <v>3574</v>
      </c>
      <c r="N52" s="20" t="s">
        <v>2713</v>
      </c>
      <c r="O52" s="28">
        <v>4.3400000000000001E-2</v>
      </c>
      <c r="P52">
        <v>3.8671999999999984E-2</v>
      </c>
      <c r="Q52" s="65">
        <f t="shared" ref="Q52:Q66" si="5">O52-P52</f>
        <v>4.7280000000000169E-3</v>
      </c>
      <c r="R52" s="20">
        <v>2.2120000000000002</v>
      </c>
      <c r="S52" s="20">
        <v>9.8409999999999993</v>
      </c>
      <c r="T52" s="20">
        <f t="shared" si="0"/>
        <v>21.768291999999999</v>
      </c>
      <c r="W52" s="20" t="s">
        <v>887</v>
      </c>
      <c r="X52" s="20" t="s">
        <v>889</v>
      </c>
      <c r="Y52" s="49">
        <v>42972</v>
      </c>
      <c r="Z52" s="20">
        <f t="shared" si="1"/>
        <v>51</v>
      </c>
    </row>
    <row r="53" spans="1:26">
      <c r="A53" s="20" t="s">
        <v>1277</v>
      </c>
      <c r="B53" s="20" t="s">
        <v>2115</v>
      </c>
      <c r="C53" s="31" t="s">
        <v>2226</v>
      </c>
      <c r="D53" s="49">
        <v>42921</v>
      </c>
      <c r="E53" s="20">
        <v>9.7558279999999993</v>
      </c>
      <c r="F53" s="20">
        <v>49.725133</v>
      </c>
      <c r="K53" s="20" t="s">
        <v>892</v>
      </c>
      <c r="L53" s="20"/>
      <c r="M53" s="172" t="s">
        <v>3574</v>
      </c>
      <c r="N53" s="20" t="s">
        <v>2713</v>
      </c>
      <c r="O53" s="28">
        <v>4.3299999999999998E-2</v>
      </c>
      <c r="P53">
        <v>3.8671999999999984E-2</v>
      </c>
      <c r="Q53" s="65">
        <f t="shared" si="5"/>
        <v>4.628000000000014E-3</v>
      </c>
      <c r="R53" s="20">
        <v>2.1859999999999999</v>
      </c>
      <c r="S53" s="20">
        <f>5.104+5.634</f>
        <v>10.738</v>
      </c>
      <c r="T53" s="20">
        <f t="shared" si="0"/>
        <v>23.473267999999997</v>
      </c>
      <c r="W53" s="20" t="s">
        <v>887</v>
      </c>
      <c r="X53" s="20" t="s">
        <v>889</v>
      </c>
      <c r="Y53" s="49">
        <v>42972</v>
      </c>
      <c r="Z53" s="20">
        <f t="shared" si="1"/>
        <v>51</v>
      </c>
    </row>
    <row r="54" spans="1:26">
      <c r="A54" s="20" t="s">
        <v>1276</v>
      </c>
      <c r="B54" s="20" t="s">
        <v>2115</v>
      </c>
      <c r="C54" s="31" t="s">
        <v>2226</v>
      </c>
      <c r="D54" s="49">
        <v>42921</v>
      </c>
      <c r="E54" s="20">
        <v>9.7558279999999993</v>
      </c>
      <c r="F54" s="20">
        <v>49.725133</v>
      </c>
      <c r="K54" s="20" t="s">
        <v>2600</v>
      </c>
      <c r="L54" s="20"/>
      <c r="M54" s="172" t="s">
        <v>2591</v>
      </c>
      <c r="N54" s="20" t="s">
        <v>2713</v>
      </c>
      <c r="O54" s="28">
        <v>7.4399999999999994E-2</v>
      </c>
      <c r="P54">
        <v>6.7166000000000003E-2</v>
      </c>
      <c r="Q54" s="65">
        <f t="shared" si="5"/>
        <v>7.2339999999999904E-3</v>
      </c>
      <c r="R54" s="20">
        <v>2.9079999999999999</v>
      </c>
      <c r="S54" s="20">
        <f>7.554+6.322</f>
        <v>13.876000000000001</v>
      </c>
      <c r="T54" s="20">
        <f t="shared" si="0"/>
        <v>40.351407999999999</v>
      </c>
      <c r="W54" s="20" t="s">
        <v>887</v>
      </c>
      <c r="X54" s="20" t="s">
        <v>889</v>
      </c>
      <c r="Y54" s="49">
        <v>42972</v>
      </c>
      <c r="Z54" s="20">
        <f t="shared" si="1"/>
        <v>51</v>
      </c>
    </row>
    <row r="55" spans="1:26">
      <c r="A55" s="20" t="s">
        <v>1275</v>
      </c>
      <c r="B55" s="20" t="s">
        <v>2115</v>
      </c>
      <c r="C55" s="31" t="s">
        <v>2226</v>
      </c>
      <c r="D55" s="49">
        <v>42921</v>
      </c>
      <c r="E55" s="20">
        <v>9.7558279999999993</v>
      </c>
      <c r="F55" s="20">
        <v>49.725133</v>
      </c>
      <c r="K55" s="20" t="s">
        <v>892</v>
      </c>
      <c r="L55" s="20"/>
      <c r="M55" s="172" t="s">
        <v>3574</v>
      </c>
      <c r="N55" s="20" t="s">
        <v>2713</v>
      </c>
      <c r="O55" s="28">
        <v>4.2900000000000001E-2</v>
      </c>
      <c r="P55">
        <v>3.8671999999999984E-2</v>
      </c>
      <c r="Q55" s="65">
        <f t="shared" si="5"/>
        <v>4.2280000000000165E-3</v>
      </c>
      <c r="R55" s="20">
        <v>2.1520000000000001</v>
      </c>
      <c r="S55" s="20">
        <v>9.6069999999999993</v>
      </c>
      <c r="T55" s="20">
        <f t="shared" si="0"/>
        <v>20.674264000000001</v>
      </c>
      <c r="W55" s="20" t="s">
        <v>887</v>
      </c>
      <c r="X55" s="20" t="s">
        <v>889</v>
      </c>
      <c r="Y55" s="49">
        <v>42972</v>
      </c>
      <c r="Z55" s="20">
        <f t="shared" si="1"/>
        <v>51</v>
      </c>
    </row>
    <row r="56" spans="1:26">
      <c r="A56" s="20" t="s">
        <v>1274</v>
      </c>
      <c r="B56" s="20" t="s">
        <v>2115</v>
      </c>
      <c r="C56" s="31" t="s">
        <v>2226</v>
      </c>
      <c r="D56" s="49">
        <v>42921</v>
      </c>
      <c r="E56" s="20">
        <v>9.7558279999999993</v>
      </c>
      <c r="F56" s="20">
        <v>49.725133</v>
      </c>
      <c r="K56" s="20" t="s">
        <v>2600</v>
      </c>
      <c r="L56" s="20"/>
      <c r="M56" s="172" t="s">
        <v>3578</v>
      </c>
      <c r="N56" s="20" t="s">
        <v>2713</v>
      </c>
      <c r="O56" s="28">
        <v>4.0599999999999997E-2</v>
      </c>
      <c r="P56">
        <v>3.8671999999999984E-2</v>
      </c>
      <c r="Q56" s="65">
        <f t="shared" si="5"/>
        <v>1.928000000000013E-3</v>
      </c>
      <c r="R56" s="20">
        <v>1.4079999999999999</v>
      </c>
      <c r="S56" s="20">
        <f>4.289+2.52</f>
        <v>6.8089999999999993</v>
      </c>
      <c r="T56" s="20">
        <f t="shared" si="0"/>
        <v>9.5870719999999992</v>
      </c>
      <c r="W56" s="20" t="s">
        <v>887</v>
      </c>
      <c r="X56" s="20" t="s">
        <v>889</v>
      </c>
      <c r="Y56" s="49">
        <v>42972</v>
      </c>
      <c r="Z56" s="20">
        <f t="shared" si="1"/>
        <v>51</v>
      </c>
    </row>
    <row r="57" spans="1:26">
      <c r="A57" s="20" t="s">
        <v>1273</v>
      </c>
      <c r="B57" s="20" t="s">
        <v>2115</v>
      </c>
      <c r="C57" s="31" t="s">
        <v>2226</v>
      </c>
      <c r="D57" s="49">
        <v>42921</v>
      </c>
      <c r="E57" s="20">
        <v>9.7558279999999993</v>
      </c>
      <c r="F57" s="20">
        <v>49.725133</v>
      </c>
      <c r="K57" s="20" t="s">
        <v>2403</v>
      </c>
      <c r="L57" s="20"/>
      <c r="M57" s="172" t="s">
        <v>2404</v>
      </c>
      <c r="N57" s="20"/>
      <c r="O57" s="28">
        <v>8.8099999999999998E-2</v>
      </c>
      <c r="P57">
        <v>6.7166000000000003E-2</v>
      </c>
      <c r="Q57" s="65">
        <f t="shared" si="5"/>
        <v>2.0933999999999994E-2</v>
      </c>
      <c r="R57" s="20">
        <v>4.4080000000000004</v>
      </c>
      <c r="S57" s="20">
        <v>16.744</v>
      </c>
      <c r="T57" s="20">
        <f t="shared" si="0"/>
        <v>73.807552000000001</v>
      </c>
      <c r="W57" s="20" t="s">
        <v>887</v>
      </c>
      <c r="X57" s="20" t="s">
        <v>889</v>
      </c>
      <c r="Y57" s="49">
        <v>42972</v>
      </c>
      <c r="Z57" s="20">
        <f t="shared" si="1"/>
        <v>51</v>
      </c>
    </row>
    <row r="58" spans="1:26">
      <c r="A58" s="20" t="s">
        <v>1272</v>
      </c>
      <c r="B58" s="20" t="s">
        <v>2115</v>
      </c>
      <c r="C58" s="31" t="s">
        <v>2226</v>
      </c>
      <c r="D58" s="49">
        <v>42921</v>
      </c>
      <c r="E58" s="20">
        <v>9.7558279999999993</v>
      </c>
      <c r="F58" s="20">
        <v>49.725133</v>
      </c>
      <c r="K58" s="20" t="s">
        <v>2600</v>
      </c>
      <c r="L58" s="20"/>
      <c r="M58" s="172" t="s">
        <v>3578</v>
      </c>
      <c r="N58" s="20" t="s">
        <v>2713</v>
      </c>
      <c r="O58" s="28">
        <v>4.1000000000000002E-2</v>
      </c>
      <c r="P58">
        <v>3.8671999999999984E-2</v>
      </c>
      <c r="Q58" s="65">
        <f t="shared" si="5"/>
        <v>2.3280000000000176E-3</v>
      </c>
      <c r="R58" s="20">
        <v>1.4970000000000001</v>
      </c>
      <c r="S58" s="20">
        <f>3.096+3.168</f>
        <v>6.2640000000000002</v>
      </c>
      <c r="T58" s="20">
        <f t="shared" si="0"/>
        <v>9.3772080000000013</v>
      </c>
      <c r="W58" s="20" t="s">
        <v>887</v>
      </c>
      <c r="X58" s="20" t="s">
        <v>889</v>
      </c>
      <c r="Y58" s="49">
        <v>42972</v>
      </c>
      <c r="Z58" s="20">
        <f t="shared" si="1"/>
        <v>51</v>
      </c>
    </row>
    <row r="59" spans="1:26">
      <c r="A59" s="20" t="s">
        <v>1271</v>
      </c>
      <c r="B59" s="20" t="s">
        <v>2115</v>
      </c>
      <c r="C59" s="31" t="s">
        <v>2226</v>
      </c>
      <c r="D59" s="49">
        <v>42921</v>
      </c>
      <c r="E59" s="20">
        <v>9.7558279999999993</v>
      </c>
      <c r="F59" s="20">
        <v>49.725133</v>
      </c>
      <c r="K59" s="20" t="s">
        <v>2600</v>
      </c>
      <c r="L59" s="20"/>
      <c r="M59" s="172" t="s">
        <v>3578</v>
      </c>
      <c r="N59" s="20" t="s">
        <v>2713</v>
      </c>
      <c r="O59" s="28">
        <v>4.0500000000000001E-2</v>
      </c>
      <c r="P59">
        <v>3.8671999999999984E-2</v>
      </c>
      <c r="Q59" s="65">
        <f t="shared" si="5"/>
        <v>1.8280000000000171E-3</v>
      </c>
      <c r="R59" s="20">
        <v>1.345</v>
      </c>
      <c r="S59" s="20">
        <f>2.576+3.281</f>
        <v>5.8570000000000002</v>
      </c>
      <c r="T59" s="20">
        <f t="shared" si="0"/>
        <v>7.8776650000000004</v>
      </c>
      <c r="W59" s="20" t="s">
        <v>887</v>
      </c>
      <c r="X59" s="20" t="s">
        <v>889</v>
      </c>
      <c r="Y59" s="49">
        <v>42972</v>
      </c>
      <c r="Z59" s="20">
        <f t="shared" si="1"/>
        <v>51</v>
      </c>
    </row>
    <row r="60" spans="1:26">
      <c r="A60" s="20" t="s">
        <v>1270</v>
      </c>
      <c r="B60" s="20" t="s">
        <v>2115</v>
      </c>
      <c r="C60" s="31" t="s">
        <v>2226</v>
      </c>
      <c r="D60" s="49">
        <v>42921</v>
      </c>
      <c r="E60" s="20">
        <v>9.7558279999999993</v>
      </c>
      <c r="F60" s="20">
        <v>49.725133</v>
      </c>
      <c r="K60" s="20" t="s">
        <v>2600</v>
      </c>
      <c r="L60" s="20"/>
      <c r="M60" s="172" t="s">
        <v>3578</v>
      </c>
      <c r="N60" s="20" t="s">
        <v>2713</v>
      </c>
      <c r="O60" s="28">
        <v>4.0300000000000002E-2</v>
      </c>
      <c r="P60">
        <v>3.8671999999999984E-2</v>
      </c>
      <c r="Q60" s="65">
        <f t="shared" si="5"/>
        <v>1.6280000000000183E-3</v>
      </c>
      <c r="R60" s="20">
        <v>1.302</v>
      </c>
      <c r="S60" s="20">
        <f>1.881+3.379</f>
        <v>5.26</v>
      </c>
      <c r="T60" s="20">
        <f t="shared" si="0"/>
        <v>6.8485199999999997</v>
      </c>
      <c r="W60" s="20" t="s">
        <v>887</v>
      </c>
      <c r="X60" s="20" t="s">
        <v>889</v>
      </c>
      <c r="Y60" s="49">
        <v>42972</v>
      </c>
      <c r="Z60" s="20">
        <f t="shared" si="1"/>
        <v>51</v>
      </c>
    </row>
    <row r="61" spans="1:26">
      <c r="A61" s="20" t="s">
        <v>1269</v>
      </c>
      <c r="B61" s="20" t="s">
        <v>2115</v>
      </c>
      <c r="C61" s="31" t="s">
        <v>2226</v>
      </c>
      <c r="D61" s="49">
        <v>42921</v>
      </c>
      <c r="E61" s="20">
        <v>9.7558279999999993</v>
      </c>
      <c r="F61" s="20">
        <v>49.725133</v>
      </c>
      <c r="K61" s="20" t="s">
        <v>2600</v>
      </c>
      <c r="L61" s="20"/>
      <c r="M61" s="172" t="s">
        <v>3573</v>
      </c>
      <c r="N61" s="20" t="s">
        <v>2713</v>
      </c>
      <c r="O61" s="28">
        <v>4.1399999999999999E-2</v>
      </c>
      <c r="P61">
        <v>3.8671999999999984E-2</v>
      </c>
      <c r="Q61" s="65">
        <f t="shared" si="5"/>
        <v>2.7280000000000151E-3</v>
      </c>
      <c r="R61" s="20">
        <v>1.756</v>
      </c>
      <c r="S61" s="20">
        <f>4.081+1.444+2.289</f>
        <v>7.8140000000000001</v>
      </c>
      <c r="T61" s="20">
        <f t="shared" si="0"/>
        <v>13.721384</v>
      </c>
      <c r="W61" s="20" t="s">
        <v>887</v>
      </c>
      <c r="X61" s="20" t="s">
        <v>889</v>
      </c>
      <c r="Y61" s="49">
        <v>42972</v>
      </c>
      <c r="Z61" s="20">
        <f t="shared" si="1"/>
        <v>51</v>
      </c>
    </row>
    <row r="62" spans="1:26">
      <c r="A62" s="20" t="s">
        <v>1268</v>
      </c>
      <c r="B62" s="20" t="s">
        <v>2115</v>
      </c>
      <c r="C62" s="31" t="s">
        <v>2226</v>
      </c>
      <c r="D62" s="49">
        <v>42921</v>
      </c>
      <c r="E62" s="20">
        <v>9.7558279999999993</v>
      </c>
      <c r="F62" s="20">
        <v>49.725133</v>
      </c>
      <c r="K62" s="20" t="s">
        <v>892</v>
      </c>
      <c r="L62" s="20"/>
      <c r="M62" s="172" t="s">
        <v>3574</v>
      </c>
      <c r="N62" s="20" t="s">
        <v>2713</v>
      </c>
      <c r="O62" s="28">
        <v>4.36E-2</v>
      </c>
      <c r="P62">
        <v>3.8671999999999984E-2</v>
      </c>
      <c r="Q62" s="65">
        <f t="shared" si="5"/>
        <v>4.9280000000000157E-3</v>
      </c>
      <c r="R62" s="20">
        <v>2.2240000000000002</v>
      </c>
      <c r="S62" s="20">
        <f>5.358+1.404+4.267</f>
        <v>11.029</v>
      </c>
      <c r="T62" s="20">
        <f t="shared" si="0"/>
        <v>24.528496000000001</v>
      </c>
      <c r="W62" s="20" t="s">
        <v>887</v>
      </c>
      <c r="X62" s="20" t="s">
        <v>889</v>
      </c>
      <c r="Y62" s="49">
        <v>42972</v>
      </c>
      <c r="Z62" s="20">
        <f t="shared" si="1"/>
        <v>51</v>
      </c>
    </row>
    <row r="63" spans="1:26">
      <c r="A63" s="20" t="s">
        <v>1267</v>
      </c>
      <c r="B63" s="20" t="s">
        <v>2115</v>
      </c>
      <c r="C63" s="31" t="s">
        <v>2226</v>
      </c>
      <c r="D63" s="49">
        <v>42921</v>
      </c>
      <c r="E63" s="20">
        <v>9.7558279999999993</v>
      </c>
      <c r="F63" s="20">
        <v>49.725133</v>
      </c>
      <c r="K63" s="20" t="s">
        <v>892</v>
      </c>
      <c r="L63" s="20"/>
      <c r="M63" s="172" t="s">
        <v>3574</v>
      </c>
      <c r="N63" s="20" t="s">
        <v>2713</v>
      </c>
      <c r="O63" s="28">
        <v>4.2799999999999998E-2</v>
      </c>
      <c r="P63">
        <v>3.8671999999999984E-2</v>
      </c>
      <c r="Q63" s="65">
        <f t="shared" si="5"/>
        <v>4.1280000000000136E-3</v>
      </c>
      <c r="R63" s="20">
        <v>2.1240000000000001</v>
      </c>
      <c r="S63" s="20">
        <v>10.678000000000001</v>
      </c>
      <c r="T63" s="20">
        <f t="shared" si="0"/>
        <v>22.680072000000003</v>
      </c>
      <c r="W63" s="20" t="s">
        <v>887</v>
      </c>
      <c r="X63" s="20" t="s">
        <v>889</v>
      </c>
      <c r="Y63" s="49">
        <v>42972</v>
      </c>
      <c r="Z63" s="20">
        <f t="shared" si="1"/>
        <v>51</v>
      </c>
    </row>
    <row r="64" spans="1:26">
      <c r="A64" s="20" t="s">
        <v>1266</v>
      </c>
      <c r="B64" s="20" t="s">
        <v>2115</v>
      </c>
      <c r="C64" s="31" t="s">
        <v>2226</v>
      </c>
      <c r="D64" s="49">
        <v>42921</v>
      </c>
      <c r="E64" s="20">
        <v>9.7558279999999993</v>
      </c>
      <c r="F64" s="20">
        <v>49.725133</v>
      </c>
      <c r="K64" s="20" t="s">
        <v>2600</v>
      </c>
      <c r="L64" s="20"/>
      <c r="M64" s="172" t="s">
        <v>2591</v>
      </c>
      <c r="N64" s="20" t="s">
        <v>2713</v>
      </c>
      <c r="O64" s="28">
        <v>4.6899999999999997E-2</v>
      </c>
      <c r="P64">
        <v>3.8671999999999984E-2</v>
      </c>
      <c r="Q64" s="65">
        <f t="shared" si="5"/>
        <v>8.2280000000000131E-3</v>
      </c>
      <c r="R64" s="20">
        <v>2.9590000000000001</v>
      </c>
      <c r="S64" s="20">
        <f>5.441+8.257</f>
        <v>13.698</v>
      </c>
      <c r="T64" s="20">
        <f t="shared" si="0"/>
        <v>40.532382000000005</v>
      </c>
      <c r="W64" s="20" t="s">
        <v>887</v>
      </c>
      <c r="X64" s="20" t="s">
        <v>889</v>
      </c>
      <c r="Y64" s="49">
        <v>42972</v>
      </c>
      <c r="Z64" s="20">
        <f t="shared" si="1"/>
        <v>51</v>
      </c>
    </row>
    <row r="65" spans="1:26">
      <c r="A65" s="20" t="s">
        <v>1265</v>
      </c>
      <c r="B65" s="20" t="s">
        <v>2115</v>
      </c>
      <c r="C65" s="31" t="s">
        <v>2226</v>
      </c>
      <c r="D65" s="49">
        <v>42921</v>
      </c>
      <c r="E65" s="20">
        <v>9.7558279999999993</v>
      </c>
      <c r="F65" s="20">
        <v>49.725133</v>
      </c>
      <c r="K65" s="20" t="s">
        <v>2600</v>
      </c>
      <c r="L65" s="20"/>
      <c r="M65" s="172" t="s">
        <v>2591</v>
      </c>
      <c r="N65" s="20" t="s">
        <v>2713</v>
      </c>
      <c r="O65" s="28">
        <v>7.1800000000000003E-2</v>
      </c>
      <c r="P65">
        <v>6.7166000000000003E-2</v>
      </c>
      <c r="Q65" s="65">
        <f t="shared" si="5"/>
        <v>4.6339999999999992E-3</v>
      </c>
      <c r="R65" s="20">
        <v>2.42</v>
      </c>
      <c r="S65" s="20">
        <f>5.322+6.022</f>
        <v>11.344000000000001</v>
      </c>
      <c r="T65" s="20">
        <f t="shared" si="0"/>
        <v>27.452480000000001</v>
      </c>
      <c r="W65" s="20" t="s">
        <v>887</v>
      </c>
      <c r="X65" s="20" t="s">
        <v>889</v>
      </c>
      <c r="Y65" s="49">
        <v>42972</v>
      </c>
      <c r="Z65" s="20">
        <f t="shared" si="1"/>
        <v>51</v>
      </c>
    </row>
    <row r="66" spans="1:26">
      <c r="A66" s="20" t="s">
        <v>1264</v>
      </c>
      <c r="B66" s="20" t="s">
        <v>2115</v>
      </c>
      <c r="C66" s="31" t="s">
        <v>2226</v>
      </c>
      <c r="D66" s="49">
        <v>42921</v>
      </c>
      <c r="E66" s="20">
        <v>9.7558279999999993</v>
      </c>
      <c r="F66" s="20">
        <v>49.725133</v>
      </c>
      <c r="K66" s="20" t="s">
        <v>2600</v>
      </c>
      <c r="L66" s="20"/>
      <c r="M66" s="172" t="s">
        <v>3581</v>
      </c>
      <c r="N66" s="20" t="s">
        <v>2713</v>
      </c>
      <c r="O66" s="28">
        <v>7.2499999999999995E-2</v>
      </c>
      <c r="P66">
        <v>3.8671999999999984E-2</v>
      </c>
      <c r="Q66" s="65">
        <f t="shared" si="5"/>
        <v>3.3828000000000011E-2</v>
      </c>
      <c r="R66" s="20">
        <v>2.3919999999999999</v>
      </c>
      <c r="S66" s="20">
        <f>5.352+5.582</f>
        <v>10.934000000000001</v>
      </c>
      <c r="T66" s="20">
        <f t="shared" ref="T66:T129" si="6">R66*S66</f>
        <v>26.154128</v>
      </c>
      <c r="W66" s="20" t="s">
        <v>887</v>
      </c>
      <c r="X66" s="20" t="s">
        <v>889</v>
      </c>
      <c r="Y66" s="49">
        <v>42972</v>
      </c>
      <c r="Z66" s="20">
        <f t="shared" ref="Z66:Z129" si="7">Y66-D66</f>
        <v>51</v>
      </c>
    </row>
    <row r="67" spans="1:26">
      <c r="A67" s="20" t="s">
        <v>1263</v>
      </c>
      <c r="B67" s="20" t="s">
        <v>2115</v>
      </c>
      <c r="C67" s="31" t="s">
        <v>2226</v>
      </c>
      <c r="D67" s="49">
        <v>42921</v>
      </c>
      <c r="E67" s="20">
        <v>9.7558279999999993</v>
      </c>
      <c r="F67" s="20">
        <v>49.725133</v>
      </c>
      <c r="K67" s="20" t="s">
        <v>892</v>
      </c>
      <c r="L67" s="20"/>
      <c r="M67" s="172" t="s">
        <v>3582</v>
      </c>
      <c r="N67" s="20" t="s">
        <v>2713</v>
      </c>
      <c r="O67" s="28">
        <v>4.4000000000000003E-3</v>
      </c>
      <c r="P67" s="50">
        <v>0</v>
      </c>
      <c r="Q67" s="65">
        <f>O67</f>
        <v>4.4000000000000003E-3</v>
      </c>
      <c r="R67" s="20">
        <v>2.4319999999999999</v>
      </c>
      <c r="S67" s="20">
        <f>4.878+7.204</f>
        <v>12.082000000000001</v>
      </c>
      <c r="T67" s="20">
        <f t="shared" si="6"/>
        <v>29.383424000000002</v>
      </c>
      <c r="W67" s="20" t="s">
        <v>890</v>
      </c>
      <c r="X67" s="20" t="s">
        <v>889</v>
      </c>
      <c r="Y67" s="49">
        <v>42972</v>
      </c>
      <c r="Z67" s="20">
        <f t="shared" si="7"/>
        <v>51</v>
      </c>
    </row>
    <row r="68" spans="1:26">
      <c r="A68" s="20" t="s">
        <v>1262</v>
      </c>
      <c r="B68" s="20" t="s">
        <v>2115</v>
      </c>
      <c r="C68" s="31" t="s">
        <v>2226</v>
      </c>
      <c r="D68" s="49">
        <v>42921</v>
      </c>
      <c r="E68" s="20">
        <v>9.7558279999999993</v>
      </c>
      <c r="F68" s="20">
        <v>49.725133</v>
      </c>
      <c r="K68" s="20" t="s">
        <v>892</v>
      </c>
      <c r="L68" s="20"/>
      <c r="M68" s="172" t="s">
        <v>3574</v>
      </c>
      <c r="N68" s="20" t="s">
        <v>2713</v>
      </c>
      <c r="O68" s="28">
        <v>4.3799999999999999E-2</v>
      </c>
      <c r="P68">
        <v>3.8671999999999984E-2</v>
      </c>
      <c r="Q68" s="65">
        <f t="shared" ref="Q68:Q82" si="8">O68-P68</f>
        <v>5.1280000000000145E-3</v>
      </c>
      <c r="R68" s="20">
        <v>2.2959999999999998</v>
      </c>
      <c r="S68" s="20">
        <f>5.409+5.987</f>
        <v>11.396000000000001</v>
      </c>
      <c r="T68" s="20">
        <f t="shared" si="6"/>
        <v>26.165216000000001</v>
      </c>
      <c r="W68" s="20" t="s">
        <v>887</v>
      </c>
      <c r="X68" s="20" t="s">
        <v>889</v>
      </c>
      <c r="Y68" s="49">
        <v>42972</v>
      </c>
      <c r="Z68" s="20">
        <f t="shared" si="7"/>
        <v>51</v>
      </c>
    </row>
    <row r="69" spans="1:26">
      <c r="A69" s="20" t="s">
        <v>1261</v>
      </c>
      <c r="B69" s="20" t="s">
        <v>2115</v>
      </c>
      <c r="C69" s="31" t="s">
        <v>2226</v>
      </c>
      <c r="D69" s="49">
        <v>42921</v>
      </c>
      <c r="E69" s="20">
        <v>9.7558279999999993</v>
      </c>
      <c r="F69" s="20">
        <v>49.725133</v>
      </c>
      <c r="K69" s="20" t="s">
        <v>2600</v>
      </c>
      <c r="L69" s="20"/>
      <c r="M69" s="172" t="s">
        <v>3578</v>
      </c>
      <c r="N69" s="20" t="s">
        <v>2713</v>
      </c>
      <c r="O69" s="28">
        <v>3.8899999999999997E-2</v>
      </c>
      <c r="P69">
        <v>3.8671999999999984E-2</v>
      </c>
      <c r="Q69" s="65">
        <f t="shared" si="8"/>
        <v>2.2800000000001291E-4</v>
      </c>
      <c r="R69" s="20">
        <v>1.3680000000000001</v>
      </c>
      <c r="S69" s="20">
        <f>3.268+0.843+2.578</f>
        <v>6.6890000000000001</v>
      </c>
      <c r="T69" s="20">
        <f t="shared" si="6"/>
        <v>9.1505520000000011</v>
      </c>
      <c r="W69" s="20" t="s">
        <v>887</v>
      </c>
      <c r="X69" s="20" t="s">
        <v>889</v>
      </c>
      <c r="Y69" s="49">
        <v>42972</v>
      </c>
      <c r="Z69" s="20">
        <f t="shared" si="7"/>
        <v>51</v>
      </c>
    </row>
    <row r="70" spans="1:26">
      <c r="A70" s="20" t="s">
        <v>1260</v>
      </c>
      <c r="B70" s="20" t="s">
        <v>2115</v>
      </c>
      <c r="C70" s="31" t="s">
        <v>2226</v>
      </c>
      <c r="D70" s="49">
        <v>42921</v>
      </c>
      <c r="E70" s="20">
        <v>9.7558279999999993</v>
      </c>
      <c r="F70" s="20">
        <v>49.725133</v>
      </c>
      <c r="K70" s="20" t="s">
        <v>892</v>
      </c>
      <c r="L70" s="20"/>
      <c r="M70" s="172" t="s">
        <v>3574</v>
      </c>
      <c r="N70" s="20" t="s">
        <v>2713</v>
      </c>
      <c r="O70" s="28">
        <v>4.4400000000000002E-2</v>
      </c>
      <c r="P70">
        <v>3.8671999999999984E-2</v>
      </c>
      <c r="Q70" s="65">
        <f t="shared" si="8"/>
        <v>5.7280000000000178E-3</v>
      </c>
      <c r="R70" s="20">
        <v>2.1909999999999998</v>
      </c>
      <c r="S70" s="20">
        <f>5.32+5.967</f>
        <v>11.286999999999999</v>
      </c>
      <c r="T70" s="20">
        <f t="shared" si="6"/>
        <v>24.729816999999997</v>
      </c>
      <c r="W70" s="20" t="s">
        <v>887</v>
      </c>
      <c r="X70" s="20" t="s">
        <v>889</v>
      </c>
      <c r="Y70" s="49">
        <v>42972</v>
      </c>
      <c r="Z70" s="20">
        <f t="shared" si="7"/>
        <v>51</v>
      </c>
    </row>
    <row r="71" spans="1:26">
      <c r="A71" s="20" t="s">
        <v>1259</v>
      </c>
      <c r="B71" s="20" t="s">
        <v>2115</v>
      </c>
      <c r="C71" s="31" t="s">
        <v>2226</v>
      </c>
      <c r="D71" s="49">
        <v>42921</v>
      </c>
      <c r="E71" s="20">
        <v>9.7558279999999993</v>
      </c>
      <c r="F71" s="20">
        <v>49.725133</v>
      </c>
      <c r="K71" s="20" t="s">
        <v>2600</v>
      </c>
      <c r="L71" s="20"/>
      <c r="M71" s="172" t="s">
        <v>2591</v>
      </c>
      <c r="N71" s="20" t="s">
        <v>2713</v>
      </c>
      <c r="O71" s="28">
        <v>7.4899999999999994E-2</v>
      </c>
      <c r="P71">
        <v>6.7166000000000003E-2</v>
      </c>
      <c r="Q71" s="65">
        <f t="shared" si="8"/>
        <v>7.7339999999999909E-3</v>
      </c>
      <c r="R71" s="20">
        <v>2.8180000000000001</v>
      </c>
      <c r="S71" s="20">
        <f>7.843+6.457</f>
        <v>14.3</v>
      </c>
      <c r="T71" s="20">
        <f t="shared" si="6"/>
        <v>40.297400000000003</v>
      </c>
      <c r="W71" s="20" t="s">
        <v>887</v>
      </c>
      <c r="X71" s="20" t="s">
        <v>889</v>
      </c>
      <c r="Y71" s="49">
        <v>42972</v>
      </c>
      <c r="Z71" s="20">
        <f t="shared" si="7"/>
        <v>51</v>
      </c>
    </row>
    <row r="72" spans="1:26">
      <c r="A72" s="20" t="s">
        <v>1258</v>
      </c>
      <c r="B72" s="20" t="s">
        <v>2115</v>
      </c>
      <c r="C72" s="31" t="s">
        <v>2226</v>
      </c>
      <c r="D72" s="49">
        <v>42921</v>
      </c>
      <c r="E72" s="20">
        <v>9.7558279999999993</v>
      </c>
      <c r="F72" s="20">
        <v>49.725133</v>
      </c>
      <c r="K72" s="20" t="s">
        <v>2600</v>
      </c>
      <c r="L72" s="20"/>
      <c r="M72" s="172" t="s">
        <v>3578</v>
      </c>
      <c r="N72" s="20" t="s">
        <v>2713</v>
      </c>
      <c r="O72" s="28">
        <v>4.0399999999999998E-2</v>
      </c>
      <c r="P72">
        <v>3.8671999999999984E-2</v>
      </c>
      <c r="Q72" s="65">
        <f t="shared" si="8"/>
        <v>1.7280000000000142E-3</v>
      </c>
      <c r="R72" s="20">
        <v>1.226</v>
      </c>
      <c r="S72" s="20">
        <f>3.424+1.045+2.45</f>
        <v>6.9189999999999996</v>
      </c>
      <c r="T72" s="20">
        <f t="shared" si="6"/>
        <v>8.4826939999999986</v>
      </c>
      <c r="W72" s="20" t="s">
        <v>887</v>
      </c>
      <c r="X72" s="20" t="s">
        <v>889</v>
      </c>
      <c r="Y72" s="49">
        <v>42972</v>
      </c>
      <c r="Z72" s="20">
        <f t="shared" si="7"/>
        <v>51</v>
      </c>
    </row>
    <row r="73" spans="1:26">
      <c r="A73" s="20" t="s">
        <v>1257</v>
      </c>
      <c r="B73" s="20" t="s">
        <v>2115</v>
      </c>
      <c r="C73" s="31" t="s">
        <v>2226</v>
      </c>
      <c r="D73" s="49">
        <v>42921</v>
      </c>
      <c r="E73" s="20">
        <v>9.7558279999999993</v>
      </c>
      <c r="F73" s="20">
        <v>49.725133</v>
      </c>
      <c r="K73" s="20" t="s">
        <v>2600</v>
      </c>
      <c r="L73" s="20"/>
      <c r="M73" s="172" t="s">
        <v>2591</v>
      </c>
      <c r="N73" s="20" t="s">
        <v>2713</v>
      </c>
      <c r="O73" s="28">
        <v>4.5999999999999999E-2</v>
      </c>
      <c r="P73">
        <v>3.8671999999999984E-2</v>
      </c>
      <c r="Q73" s="65">
        <f t="shared" si="8"/>
        <v>7.3280000000000151E-3</v>
      </c>
      <c r="R73" s="20">
        <v>2.8580000000000001</v>
      </c>
      <c r="S73" s="20">
        <f>6.374+6.004</f>
        <v>12.378</v>
      </c>
      <c r="T73" s="20">
        <f t="shared" si="6"/>
        <v>35.376324000000004</v>
      </c>
      <c r="W73" s="20" t="s">
        <v>887</v>
      </c>
      <c r="X73" s="20" t="s">
        <v>889</v>
      </c>
      <c r="Y73" s="49">
        <v>42972</v>
      </c>
      <c r="Z73" s="20">
        <f t="shared" si="7"/>
        <v>51</v>
      </c>
    </row>
    <row r="74" spans="1:26">
      <c r="A74" s="20" t="s">
        <v>1256</v>
      </c>
      <c r="B74" s="20" t="s">
        <v>2115</v>
      </c>
      <c r="C74" s="31" t="s">
        <v>2226</v>
      </c>
      <c r="D74" s="49">
        <v>42921</v>
      </c>
      <c r="E74" s="20">
        <v>9.7558279999999993</v>
      </c>
      <c r="F74" s="20">
        <v>49.725133</v>
      </c>
      <c r="K74" s="20" t="s">
        <v>2600</v>
      </c>
      <c r="L74" s="20"/>
      <c r="M74" s="172" t="s">
        <v>2591</v>
      </c>
      <c r="N74" s="20" t="s">
        <v>2713</v>
      </c>
      <c r="O74" s="28">
        <v>4.2299999999999997E-2</v>
      </c>
      <c r="P74">
        <v>3.8671999999999984E-2</v>
      </c>
      <c r="Q74" s="65">
        <f t="shared" si="8"/>
        <v>3.6280000000000132E-3</v>
      </c>
      <c r="R74" s="20">
        <v>2.5009999999999999</v>
      </c>
      <c r="S74" s="20">
        <v>12.007</v>
      </c>
      <c r="T74" s="20">
        <f t="shared" si="6"/>
        <v>30.029506999999999</v>
      </c>
      <c r="W74" s="20" t="s">
        <v>887</v>
      </c>
      <c r="X74" s="20" t="s">
        <v>889</v>
      </c>
      <c r="Y74" s="49">
        <v>42972</v>
      </c>
      <c r="Z74" s="20">
        <f t="shared" si="7"/>
        <v>51</v>
      </c>
    </row>
    <row r="75" spans="1:26">
      <c r="A75" s="20" t="s">
        <v>1254</v>
      </c>
      <c r="B75" s="20" t="s">
        <v>2115</v>
      </c>
      <c r="C75" s="31" t="s">
        <v>2226</v>
      </c>
      <c r="D75" s="49">
        <v>42921</v>
      </c>
      <c r="E75" s="20">
        <v>9.7558279999999993</v>
      </c>
      <c r="F75" s="20">
        <v>49.725133</v>
      </c>
      <c r="K75" s="20" t="s">
        <v>2600</v>
      </c>
      <c r="L75" s="20"/>
      <c r="M75" s="172" t="s">
        <v>3579</v>
      </c>
      <c r="N75" s="20" t="s">
        <v>2713</v>
      </c>
      <c r="O75" s="28">
        <v>4.0899999999999999E-2</v>
      </c>
      <c r="P75">
        <v>3.8671999999999984E-2</v>
      </c>
      <c r="Q75" s="65">
        <f t="shared" si="8"/>
        <v>2.2280000000000147E-3</v>
      </c>
      <c r="R75" s="20">
        <v>1.6519999999999999</v>
      </c>
      <c r="S75" s="20">
        <f>3.941+1.063+3.332</f>
        <v>8.3359999999999985</v>
      </c>
      <c r="T75" s="20">
        <f t="shared" si="6"/>
        <v>13.771071999999997</v>
      </c>
      <c r="W75" s="20" t="s">
        <v>887</v>
      </c>
      <c r="X75" s="20" t="s">
        <v>889</v>
      </c>
      <c r="Y75" s="49">
        <v>42972</v>
      </c>
      <c r="Z75" s="20">
        <f t="shared" si="7"/>
        <v>51</v>
      </c>
    </row>
    <row r="76" spans="1:26">
      <c r="A76" s="20" t="s">
        <v>1253</v>
      </c>
      <c r="B76" s="20" t="s">
        <v>2115</v>
      </c>
      <c r="C76" s="31" t="s">
        <v>2226</v>
      </c>
      <c r="D76" s="49">
        <v>42921</v>
      </c>
      <c r="E76" s="20">
        <v>9.7558279999999993</v>
      </c>
      <c r="F76" s="20">
        <v>49.725133</v>
      </c>
      <c r="K76" s="20" t="s">
        <v>2600</v>
      </c>
      <c r="L76" s="20"/>
      <c r="M76" s="172" t="s">
        <v>3579</v>
      </c>
      <c r="N76" s="20" t="s">
        <v>2713</v>
      </c>
      <c r="O76" s="28">
        <v>4.0399999999999998E-2</v>
      </c>
      <c r="P76">
        <v>3.8671999999999984E-2</v>
      </c>
      <c r="Q76" s="65">
        <f t="shared" si="8"/>
        <v>1.7280000000000142E-3</v>
      </c>
      <c r="R76" s="20">
        <v>1.5389999999999999</v>
      </c>
      <c r="S76" s="20">
        <f>4.079+1.6+1.991</f>
        <v>7.67</v>
      </c>
      <c r="T76" s="20">
        <f t="shared" si="6"/>
        <v>11.804129999999999</v>
      </c>
      <c r="W76" s="20" t="s">
        <v>887</v>
      </c>
      <c r="X76" s="20" t="s">
        <v>889</v>
      </c>
      <c r="Y76" s="49">
        <v>42972</v>
      </c>
      <c r="Z76" s="20">
        <f t="shared" si="7"/>
        <v>51</v>
      </c>
    </row>
    <row r="77" spans="1:26">
      <c r="A77" s="20" t="s">
        <v>1252</v>
      </c>
      <c r="B77" s="20" t="s">
        <v>2115</v>
      </c>
      <c r="C77" s="31" t="s">
        <v>2226</v>
      </c>
      <c r="D77" s="49">
        <v>42921</v>
      </c>
      <c r="E77" s="20">
        <v>9.7558279999999993</v>
      </c>
      <c r="F77" s="20">
        <v>49.725133</v>
      </c>
      <c r="K77" s="20" t="s">
        <v>892</v>
      </c>
      <c r="L77" s="20"/>
      <c r="M77" s="172" t="s">
        <v>3408</v>
      </c>
      <c r="N77" s="20" t="s">
        <v>2713</v>
      </c>
      <c r="O77" s="28">
        <v>4.7399999999999998E-2</v>
      </c>
      <c r="P77">
        <v>3.8671999999999984E-2</v>
      </c>
      <c r="Q77" s="65">
        <f t="shared" si="8"/>
        <v>8.7280000000000135E-3</v>
      </c>
      <c r="R77" s="20">
        <v>3.0249999999999999</v>
      </c>
      <c r="S77" s="20">
        <v>13.268000000000001</v>
      </c>
      <c r="T77" s="20">
        <f t="shared" si="6"/>
        <v>40.1357</v>
      </c>
      <c r="W77" s="20" t="s">
        <v>887</v>
      </c>
      <c r="X77" s="20" t="s">
        <v>889</v>
      </c>
      <c r="Y77" s="49">
        <v>42972</v>
      </c>
      <c r="Z77" s="20">
        <f t="shared" si="7"/>
        <v>51</v>
      </c>
    </row>
    <row r="78" spans="1:26">
      <c r="A78" s="20" t="s">
        <v>1251</v>
      </c>
      <c r="B78" s="20" t="s">
        <v>2115</v>
      </c>
      <c r="C78" s="31" t="s">
        <v>2226</v>
      </c>
      <c r="D78" s="49">
        <v>42921</v>
      </c>
      <c r="E78" s="20">
        <v>9.7558279999999993</v>
      </c>
      <c r="F78" s="20">
        <v>49.725133</v>
      </c>
      <c r="K78" s="20" t="s">
        <v>2600</v>
      </c>
      <c r="L78" s="20"/>
      <c r="M78" s="172" t="s">
        <v>3578</v>
      </c>
      <c r="N78" s="20" t="s">
        <v>2713</v>
      </c>
      <c r="O78" s="28">
        <v>4.0599999999999997E-2</v>
      </c>
      <c r="P78">
        <v>3.8671999999999984E-2</v>
      </c>
      <c r="Q78" s="65">
        <f t="shared" si="8"/>
        <v>1.928000000000013E-3</v>
      </c>
      <c r="R78" s="20">
        <v>1.4970000000000001</v>
      </c>
      <c r="S78" s="20">
        <f>3.336+1.771+1.632</f>
        <v>6.738999999999999</v>
      </c>
      <c r="T78" s="20">
        <f t="shared" si="6"/>
        <v>10.088282999999999</v>
      </c>
      <c r="W78" s="20" t="s">
        <v>887</v>
      </c>
      <c r="X78" s="20" t="s">
        <v>889</v>
      </c>
      <c r="Y78" s="49">
        <v>42972</v>
      </c>
      <c r="Z78" s="20">
        <f t="shared" si="7"/>
        <v>51</v>
      </c>
    </row>
    <row r="79" spans="1:26">
      <c r="A79" s="20" t="s">
        <v>1250</v>
      </c>
      <c r="B79" s="20" t="s">
        <v>2115</v>
      </c>
      <c r="C79" s="31" t="s">
        <v>2226</v>
      </c>
      <c r="D79" s="49">
        <v>42921</v>
      </c>
      <c r="E79" s="20">
        <v>9.7558279999999993</v>
      </c>
      <c r="F79" s="20">
        <v>49.725133</v>
      </c>
      <c r="K79" s="20" t="s">
        <v>892</v>
      </c>
      <c r="L79" s="20"/>
      <c r="M79" s="172" t="s">
        <v>3574</v>
      </c>
      <c r="N79" s="20" t="s">
        <v>2713</v>
      </c>
      <c r="O79" s="28">
        <v>4.2700000000000002E-2</v>
      </c>
      <c r="P79">
        <v>3.8671999999999984E-2</v>
      </c>
      <c r="Q79" s="65">
        <f t="shared" si="8"/>
        <v>4.0280000000000177E-3</v>
      </c>
      <c r="R79" s="20">
        <v>2.1589999999999998</v>
      </c>
      <c r="S79" s="20">
        <f>5.423+5.005</f>
        <v>10.428000000000001</v>
      </c>
      <c r="T79" s="20">
        <f t="shared" si="6"/>
        <v>22.514052</v>
      </c>
      <c r="W79" s="20" t="s">
        <v>887</v>
      </c>
      <c r="X79" s="20" t="s">
        <v>889</v>
      </c>
      <c r="Y79" s="49">
        <v>42972</v>
      </c>
      <c r="Z79" s="20">
        <f t="shared" si="7"/>
        <v>51</v>
      </c>
    </row>
    <row r="80" spans="1:26">
      <c r="A80" s="20" t="s">
        <v>1249</v>
      </c>
      <c r="B80" s="20" t="s">
        <v>2115</v>
      </c>
      <c r="C80" s="31" t="s">
        <v>2226</v>
      </c>
      <c r="D80" s="49">
        <v>42921</v>
      </c>
      <c r="E80" s="20">
        <v>9.7558279999999993</v>
      </c>
      <c r="F80" s="20">
        <v>49.725133</v>
      </c>
      <c r="K80" s="20" t="s">
        <v>892</v>
      </c>
      <c r="L80" s="20"/>
      <c r="M80" s="172" t="s">
        <v>3574</v>
      </c>
      <c r="N80" s="20" t="s">
        <v>2713</v>
      </c>
      <c r="O80" s="28">
        <v>4.1700000000000001E-2</v>
      </c>
      <c r="P80">
        <v>3.8671999999999984E-2</v>
      </c>
      <c r="Q80" s="65">
        <f t="shared" si="8"/>
        <v>3.0280000000000168E-3</v>
      </c>
      <c r="R80" s="20">
        <v>2.2170000000000001</v>
      </c>
      <c r="S80" s="20">
        <f>4.817+5.576</f>
        <v>10.393000000000001</v>
      </c>
      <c r="T80" s="20">
        <f t="shared" si="6"/>
        <v>23.041281000000001</v>
      </c>
      <c r="W80" s="20" t="s">
        <v>887</v>
      </c>
      <c r="X80" s="20" t="s">
        <v>889</v>
      </c>
      <c r="Y80" s="49">
        <v>42972</v>
      </c>
      <c r="Z80" s="20">
        <f t="shared" si="7"/>
        <v>51</v>
      </c>
    </row>
    <row r="81" spans="1:26">
      <c r="A81" s="20" t="s">
        <v>1248</v>
      </c>
      <c r="B81" s="20" t="s">
        <v>2115</v>
      </c>
      <c r="C81" s="31" t="s">
        <v>2226</v>
      </c>
      <c r="D81" s="49">
        <v>42921</v>
      </c>
      <c r="E81" s="20">
        <v>9.7558279999999993</v>
      </c>
      <c r="F81" s="20">
        <v>49.725133</v>
      </c>
      <c r="K81" s="20" t="s">
        <v>892</v>
      </c>
      <c r="L81" s="20"/>
      <c r="M81" s="172" t="s">
        <v>3574</v>
      </c>
      <c r="N81" s="20" t="s">
        <v>2713</v>
      </c>
      <c r="O81" s="28">
        <v>4.3400000000000001E-2</v>
      </c>
      <c r="P81">
        <v>3.8671999999999984E-2</v>
      </c>
      <c r="Q81" s="65">
        <f t="shared" si="8"/>
        <v>4.7280000000000169E-3</v>
      </c>
      <c r="R81" s="20">
        <v>2.3109999999999999</v>
      </c>
      <c r="S81" s="20">
        <f>5.133+5.912</f>
        <v>11.045</v>
      </c>
      <c r="T81" s="20">
        <f t="shared" si="6"/>
        <v>25.524995000000001</v>
      </c>
      <c r="W81" s="20" t="s">
        <v>887</v>
      </c>
      <c r="X81" s="20" t="s">
        <v>889</v>
      </c>
      <c r="Y81" s="49">
        <v>42972</v>
      </c>
      <c r="Z81" s="20">
        <f t="shared" si="7"/>
        <v>51</v>
      </c>
    </row>
    <row r="82" spans="1:26">
      <c r="A82" s="20" t="s">
        <v>1247</v>
      </c>
      <c r="B82" s="20" t="s">
        <v>2115</v>
      </c>
      <c r="C82" s="31" t="s">
        <v>2226</v>
      </c>
      <c r="D82" s="49">
        <v>42921</v>
      </c>
      <c r="E82" s="20">
        <v>9.7558279999999993</v>
      </c>
      <c r="F82" s="20">
        <v>49.725133</v>
      </c>
      <c r="K82" s="20" t="s">
        <v>2600</v>
      </c>
      <c r="L82" s="20"/>
      <c r="M82" s="172" t="s">
        <v>2591</v>
      </c>
      <c r="N82" s="20" t="s">
        <v>2713</v>
      </c>
      <c r="O82" s="28">
        <v>4.6600000000000003E-2</v>
      </c>
      <c r="P82">
        <v>3.8671999999999984E-2</v>
      </c>
      <c r="Q82" s="65">
        <f t="shared" si="8"/>
        <v>7.9280000000000184E-3</v>
      </c>
      <c r="R82" s="20">
        <v>2.72</v>
      </c>
      <c r="S82" s="20">
        <f>6.308+6.177</f>
        <v>12.484999999999999</v>
      </c>
      <c r="T82" s="20">
        <f t="shared" si="6"/>
        <v>33.959200000000003</v>
      </c>
      <c r="W82" s="20" t="s">
        <v>887</v>
      </c>
      <c r="X82" s="20" t="s">
        <v>889</v>
      </c>
      <c r="Y82" s="49">
        <v>42972</v>
      </c>
      <c r="Z82" s="20">
        <f t="shared" si="7"/>
        <v>51</v>
      </c>
    </row>
    <row r="83" spans="1:26">
      <c r="A83" s="20" t="s">
        <v>1245</v>
      </c>
      <c r="B83" s="20" t="s">
        <v>2115</v>
      </c>
      <c r="C83" s="31" t="s">
        <v>2226</v>
      </c>
      <c r="D83" s="49">
        <v>42921</v>
      </c>
      <c r="E83" s="20">
        <v>9.7558279999999993</v>
      </c>
      <c r="F83" s="20">
        <v>49.725133</v>
      </c>
      <c r="K83" s="20" t="s">
        <v>2600</v>
      </c>
      <c r="L83" s="20"/>
      <c r="M83" s="172" t="s">
        <v>3578</v>
      </c>
      <c r="N83" s="20" t="s">
        <v>2713</v>
      </c>
      <c r="O83" s="28">
        <v>6.9999999999999999E-4</v>
      </c>
      <c r="P83" s="50">
        <v>0</v>
      </c>
      <c r="Q83" s="65">
        <f>O83</f>
        <v>6.9999999999999999E-4</v>
      </c>
      <c r="R83" s="20">
        <v>1.3520000000000001</v>
      </c>
      <c r="S83" s="20">
        <f>3.101+3.481</f>
        <v>6.5819999999999999</v>
      </c>
      <c r="T83" s="20">
        <f t="shared" si="6"/>
        <v>8.8988639999999997</v>
      </c>
      <c r="X83" s="20" t="s">
        <v>889</v>
      </c>
      <c r="Y83" s="49">
        <v>42972</v>
      </c>
      <c r="Z83" s="20">
        <f t="shared" si="7"/>
        <v>51</v>
      </c>
    </row>
    <row r="84" spans="1:26">
      <c r="A84" s="20" t="s">
        <v>1244</v>
      </c>
      <c r="B84" s="20" t="s">
        <v>2115</v>
      </c>
      <c r="C84" s="31" t="s">
        <v>2226</v>
      </c>
      <c r="D84" s="49">
        <v>42921</v>
      </c>
      <c r="E84" s="20">
        <v>9.7558279999999993</v>
      </c>
      <c r="F84" s="20">
        <v>49.725133</v>
      </c>
      <c r="K84" s="20" t="s">
        <v>892</v>
      </c>
      <c r="L84" s="20"/>
      <c r="M84" s="172" t="s">
        <v>3574</v>
      </c>
      <c r="N84" s="20" t="s">
        <v>2713</v>
      </c>
      <c r="O84" s="28">
        <v>4.2900000000000001E-2</v>
      </c>
      <c r="P84">
        <v>3.8671999999999984E-2</v>
      </c>
      <c r="Q84" s="65">
        <f>O84-P84</f>
        <v>4.2280000000000165E-3</v>
      </c>
      <c r="R84" s="20">
        <v>2.09</v>
      </c>
      <c r="S84" s="20">
        <f>4.728+5.119</f>
        <v>9.8469999999999995</v>
      </c>
      <c r="T84" s="20">
        <f t="shared" si="6"/>
        <v>20.580229999999997</v>
      </c>
      <c r="W84" s="20" t="s">
        <v>887</v>
      </c>
      <c r="X84" s="20" t="s">
        <v>889</v>
      </c>
      <c r="Y84" s="49">
        <v>42972</v>
      </c>
      <c r="Z84" s="20">
        <f t="shared" si="7"/>
        <v>51</v>
      </c>
    </row>
    <row r="85" spans="1:26">
      <c r="A85" s="20" t="s">
        <v>1243</v>
      </c>
      <c r="B85" s="20" t="s">
        <v>2115</v>
      </c>
      <c r="C85" s="31" t="s">
        <v>2226</v>
      </c>
      <c r="D85" s="49">
        <v>42921</v>
      </c>
      <c r="E85" s="20">
        <v>9.7558279999999993</v>
      </c>
      <c r="F85" s="20">
        <v>49.725133</v>
      </c>
      <c r="K85" s="20" t="s">
        <v>2600</v>
      </c>
      <c r="L85" s="20"/>
      <c r="M85" s="172" t="s">
        <v>3579</v>
      </c>
      <c r="N85" s="20" t="s">
        <v>2713</v>
      </c>
      <c r="O85" s="28">
        <v>4.02E-2</v>
      </c>
      <c r="P85">
        <v>3.8671999999999984E-2</v>
      </c>
      <c r="Q85" s="65">
        <f>O85-P85</f>
        <v>1.5280000000000155E-3</v>
      </c>
      <c r="R85" s="20">
        <v>1.637</v>
      </c>
      <c r="S85" s="20">
        <f>3.858+5.002</f>
        <v>8.86</v>
      </c>
      <c r="T85" s="20">
        <f t="shared" si="6"/>
        <v>14.503819999999999</v>
      </c>
      <c r="W85" s="20" t="s">
        <v>887</v>
      </c>
      <c r="X85" s="20" t="s">
        <v>889</v>
      </c>
      <c r="Y85" s="49">
        <v>42972</v>
      </c>
      <c r="Z85" s="20">
        <f t="shared" si="7"/>
        <v>51</v>
      </c>
    </row>
    <row r="86" spans="1:26">
      <c r="A86" s="20" t="s">
        <v>1242</v>
      </c>
      <c r="B86" s="20" t="s">
        <v>2115</v>
      </c>
      <c r="C86" s="31" t="s">
        <v>2226</v>
      </c>
      <c r="D86" s="49">
        <v>42921</v>
      </c>
      <c r="E86" s="20">
        <v>9.7558279999999993</v>
      </c>
      <c r="F86" s="20">
        <v>49.725133</v>
      </c>
      <c r="K86" s="20" t="s">
        <v>2600</v>
      </c>
      <c r="L86" s="20"/>
      <c r="M86" s="172" t="s">
        <v>3578</v>
      </c>
      <c r="N86" s="20" t="s">
        <v>2713</v>
      </c>
      <c r="O86" s="28">
        <v>4.0599999999999997E-2</v>
      </c>
      <c r="P86">
        <v>3.8671999999999984E-2</v>
      </c>
      <c r="Q86" s="65">
        <f>O86-P86</f>
        <v>1.928000000000013E-3</v>
      </c>
      <c r="R86" s="20">
        <v>1.323</v>
      </c>
      <c r="S86" s="20">
        <f>3.21+1.07+1.62</f>
        <v>5.9</v>
      </c>
      <c r="T86" s="20">
        <f t="shared" si="6"/>
        <v>7.8056999999999999</v>
      </c>
      <c r="W86" s="20" t="s">
        <v>887</v>
      </c>
      <c r="X86" s="20" t="s">
        <v>889</v>
      </c>
      <c r="Y86" s="49">
        <v>42972</v>
      </c>
      <c r="Z86" s="20">
        <f t="shared" si="7"/>
        <v>51</v>
      </c>
    </row>
    <row r="87" spans="1:26">
      <c r="A87" s="20" t="s">
        <v>1241</v>
      </c>
      <c r="B87" s="20" t="s">
        <v>2115</v>
      </c>
      <c r="C87" s="31" t="s">
        <v>2226</v>
      </c>
      <c r="D87" s="49">
        <v>42921</v>
      </c>
      <c r="E87" s="20">
        <v>9.7558279999999993</v>
      </c>
      <c r="F87" s="20">
        <v>49.725133</v>
      </c>
      <c r="K87" s="20" t="s">
        <v>2600</v>
      </c>
      <c r="L87" s="20"/>
      <c r="M87" s="172" t="s">
        <v>3578</v>
      </c>
      <c r="N87" s="20" t="s">
        <v>2713</v>
      </c>
      <c r="O87" s="28">
        <v>4.07E-2</v>
      </c>
      <c r="P87">
        <v>3.8671999999999984E-2</v>
      </c>
      <c r="Q87" s="65">
        <f>O87-P87</f>
        <v>2.0280000000000159E-3</v>
      </c>
      <c r="R87" s="20">
        <v>1.3440000000000001</v>
      </c>
      <c r="S87" s="20">
        <v>6.7729999999999997</v>
      </c>
      <c r="T87" s="20">
        <f t="shared" si="6"/>
        <v>9.1029119999999999</v>
      </c>
      <c r="W87" s="20" t="s">
        <v>887</v>
      </c>
      <c r="X87" s="20" t="s">
        <v>889</v>
      </c>
      <c r="Y87" s="49">
        <v>42972</v>
      </c>
      <c r="Z87" s="20">
        <f t="shared" si="7"/>
        <v>51</v>
      </c>
    </row>
    <row r="88" spans="1:26">
      <c r="A88" s="20" t="s">
        <v>1240</v>
      </c>
      <c r="B88" s="20" t="s">
        <v>2115</v>
      </c>
      <c r="C88" s="31" t="s">
        <v>2226</v>
      </c>
      <c r="D88" s="49">
        <v>42921</v>
      </c>
      <c r="E88" s="20">
        <v>9.7558279999999993</v>
      </c>
      <c r="F88" s="20">
        <v>49.725133</v>
      </c>
      <c r="K88" s="20" t="s">
        <v>2602</v>
      </c>
      <c r="L88" s="20"/>
      <c r="M88" s="172" t="s">
        <v>2823</v>
      </c>
      <c r="N88" s="20" t="s">
        <v>2713</v>
      </c>
      <c r="O88" s="28">
        <v>5.9200000000000003E-2</v>
      </c>
      <c r="P88">
        <v>3.8671999999999984E-2</v>
      </c>
      <c r="Q88" s="65">
        <f>O88-P88</f>
        <v>2.0528000000000018E-2</v>
      </c>
      <c r="R88" s="20">
        <v>3.8140000000000001</v>
      </c>
      <c r="S88" s="20">
        <f>8.517+8.082</f>
        <v>16.599</v>
      </c>
      <c r="T88" s="20">
        <f t="shared" si="6"/>
        <v>63.308585999999998</v>
      </c>
      <c r="W88" s="20" t="s">
        <v>887</v>
      </c>
      <c r="X88" s="20" t="s">
        <v>889</v>
      </c>
      <c r="Y88" s="49">
        <v>42972</v>
      </c>
      <c r="Z88" s="20">
        <f t="shared" si="7"/>
        <v>51</v>
      </c>
    </row>
    <row r="89" spans="1:26">
      <c r="A89" s="20" t="s">
        <v>1239</v>
      </c>
      <c r="B89" s="20" t="s">
        <v>2115</v>
      </c>
      <c r="C89" s="31" t="s">
        <v>2226</v>
      </c>
      <c r="D89" s="49">
        <v>42921</v>
      </c>
      <c r="E89" s="20">
        <v>9.7558279999999993</v>
      </c>
      <c r="F89" s="20">
        <v>49.725133</v>
      </c>
      <c r="K89" s="20" t="s">
        <v>2600</v>
      </c>
      <c r="L89" s="20"/>
      <c r="M89" s="172" t="s">
        <v>3573</v>
      </c>
      <c r="N89" s="20" t="s">
        <v>2713</v>
      </c>
      <c r="O89" s="28">
        <v>3.0000000000000001E-3</v>
      </c>
      <c r="P89" s="50">
        <v>0</v>
      </c>
      <c r="Q89" s="65">
        <f>O89</f>
        <v>3.0000000000000001E-3</v>
      </c>
      <c r="R89" s="20">
        <v>1.96</v>
      </c>
      <c r="S89" s="20">
        <f>4.235+5.144</f>
        <v>9.3790000000000013</v>
      </c>
      <c r="T89" s="20">
        <f t="shared" si="6"/>
        <v>18.382840000000002</v>
      </c>
      <c r="W89" s="20" t="s">
        <v>890</v>
      </c>
      <c r="X89" s="20" t="s">
        <v>889</v>
      </c>
      <c r="Y89" s="49">
        <v>42972</v>
      </c>
      <c r="Z89" s="20">
        <f t="shared" si="7"/>
        <v>51</v>
      </c>
    </row>
    <row r="90" spans="1:26">
      <c r="A90" s="20" t="s">
        <v>1238</v>
      </c>
      <c r="B90" s="20" t="s">
        <v>2115</v>
      </c>
      <c r="C90" s="31" t="s">
        <v>2226</v>
      </c>
      <c r="D90" s="49">
        <v>42921</v>
      </c>
      <c r="E90" s="20">
        <v>9.7558279999999993</v>
      </c>
      <c r="F90" s="20">
        <v>49.725133</v>
      </c>
      <c r="K90" s="20" t="s">
        <v>892</v>
      </c>
      <c r="L90" s="20"/>
      <c r="M90" s="172" t="s">
        <v>3574</v>
      </c>
      <c r="N90" s="20" t="s">
        <v>2713</v>
      </c>
      <c r="O90" s="28">
        <v>4.2500000000000003E-2</v>
      </c>
      <c r="P90">
        <v>3.8671999999999984E-2</v>
      </c>
      <c r="Q90" s="65">
        <f t="shared" ref="Q90:Q98" si="9">O90-P90</f>
        <v>3.8280000000000189E-3</v>
      </c>
      <c r="R90" s="20">
        <v>1.923</v>
      </c>
      <c r="S90" s="20">
        <f>4.554+4.47</f>
        <v>9.0240000000000009</v>
      </c>
      <c r="T90" s="20">
        <f t="shared" si="6"/>
        <v>17.353152000000001</v>
      </c>
      <c r="W90" s="20" t="s">
        <v>887</v>
      </c>
      <c r="X90" s="20" t="s">
        <v>889</v>
      </c>
      <c r="Y90" s="49">
        <v>42972</v>
      </c>
      <c r="Z90" s="20">
        <f t="shared" si="7"/>
        <v>51</v>
      </c>
    </row>
    <row r="91" spans="1:26">
      <c r="A91" s="20" t="s">
        <v>1237</v>
      </c>
      <c r="B91" s="20" t="s">
        <v>2115</v>
      </c>
      <c r="C91" s="31" t="s">
        <v>2226</v>
      </c>
      <c r="D91" s="49">
        <v>42921</v>
      </c>
      <c r="E91" s="20">
        <v>9.7558279999999993</v>
      </c>
      <c r="F91" s="20">
        <v>49.725133</v>
      </c>
      <c r="K91" s="20" t="s">
        <v>892</v>
      </c>
      <c r="L91" s="20"/>
      <c r="M91" s="172" t="s">
        <v>3408</v>
      </c>
      <c r="N91" s="20" t="s">
        <v>2713</v>
      </c>
      <c r="O91" s="28">
        <v>4.7E-2</v>
      </c>
      <c r="P91">
        <v>3.8671999999999984E-2</v>
      </c>
      <c r="Q91" s="65">
        <f t="shared" si="9"/>
        <v>8.3280000000000159E-3</v>
      </c>
      <c r="R91" s="20">
        <v>2.7360000000000002</v>
      </c>
      <c r="S91" s="20">
        <f>7.243+6.458</f>
        <v>13.701000000000001</v>
      </c>
      <c r="T91" s="20">
        <f t="shared" si="6"/>
        <v>37.485936000000002</v>
      </c>
      <c r="W91" s="20" t="s">
        <v>887</v>
      </c>
      <c r="X91" s="20" t="s">
        <v>889</v>
      </c>
      <c r="Y91" s="49">
        <v>42972</v>
      </c>
      <c r="Z91" s="20">
        <f t="shared" si="7"/>
        <v>51</v>
      </c>
    </row>
    <row r="92" spans="1:26">
      <c r="A92" s="20" t="s">
        <v>1236</v>
      </c>
      <c r="B92" s="20" t="s">
        <v>2115</v>
      </c>
      <c r="C92" s="31" t="s">
        <v>2226</v>
      </c>
      <c r="D92" s="49">
        <v>42921</v>
      </c>
      <c r="E92" s="20">
        <v>9.7558279999999993</v>
      </c>
      <c r="F92" s="20">
        <v>49.725133</v>
      </c>
      <c r="K92" s="20" t="s">
        <v>892</v>
      </c>
      <c r="L92" s="20"/>
      <c r="M92" s="172" t="s">
        <v>3408</v>
      </c>
      <c r="N92" s="20" t="s">
        <v>2713</v>
      </c>
      <c r="O92" s="28">
        <v>4.8800000000000003E-2</v>
      </c>
      <c r="P92">
        <v>3.8671999999999984E-2</v>
      </c>
      <c r="Q92" s="65">
        <f t="shared" si="9"/>
        <v>1.0128000000000019E-2</v>
      </c>
      <c r="R92" s="20">
        <v>2.8959999999999999</v>
      </c>
      <c r="S92" s="20">
        <f>6.949+5.983</f>
        <v>12.931999999999999</v>
      </c>
      <c r="T92" s="20">
        <f t="shared" si="6"/>
        <v>37.451071999999996</v>
      </c>
      <c r="W92" s="20" t="s">
        <v>887</v>
      </c>
      <c r="X92" s="20" t="s">
        <v>889</v>
      </c>
      <c r="Y92" s="49">
        <v>42972</v>
      </c>
      <c r="Z92" s="20">
        <f t="shared" si="7"/>
        <v>51</v>
      </c>
    </row>
    <row r="93" spans="1:26">
      <c r="A93" s="20" t="s">
        <v>1235</v>
      </c>
      <c r="B93" s="20" t="s">
        <v>2115</v>
      </c>
      <c r="C93" s="31" t="s">
        <v>2226</v>
      </c>
      <c r="D93" s="49">
        <v>42921</v>
      </c>
      <c r="E93" s="20">
        <v>9.7558279999999993</v>
      </c>
      <c r="F93" s="20">
        <v>49.725133</v>
      </c>
      <c r="K93" s="20" t="s">
        <v>2602</v>
      </c>
      <c r="L93" s="20"/>
      <c r="M93" s="172" t="s">
        <v>2823</v>
      </c>
      <c r="N93" s="20" t="s">
        <v>2713</v>
      </c>
      <c r="O93" s="28">
        <v>8.6199999999999999E-2</v>
      </c>
      <c r="P93">
        <v>6.7166000000000003E-2</v>
      </c>
      <c r="Q93" s="65">
        <f t="shared" si="9"/>
        <v>1.9033999999999995E-2</v>
      </c>
      <c r="R93" s="20">
        <v>4.069</v>
      </c>
      <c r="S93" s="20">
        <f>8.059+8.738</f>
        <v>16.796999999999997</v>
      </c>
      <c r="T93" s="20">
        <f t="shared" si="6"/>
        <v>68.346992999999983</v>
      </c>
      <c r="W93" s="20" t="s">
        <v>887</v>
      </c>
      <c r="X93" s="20" t="s">
        <v>889</v>
      </c>
      <c r="Y93" s="49">
        <v>42972</v>
      </c>
      <c r="Z93" s="20">
        <f t="shared" si="7"/>
        <v>51</v>
      </c>
    </row>
    <row r="94" spans="1:26">
      <c r="A94" s="20" t="s">
        <v>1234</v>
      </c>
      <c r="B94" s="20" t="s">
        <v>2115</v>
      </c>
      <c r="C94" s="31" t="s">
        <v>2226</v>
      </c>
      <c r="D94" s="49">
        <v>42921</v>
      </c>
      <c r="E94" s="20">
        <v>9.7558279999999993</v>
      </c>
      <c r="F94" s="20">
        <v>49.725133</v>
      </c>
      <c r="K94" s="20" t="s">
        <v>2602</v>
      </c>
      <c r="L94" s="20"/>
      <c r="M94" s="172" t="s">
        <v>2823</v>
      </c>
      <c r="N94" s="20" t="s">
        <v>2713</v>
      </c>
      <c r="O94" s="28">
        <v>5.9700000000000003E-2</v>
      </c>
      <c r="P94">
        <v>3.8671999999999984E-2</v>
      </c>
      <c r="Q94" s="65">
        <f t="shared" si="9"/>
        <v>2.1028000000000019E-2</v>
      </c>
      <c r="R94" s="20">
        <v>3.7189999999999999</v>
      </c>
      <c r="S94" s="20">
        <v>17.721</v>
      </c>
      <c r="T94" s="20">
        <f t="shared" si="6"/>
        <v>65.904398999999998</v>
      </c>
      <c r="W94" s="20" t="s">
        <v>887</v>
      </c>
      <c r="X94" s="20" t="s">
        <v>889</v>
      </c>
      <c r="Y94" s="49">
        <v>42972</v>
      </c>
      <c r="Z94" s="20">
        <f t="shared" si="7"/>
        <v>51</v>
      </c>
    </row>
    <row r="95" spans="1:26">
      <c r="A95" s="20" t="s">
        <v>1233</v>
      </c>
      <c r="B95" s="20" t="s">
        <v>2115</v>
      </c>
      <c r="C95" s="31" t="s">
        <v>2226</v>
      </c>
      <c r="D95" s="49">
        <v>42921</v>
      </c>
      <c r="E95" s="20">
        <v>9.7558279999999993</v>
      </c>
      <c r="F95" s="20">
        <v>49.725133</v>
      </c>
      <c r="K95" s="20" t="s">
        <v>892</v>
      </c>
      <c r="L95" s="20"/>
      <c r="M95" s="172" t="s">
        <v>3574</v>
      </c>
      <c r="N95" s="20" t="s">
        <v>2713</v>
      </c>
      <c r="O95" s="28">
        <v>4.3499999999999997E-2</v>
      </c>
      <c r="P95">
        <v>3.8671999999999984E-2</v>
      </c>
      <c r="Q95" s="65">
        <f t="shared" si="9"/>
        <v>4.8280000000000128E-3</v>
      </c>
      <c r="R95" s="20">
        <v>2.1859999999999999</v>
      </c>
      <c r="S95" s="20">
        <v>9.6880000000000006</v>
      </c>
      <c r="T95" s="20">
        <f t="shared" si="6"/>
        <v>21.177968</v>
      </c>
      <c r="W95" s="20" t="s">
        <v>887</v>
      </c>
      <c r="X95" s="20" t="s">
        <v>889</v>
      </c>
      <c r="Y95" s="49">
        <v>42972</v>
      </c>
      <c r="Z95" s="20">
        <f t="shared" si="7"/>
        <v>51</v>
      </c>
    </row>
    <row r="96" spans="1:26">
      <c r="A96" s="20" t="s">
        <v>1232</v>
      </c>
      <c r="B96" s="20" t="s">
        <v>2115</v>
      </c>
      <c r="C96" s="31" t="s">
        <v>2226</v>
      </c>
      <c r="D96" s="49">
        <v>42921</v>
      </c>
      <c r="E96" s="20">
        <v>9.7558279999999993</v>
      </c>
      <c r="F96" s="20">
        <v>49.725133</v>
      </c>
      <c r="K96" s="20" t="s">
        <v>2600</v>
      </c>
      <c r="L96" s="20"/>
      <c r="M96" s="172" t="s">
        <v>2591</v>
      </c>
      <c r="N96" s="20" t="s">
        <v>2713</v>
      </c>
      <c r="O96" s="28">
        <v>7.3899999999999993E-2</v>
      </c>
      <c r="P96">
        <v>6.7166000000000003E-2</v>
      </c>
      <c r="Q96" s="65">
        <f t="shared" si="9"/>
        <v>6.73399999999999E-3</v>
      </c>
      <c r="R96" s="20">
        <v>2.5739999999999998</v>
      </c>
      <c r="S96" s="20">
        <f>6.844+5.791</f>
        <v>12.635000000000002</v>
      </c>
      <c r="T96" s="20">
        <f t="shared" si="6"/>
        <v>32.522490000000005</v>
      </c>
      <c r="W96" s="20" t="s">
        <v>887</v>
      </c>
      <c r="X96" s="20" t="s">
        <v>889</v>
      </c>
      <c r="Y96" s="49">
        <v>42972</v>
      </c>
      <c r="Z96" s="20">
        <f t="shared" si="7"/>
        <v>51</v>
      </c>
    </row>
    <row r="97" spans="1:26">
      <c r="A97" s="20" t="s">
        <v>1231</v>
      </c>
      <c r="B97" s="20" t="s">
        <v>2115</v>
      </c>
      <c r="C97" s="31" t="s">
        <v>2226</v>
      </c>
      <c r="D97" s="49">
        <v>42921</v>
      </c>
      <c r="E97" s="20">
        <v>9.7558279999999993</v>
      </c>
      <c r="F97" s="20">
        <v>49.725133</v>
      </c>
      <c r="K97" s="20" t="s">
        <v>892</v>
      </c>
      <c r="L97" s="20"/>
      <c r="M97" s="172" t="s">
        <v>3574</v>
      </c>
      <c r="N97" s="20" t="s">
        <v>2713</v>
      </c>
      <c r="O97" s="28">
        <v>4.2900000000000001E-2</v>
      </c>
      <c r="P97">
        <v>3.8671999999999984E-2</v>
      </c>
      <c r="Q97" s="65">
        <f t="shared" si="9"/>
        <v>4.2280000000000165E-3</v>
      </c>
      <c r="R97" s="20">
        <v>2.1179999999999999</v>
      </c>
      <c r="S97" s="20">
        <f>4.843+4.73</f>
        <v>9.5730000000000004</v>
      </c>
      <c r="T97" s="20">
        <f t="shared" si="6"/>
        <v>20.275614000000001</v>
      </c>
      <c r="W97" s="20" t="s">
        <v>887</v>
      </c>
      <c r="X97" s="20" t="s">
        <v>889</v>
      </c>
      <c r="Y97" s="49">
        <v>42972</v>
      </c>
      <c r="Z97" s="20">
        <f t="shared" si="7"/>
        <v>51</v>
      </c>
    </row>
    <row r="98" spans="1:26">
      <c r="A98" s="20" t="s">
        <v>1230</v>
      </c>
      <c r="B98" s="20" t="s">
        <v>2115</v>
      </c>
      <c r="C98" s="31" t="s">
        <v>2226</v>
      </c>
      <c r="D98" s="49">
        <v>42921</v>
      </c>
      <c r="E98" s="20">
        <v>9.7558279999999993</v>
      </c>
      <c r="F98" s="20">
        <v>49.725133</v>
      </c>
      <c r="K98" s="20" t="s">
        <v>2600</v>
      </c>
      <c r="L98" s="20"/>
      <c r="M98" s="172" t="s">
        <v>2591</v>
      </c>
      <c r="N98" s="20" t="s">
        <v>2713</v>
      </c>
      <c r="O98" s="28">
        <v>4.5499999999999999E-2</v>
      </c>
      <c r="P98">
        <v>3.8671999999999984E-2</v>
      </c>
      <c r="Q98" s="65">
        <f t="shared" si="9"/>
        <v>6.8280000000000146E-3</v>
      </c>
      <c r="R98" s="20">
        <v>2.9319999999999999</v>
      </c>
      <c r="S98" s="20">
        <f>6.523+3.073+4.139</f>
        <v>13.734999999999999</v>
      </c>
      <c r="T98" s="20">
        <f t="shared" si="6"/>
        <v>40.27102</v>
      </c>
      <c r="W98" s="20" t="s">
        <v>887</v>
      </c>
      <c r="X98" s="20" t="s">
        <v>889</v>
      </c>
      <c r="Y98" s="49">
        <v>42972</v>
      </c>
      <c r="Z98" s="20">
        <f t="shared" si="7"/>
        <v>51</v>
      </c>
    </row>
    <row r="99" spans="1:26">
      <c r="A99" s="20" t="s">
        <v>1229</v>
      </c>
      <c r="B99" s="20" t="s">
        <v>2115</v>
      </c>
      <c r="C99" s="31" t="s">
        <v>2226</v>
      </c>
      <c r="D99" s="49">
        <v>42921</v>
      </c>
      <c r="E99" s="20">
        <v>9.7558279999999993</v>
      </c>
      <c r="F99" s="20">
        <v>49.725133</v>
      </c>
      <c r="K99" s="20" t="s">
        <v>892</v>
      </c>
      <c r="L99" s="20"/>
      <c r="M99" s="172" t="s">
        <v>3574</v>
      </c>
      <c r="N99" s="20" t="s">
        <v>2713</v>
      </c>
      <c r="O99" s="28">
        <v>2.3E-3</v>
      </c>
      <c r="P99" s="50">
        <v>0</v>
      </c>
      <c r="Q99" s="65">
        <f>O99</f>
        <v>2.3E-3</v>
      </c>
      <c r="R99" s="20">
        <v>1.905</v>
      </c>
      <c r="S99" s="20">
        <f>5.096+4.349</f>
        <v>9.4450000000000003</v>
      </c>
      <c r="T99" s="20">
        <f t="shared" si="6"/>
        <v>17.992725</v>
      </c>
      <c r="W99" s="20" t="s">
        <v>890</v>
      </c>
      <c r="X99" s="20" t="s">
        <v>889</v>
      </c>
      <c r="Y99" s="49">
        <v>42972</v>
      </c>
      <c r="Z99" s="20">
        <f t="shared" si="7"/>
        <v>51</v>
      </c>
    </row>
    <row r="100" spans="1:26">
      <c r="A100" s="20" t="s">
        <v>1228</v>
      </c>
      <c r="B100" s="20" t="s">
        <v>2115</v>
      </c>
      <c r="C100" s="31" t="s">
        <v>2226</v>
      </c>
      <c r="D100" s="49">
        <v>42921</v>
      </c>
      <c r="E100" s="20">
        <v>9.7558279999999993</v>
      </c>
      <c r="F100" s="20">
        <v>49.725133</v>
      </c>
      <c r="K100" s="20" t="s">
        <v>2600</v>
      </c>
      <c r="L100" s="20"/>
      <c r="M100" s="172" t="s">
        <v>3579</v>
      </c>
      <c r="N100" s="20" t="s">
        <v>2713</v>
      </c>
      <c r="O100" s="28">
        <v>4.1099999999999998E-2</v>
      </c>
      <c r="P100">
        <v>3.8671999999999984E-2</v>
      </c>
      <c r="Q100" s="65">
        <f>O100-P100</f>
        <v>2.4280000000000135E-3</v>
      </c>
      <c r="R100" s="20">
        <v>1.7390000000000001</v>
      </c>
      <c r="S100" s="20">
        <f>4.108+4.41</f>
        <v>8.5180000000000007</v>
      </c>
      <c r="T100" s="20">
        <f t="shared" si="6"/>
        <v>14.812802000000001</v>
      </c>
      <c r="W100" s="20" t="s">
        <v>887</v>
      </c>
      <c r="X100" s="20" t="s">
        <v>889</v>
      </c>
      <c r="Y100" s="49">
        <v>42972</v>
      </c>
      <c r="Z100" s="20">
        <f t="shared" si="7"/>
        <v>51</v>
      </c>
    </row>
    <row r="101" spans="1:26">
      <c r="A101" s="20" t="s">
        <v>1227</v>
      </c>
      <c r="B101" s="20" t="s">
        <v>2115</v>
      </c>
      <c r="C101" s="31" t="s">
        <v>2226</v>
      </c>
      <c r="D101" s="49">
        <v>42921</v>
      </c>
      <c r="E101" s="20">
        <v>9.7558279999999993</v>
      </c>
      <c r="F101" s="20">
        <v>49.725133</v>
      </c>
      <c r="K101" s="20" t="s">
        <v>892</v>
      </c>
      <c r="L101" s="20"/>
      <c r="M101" s="172" t="s">
        <v>3574</v>
      </c>
      <c r="N101" s="20" t="s">
        <v>2713</v>
      </c>
      <c r="O101" s="28">
        <v>3.3999999999999998E-3</v>
      </c>
      <c r="P101" s="50">
        <v>0</v>
      </c>
      <c r="Q101" s="65">
        <f>O101</f>
        <v>3.3999999999999998E-3</v>
      </c>
      <c r="R101" s="20">
        <v>2.089</v>
      </c>
      <c r="S101" s="20">
        <f>5.141+4.94</f>
        <v>10.081</v>
      </c>
      <c r="T101" s="20">
        <f t="shared" si="6"/>
        <v>21.059208999999999</v>
      </c>
      <c r="W101" s="20" t="s">
        <v>890</v>
      </c>
      <c r="X101" s="20" t="s">
        <v>889</v>
      </c>
      <c r="Y101" s="49">
        <v>42972</v>
      </c>
      <c r="Z101" s="20">
        <f t="shared" si="7"/>
        <v>51</v>
      </c>
    </row>
    <row r="102" spans="1:26">
      <c r="A102" s="20" t="s">
        <v>1226</v>
      </c>
      <c r="B102" s="20" t="s">
        <v>2115</v>
      </c>
      <c r="C102" s="31" t="s">
        <v>2226</v>
      </c>
      <c r="D102" s="49">
        <v>42921</v>
      </c>
      <c r="E102" s="20">
        <v>9.7558279999999993</v>
      </c>
      <c r="F102" s="20">
        <v>49.725133</v>
      </c>
      <c r="K102" s="20" t="s">
        <v>892</v>
      </c>
      <c r="L102" s="20"/>
      <c r="M102" s="172" t="s">
        <v>3574</v>
      </c>
      <c r="N102" s="20" t="s">
        <v>2713</v>
      </c>
      <c r="O102" s="28">
        <v>3.7000000000000002E-3</v>
      </c>
      <c r="P102" s="50">
        <v>0</v>
      </c>
      <c r="Q102" s="65">
        <f>O102</f>
        <v>3.7000000000000002E-3</v>
      </c>
      <c r="R102" s="20">
        <v>1.9630000000000001</v>
      </c>
      <c r="S102" s="20">
        <f>6.028+4.588</f>
        <v>10.616</v>
      </c>
      <c r="T102" s="20">
        <f t="shared" si="6"/>
        <v>20.839207999999999</v>
      </c>
      <c r="W102" s="20" t="s">
        <v>890</v>
      </c>
      <c r="X102" s="20" t="s">
        <v>889</v>
      </c>
      <c r="Y102" s="49">
        <v>42972</v>
      </c>
      <c r="Z102" s="20">
        <f t="shared" si="7"/>
        <v>51</v>
      </c>
    </row>
    <row r="103" spans="1:26">
      <c r="A103" s="20" t="s">
        <v>1225</v>
      </c>
      <c r="B103" s="20" t="s">
        <v>2115</v>
      </c>
      <c r="C103" s="31" t="s">
        <v>2226</v>
      </c>
      <c r="D103" s="49">
        <v>42921</v>
      </c>
      <c r="E103" s="20">
        <v>9.7558279999999993</v>
      </c>
      <c r="F103" s="20">
        <v>49.725133</v>
      </c>
      <c r="K103" s="20" t="s">
        <v>2600</v>
      </c>
      <c r="L103" s="20"/>
      <c r="M103" s="172" t="s">
        <v>3579</v>
      </c>
      <c r="N103" s="20" t="s">
        <v>2713</v>
      </c>
      <c r="O103" s="28">
        <v>4.1599999999999998E-2</v>
      </c>
      <c r="P103">
        <v>3.8671999999999984E-2</v>
      </c>
      <c r="Q103" s="65">
        <f>O103-P103</f>
        <v>2.9280000000000139E-3</v>
      </c>
      <c r="R103" s="20">
        <v>1.7190000000000001</v>
      </c>
      <c r="S103" s="20">
        <v>9.0649999999999995</v>
      </c>
      <c r="T103" s="20">
        <f t="shared" si="6"/>
        <v>15.582735</v>
      </c>
      <c r="W103" s="20" t="s">
        <v>887</v>
      </c>
      <c r="X103" s="20" t="s">
        <v>889</v>
      </c>
      <c r="Y103" s="49">
        <v>42972</v>
      </c>
      <c r="Z103" s="20">
        <f t="shared" si="7"/>
        <v>51</v>
      </c>
    </row>
    <row r="104" spans="1:26">
      <c r="A104" s="20" t="s">
        <v>1224</v>
      </c>
      <c r="B104" s="20" t="s">
        <v>2115</v>
      </c>
      <c r="C104" s="31" t="s">
        <v>2226</v>
      </c>
      <c r="D104" s="49">
        <v>42921</v>
      </c>
      <c r="E104" s="20">
        <v>9.7558279999999993</v>
      </c>
      <c r="F104" s="20">
        <v>49.725133</v>
      </c>
      <c r="K104" s="20" t="s">
        <v>2600</v>
      </c>
      <c r="L104" s="20"/>
      <c r="M104" s="172" t="s">
        <v>3579</v>
      </c>
      <c r="N104" s="20" t="s">
        <v>2713</v>
      </c>
      <c r="O104" s="28">
        <v>1.8E-3</v>
      </c>
      <c r="P104" s="50">
        <v>0</v>
      </c>
      <c r="Q104" s="65">
        <f>O104</f>
        <v>1.8E-3</v>
      </c>
      <c r="R104" s="20">
        <v>1.647</v>
      </c>
      <c r="S104" s="20">
        <f>2.172+1.913+1.648+3.715</f>
        <v>9.4480000000000004</v>
      </c>
      <c r="T104" s="20">
        <f t="shared" si="6"/>
        <v>15.560856000000001</v>
      </c>
      <c r="W104" s="20" t="s">
        <v>890</v>
      </c>
      <c r="X104" s="20" t="s">
        <v>889</v>
      </c>
      <c r="Y104" s="49">
        <v>42972</v>
      </c>
      <c r="Z104" s="20">
        <f t="shared" si="7"/>
        <v>51</v>
      </c>
    </row>
    <row r="105" spans="1:26">
      <c r="A105" s="20" t="s">
        <v>1223</v>
      </c>
      <c r="B105" s="20" t="s">
        <v>2115</v>
      </c>
      <c r="C105" s="31" t="s">
        <v>2226</v>
      </c>
      <c r="D105" s="49">
        <v>42921</v>
      </c>
      <c r="E105" s="20">
        <v>9.7558279999999993</v>
      </c>
      <c r="F105" s="20">
        <v>49.725133</v>
      </c>
      <c r="K105" s="20" t="s">
        <v>2600</v>
      </c>
      <c r="L105" s="20"/>
      <c r="M105" s="172" t="s">
        <v>3573</v>
      </c>
      <c r="N105" s="20" t="s">
        <v>2713</v>
      </c>
      <c r="O105" s="28">
        <v>4.0899999999999999E-2</v>
      </c>
      <c r="P105">
        <v>3.8671999999999984E-2</v>
      </c>
      <c r="Q105" s="65">
        <f>O105-P105</f>
        <v>2.2280000000000147E-3</v>
      </c>
      <c r="R105" s="20">
        <v>1.5880000000000001</v>
      </c>
      <c r="S105" s="20">
        <f>4.921+3.354</f>
        <v>8.2750000000000004</v>
      </c>
      <c r="T105" s="20">
        <f t="shared" si="6"/>
        <v>13.140700000000001</v>
      </c>
      <c r="W105" s="20" t="s">
        <v>887</v>
      </c>
      <c r="X105" s="20" t="s">
        <v>889</v>
      </c>
      <c r="Y105" s="49">
        <v>42972</v>
      </c>
      <c r="Z105" s="20">
        <f t="shared" si="7"/>
        <v>51</v>
      </c>
    </row>
    <row r="106" spans="1:26">
      <c r="A106" s="20" t="s">
        <v>2093</v>
      </c>
      <c r="B106" s="20" t="s">
        <v>2115</v>
      </c>
      <c r="C106" s="31" t="s">
        <v>2226</v>
      </c>
      <c r="D106" s="49">
        <v>42921</v>
      </c>
      <c r="E106" s="20">
        <v>9.7558279999999993</v>
      </c>
      <c r="F106" s="20">
        <v>49.725133</v>
      </c>
      <c r="K106" s="20" t="s">
        <v>892</v>
      </c>
      <c r="L106" s="20"/>
      <c r="M106" s="172" t="s">
        <v>3574</v>
      </c>
      <c r="N106" s="20" t="s">
        <v>2713</v>
      </c>
      <c r="O106" s="28">
        <v>3.5999999999999999E-3</v>
      </c>
      <c r="P106" s="50">
        <v>0</v>
      </c>
      <c r="Q106" s="65">
        <f>O106</f>
        <v>3.5999999999999999E-3</v>
      </c>
      <c r="R106" s="20">
        <v>2.1560000000000001</v>
      </c>
      <c r="S106" s="20">
        <f>5.28+4.84</f>
        <v>10.120000000000001</v>
      </c>
      <c r="T106" s="20">
        <f t="shared" si="6"/>
        <v>21.818720000000003</v>
      </c>
      <c r="W106" s="20" t="s">
        <v>890</v>
      </c>
      <c r="X106" s="20" t="s">
        <v>889</v>
      </c>
      <c r="Y106" s="49">
        <v>42972</v>
      </c>
      <c r="Z106" s="20">
        <f t="shared" si="7"/>
        <v>51</v>
      </c>
    </row>
    <row r="107" spans="1:26">
      <c r="A107" s="20" t="s">
        <v>1222</v>
      </c>
      <c r="B107" s="20" t="s">
        <v>2115</v>
      </c>
      <c r="C107" s="31" t="s">
        <v>2226</v>
      </c>
      <c r="D107" s="49">
        <v>42921</v>
      </c>
      <c r="E107" s="20">
        <v>9.7558279999999993</v>
      </c>
      <c r="F107" s="20">
        <v>49.725133</v>
      </c>
      <c r="K107" s="20" t="s">
        <v>2600</v>
      </c>
      <c r="L107" s="20"/>
      <c r="M107" s="172" t="s">
        <v>3573</v>
      </c>
      <c r="N107" s="20" t="s">
        <v>2713</v>
      </c>
      <c r="O107" s="28">
        <v>1.4E-3</v>
      </c>
      <c r="P107" s="50">
        <v>0</v>
      </c>
      <c r="Q107" s="65">
        <f>O107</f>
        <v>1.4E-3</v>
      </c>
      <c r="R107" s="20">
        <v>1.728</v>
      </c>
      <c r="S107" s="20">
        <f>4.18+3.006+0.847</f>
        <v>8.0329999999999995</v>
      </c>
      <c r="T107" s="20">
        <f t="shared" si="6"/>
        <v>13.881023999999998</v>
      </c>
      <c r="W107" s="20" t="s">
        <v>890</v>
      </c>
      <c r="X107" s="20" t="s">
        <v>889</v>
      </c>
      <c r="Y107" s="49">
        <v>42972</v>
      </c>
      <c r="Z107" s="20">
        <f t="shared" si="7"/>
        <v>51</v>
      </c>
    </row>
    <row r="108" spans="1:26">
      <c r="A108" s="20" t="s">
        <v>1220</v>
      </c>
      <c r="B108" s="20" t="s">
        <v>2115</v>
      </c>
      <c r="C108" s="31" t="s">
        <v>2226</v>
      </c>
      <c r="D108" s="49">
        <v>42921</v>
      </c>
      <c r="E108" s="20">
        <v>9.7558279999999993</v>
      </c>
      <c r="F108" s="20">
        <v>49.725133</v>
      </c>
      <c r="K108" s="20" t="s">
        <v>892</v>
      </c>
      <c r="L108" s="20"/>
      <c r="M108" s="172" t="s">
        <v>3574</v>
      </c>
      <c r="N108" s="20" t="s">
        <v>2713</v>
      </c>
      <c r="O108" s="28">
        <v>4.1000000000000003E-3</v>
      </c>
      <c r="P108" s="50">
        <v>0</v>
      </c>
      <c r="Q108" s="65">
        <f>O108</f>
        <v>4.1000000000000003E-3</v>
      </c>
      <c r="R108" s="20">
        <v>2.0790000000000002</v>
      </c>
      <c r="S108" s="20">
        <f>4.931+4.902</f>
        <v>9.8330000000000002</v>
      </c>
      <c r="T108" s="20">
        <f t="shared" si="6"/>
        <v>20.442807000000002</v>
      </c>
      <c r="W108" s="20" t="s">
        <v>890</v>
      </c>
      <c r="X108" s="20" t="s">
        <v>889</v>
      </c>
      <c r="Y108" s="49">
        <v>42972</v>
      </c>
      <c r="Z108" s="20">
        <f t="shared" si="7"/>
        <v>51</v>
      </c>
    </row>
    <row r="109" spans="1:26">
      <c r="A109" s="20" t="s">
        <v>1219</v>
      </c>
      <c r="B109" s="20" t="s">
        <v>2115</v>
      </c>
      <c r="C109" s="31" t="s">
        <v>2226</v>
      </c>
      <c r="D109" s="49">
        <v>42921</v>
      </c>
      <c r="E109" s="20">
        <v>9.7558279999999993</v>
      </c>
      <c r="F109" s="20">
        <v>49.725133</v>
      </c>
      <c r="K109" s="20" t="s">
        <v>2600</v>
      </c>
      <c r="L109" s="20"/>
      <c r="M109" s="172" t="s">
        <v>3579</v>
      </c>
      <c r="N109" s="20" t="s">
        <v>2713</v>
      </c>
      <c r="O109" s="28">
        <v>0.04</v>
      </c>
      <c r="P109">
        <v>3.8671999999999984E-2</v>
      </c>
      <c r="Q109" s="65">
        <f>O109-P109</f>
        <v>1.3280000000000167E-3</v>
      </c>
      <c r="R109" s="20">
        <v>1.7110000000000001</v>
      </c>
      <c r="S109" s="20">
        <f>4.635+3.901</f>
        <v>8.5359999999999996</v>
      </c>
      <c r="T109" s="20">
        <f t="shared" si="6"/>
        <v>14.605096</v>
      </c>
      <c r="W109" s="20" t="s">
        <v>887</v>
      </c>
      <c r="X109" s="20" t="s">
        <v>889</v>
      </c>
      <c r="Y109" s="49">
        <v>42972</v>
      </c>
      <c r="Z109" s="20">
        <f t="shared" si="7"/>
        <v>51</v>
      </c>
    </row>
    <row r="110" spans="1:26">
      <c r="A110" s="20" t="s">
        <v>1218</v>
      </c>
      <c r="B110" s="20" t="s">
        <v>2115</v>
      </c>
      <c r="C110" s="31" t="s">
        <v>2226</v>
      </c>
      <c r="D110" s="49">
        <v>42921</v>
      </c>
      <c r="E110" s="20">
        <v>9.7558279999999993</v>
      </c>
      <c r="F110" s="20">
        <v>49.725133</v>
      </c>
      <c r="K110" s="20" t="s">
        <v>2600</v>
      </c>
      <c r="L110" s="20"/>
      <c r="M110" s="172" t="s">
        <v>3579</v>
      </c>
      <c r="N110" s="20" t="s">
        <v>2713</v>
      </c>
      <c r="O110" s="28">
        <v>4.1099999999999998E-2</v>
      </c>
      <c r="P110">
        <v>3.8671999999999984E-2</v>
      </c>
      <c r="Q110" s="65">
        <f>O110-P110</f>
        <v>2.4280000000000135E-3</v>
      </c>
      <c r="R110" s="20">
        <v>1.593</v>
      </c>
      <c r="S110" s="20">
        <f>5.052+3.909</f>
        <v>8.9609999999999985</v>
      </c>
      <c r="T110" s="20">
        <f t="shared" si="6"/>
        <v>14.274872999999998</v>
      </c>
      <c r="W110" s="20" t="s">
        <v>887</v>
      </c>
      <c r="X110" s="20" t="s">
        <v>889</v>
      </c>
      <c r="Y110" s="49">
        <v>42972</v>
      </c>
      <c r="Z110" s="20">
        <f t="shared" si="7"/>
        <v>51</v>
      </c>
    </row>
    <row r="111" spans="1:26">
      <c r="A111" s="20" t="s">
        <v>1217</v>
      </c>
      <c r="B111" s="20" t="s">
        <v>2115</v>
      </c>
      <c r="C111" s="31" t="s">
        <v>2226</v>
      </c>
      <c r="D111" s="49">
        <v>42921</v>
      </c>
      <c r="E111" s="20">
        <v>9.7558279999999993</v>
      </c>
      <c r="F111" s="20">
        <v>49.725133</v>
      </c>
      <c r="K111" s="20" t="s">
        <v>2600</v>
      </c>
      <c r="L111" s="20"/>
      <c r="M111" s="172" t="s">
        <v>2591</v>
      </c>
      <c r="N111" s="20" t="s">
        <v>2713</v>
      </c>
      <c r="O111" s="28">
        <v>7.4499999999999997E-2</v>
      </c>
      <c r="P111">
        <v>6.7166000000000003E-2</v>
      </c>
      <c r="Q111" s="65">
        <f>O111-P111</f>
        <v>7.3339999999999933E-3</v>
      </c>
      <c r="R111" s="20">
        <v>2.78</v>
      </c>
      <c r="S111" s="20">
        <f>6.011+7.373</f>
        <v>13.384</v>
      </c>
      <c r="T111" s="20">
        <f t="shared" si="6"/>
        <v>37.207519999999995</v>
      </c>
      <c r="W111" s="20" t="s">
        <v>887</v>
      </c>
      <c r="X111" s="20" t="s">
        <v>889</v>
      </c>
      <c r="Y111" s="49">
        <v>42972</v>
      </c>
      <c r="Z111" s="20">
        <f t="shared" si="7"/>
        <v>51</v>
      </c>
    </row>
    <row r="112" spans="1:26">
      <c r="A112" s="20" t="s">
        <v>1216</v>
      </c>
      <c r="B112" s="20" t="s">
        <v>2115</v>
      </c>
      <c r="C112" s="31" t="s">
        <v>2226</v>
      </c>
      <c r="D112" s="49">
        <v>42921</v>
      </c>
      <c r="E112" s="20">
        <v>9.7558279999999993</v>
      </c>
      <c r="F112" s="20">
        <v>49.725133</v>
      </c>
      <c r="K112" s="20" t="s">
        <v>2600</v>
      </c>
      <c r="L112" s="20"/>
      <c r="M112" s="172" t="s">
        <v>3579</v>
      </c>
      <c r="N112" s="20" t="s">
        <v>2713</v>
      </c>
      <c r="O112" s="28">
        <v>4.0800000000000003E-2</v>
      </c>
      <c r="P112">
        <v>3.8671999999999984E-2</v>
      </c>
      <c r="Q112" s="65">
        <f>O112-P112</f>
        <v>2.1280000000000188E-3</v>
      </c>
      <c r="R112" s="20">
        <v>1.675</v>
      </c>
      <c r="S112" s="20">
        <v>8.3170000000000002</v>
      </c>
      <c r="T112" s="20">
        <f t="shared" si="6"/>
        <v>13.930975</v>
      </c>
      <c r="W112" s="20" t="s">
        <v>887</v>
      </c>
      <c r="X112" s="20" t="s">
        <v>889</v>
      </c>
      <c r="Y112" s="49">
        <v>42972</v>
      </c>
      <c r="Z112" s="20">
        <f t="shared" si="7"/>
        <v>51</v>
      </c>
    </row>
    <row r="113" spans="1:26">
      <c r="A113" s="20" t="s">
        <v>1214</v>
      </c>
      <c r="B113" s="20" t="s">
        <v>2115</v>
      </c>
      <c r="C113" s="31" t="s">
        <v>2226</v>
      </c>
      <c r="D113" s="49">
        <v>42921</v>
      </c>
      <c r="E113" s="20">
        <v>9.7558279999999993</v>
      </c>
      <c r="F113" s="20">
        <v>49.725133</v>
      </c>
      <c r="K113" s="20" t="s">
        <v>2600</v>
      </c>
      <c r="L113" s="20"/>
      <c r="M113" s="172" t="s">
        <v>3579</v>
      </c>
      <c r="N113" s="20" t="s">
        <v>2713</v>
      </c>
      <c r="O113" s="28">
        <v>1.4E-3</v>
      </c>
      <c r="P113" s="20">
        <v>0</v>
      </c>
      <c r="Q113" s="65">
        <f t="shared" ref="Q113:Q144" si="10">O113</f>
        <v>1.4E-3</v>
      </c>
      <c r="R113" s="20">
        <v>1.6679999999999999</v>
      </c>
      <c r="S113" s="20">
        <f>3.604+4.785</f>
        <v>8.3889999999999993</v>
      </c>
      <c r="T113" s="20">
        <f t="shared" si="6"/>
        <v>13.992851999999999</v>
      </c>
      <c r="W113" s="20" t="s">
        <v>890</v>
      </c>
      <c r="X113" s="20" t="s">
        <v>889</v>
      </c>
      <c r="Y113" s="49">
        <v>42972</v>
      </c>
      <c r="Z113" s="20">
        <f t="shared" si="7"/>
        <v>51</v>
      </c>
    </row>
    <row r="114" spans="1:26">
      <c r="A114" s="20" t="s">
        <v>1213</v>
      </c>
      <c r="B114" s="20" t="s">
        <v>2115</v>
      </c>
      <c r="C114" s="31" t="s">
        <v>2226</v>
      </c>
      <c r="D114" s="49">
        <v>42921</v>
      </c>
      <c r="E114" s="20">
        <v>9.7558279999999993</v>
      </c>
      <c r="F114" s="20">
        <v>49.725133</v>
      </c>
      <c r="K114" s="20" t="s">
        <v>2600</v>
      </c>
      <c r="L114" s="20"/>
      <c r="M114" s="172" t="s">
        <v>3578</v>
      </c>
      <c r="N114" s="20" t="s">
        <v>2713</v>
      </c>
      <c r="O114" s="28">
        <v>6.9999999999999999E-4</v>
      </c>
      <c r="P114" s="20">
        <v>0</v>
      </c>
      <c r="Q114" s="65">
        <f t="shared" si="10"/>
        <v>6.9999999999999999E-4</v>
      </c>
      <c r="R114" s="20">
        <v>1.371</v>
      </c>
      <c r="S114" s="20">
        <f>3.438+3.445</f>
        <v>6.883</v>
      </c>
      <c r="T114" s="20">
        <f t="shared" si="6"/>
        <v>9.4365930000000002</v>
      </c>
      <c r="W114" s="20" t="s">
        <v>890</v>
      </c>
      <c r="X114" s="20" t="s">
        <v>889</v>
      </c>
      <c r="Y114" s="49">
        <v>42972</v>
      </c>
      <c r="Z114" s="20">
        <f t="shared" si="7"/>
        <v>51</v>
      </c>
    </row>
    <row r="115" spans="1:26">
      <c r="A115" s="20" t="s">
        <v>1212</v>
      </c>
      <c r="B115" s="20" t="s">
        <v>2115</v>
      </c>
      <c r="C115" s="31" t="s">
        <v>2226</v>
      </c>
      <c r="D115" s="49">
        <v>42921</v>
      </c>
      <c r="E115" s="20">
        <v>9.7558279999999993</v>
      </c>
      <c r="F115" s="20">
        <v>49.725133</v>
      </c>
      <c r="K115" s="20" t="s">
        <v>2600</v>
      </c>
      <c r="L115" s="20"/>
      <c r="M115" s="172" t="s">
        <v>3579</v>
      </c>
      <c r="N115" s="20" t="s">
        <v>2713</v>
      </c>
      <c r="O115" s="28">
        <v>8.9999999999999998E-4</v>
      </c>
      <c r="P115" s="20">
        <v>0</v>
      </c>
      <c r="Q115" s="65">
        <f t="shared" si="10"/>
        <v>8.9999999999999998E-4</v>
      </c>
      <c r="R115" s="20">
        <v>1.2969999999999999</v>
      </c>
      <c r="S115" s="20">
        <f>1.396+2.149+3.335</f>
        <v>6.88</v>
      </c>
      <c r="T115" s="20">
        <f t="shared" si="6"/>
        <v>8.9233599999999988</v>
      </c>
      <c r="W115" s="20" t="s">
        <v>890</v>
      </c>
      <c r="X115" s="20" t="s">
        <v>889</v>
      </c>
      <c r="Y115" s="49">
        <v>42972</v>
      </c>
      <c r="Z115" s="20">
        <f t="shared" si="7"/>
        <v>51</v>
      </c>
    </row>
    <row r="116" spans="1:26">
      <c r="A116" s="20" t="s">
        <v>1211</v>
      </c>
      <c r="B116" s="20" t="s">
        <v>2115</v>
      </c>
      <c r="C116" s="31" t="s">
        <v>2226</v>
      </c>
      <c r="D116" s="49">
        <v>42921</v>
      </c>
      <c r="E116" s="20">
        <v>9.7558279999999993</v>
      </c>
      <c r="F116" s="20">
        <v>49.725133</v>
      </c>
      <c r="K116" s="20" t="s">
        <v>2600</v>
      </c>
      <c r="L116" s="20"/>
      <c r="M116" s="172" t="s">
        <v>3579</v>
      </c>
      <c r="N116" s="20" t="s">
        <v>2713</v>
      </c>
      <c r="O116" s="28">
        <v>1.6999999999999999E-3</v>
      </c>
      <c r="P116" s="20">
        <v>0</v>
      </c>
      <c r="Q116" s="65">
        <f t="shared" si="10"/>
        <v>1.6999999999999999E-3</v>
      </c>
      <c r="R116" s="20">
        <v>1.67</v>
      </c>
      <c r="S116" s="20">
        <f>4.779+3.666</f>
        <v>8.4450000000000003</v>
      </c>
      <c r="T116" s="20">
        <f t="shared" si="6"/>
        <v>14.103149999999999</v>
      </c>
      <c r="W116" s="20" t="s">
        <v>890</v>
      </c>
      <c r="X116" s="20" t="s">
        <v>889</v>
      </c>
      <c r="Y116" s="49">
        <v>42972</v>
      </c>
      <c r="Z116" s="20">
        <f t="shared" si="7"/>
        <v>51</v>
      </c>
    </row>
    <row r="117" spans="1:26">
      <c r="A117" s="20" t="s">
        <v>1210</v>
      </c>
      <c r="B117" s="20" t="s">
        <v>2115</v>
      </c>
      <c r="C117" s="31" t="s">
        <v>2226</v>
      </c>
      <c r="D117" s="49">
        <v>42921</v>
      </c>
      <c r="E117" s="20">
        <v>9.7558279999999993</v>
      </c>
      <c r="F117" s="20">
        <v>49.725133</v>
      </c>
      <c r="K117" s="20" t="s">
        <v>2600</v>
      </c>
      <c r="L117" s="20"/>
      <c r="M117" s="172" t="s">
        <v>3583</v>
      </c>
      <c r="N117" s="20" t="s">
        <v>2713</v>
      </c>
      <c r="O117" s="28">
        <v>2.8E-3</v>
      </c>
      <c r="P117" s="20">
        <v>0</v>
      </c>
      <c r="Q117" s="65">
        <f t="shared" si="10"/>
        <v>2.8E-3</v>
      </c>
      <c r="R117" s="20">
        <v>2.1219999999999999</v>
      </c>
      <c r="S117" s="20">
        <f>5.939+4.971</f>
        <v>10.91</v>
      </c>
      <c r="T117" s="20">
        <f t="shared" si="6"/>
        <v>23.151019999999999</v>
      </c>
      <c r="W117" s="20" t="s">
        <v>890</v>
      </c>
      <c r="X117" s="20" t="s">
        <v>889</v>
      </c>
      <c r="Y117" s="49">
        <v>42972</v>
      </c>
      <c r="Z117" s="20">
        <f t="shared" si="7"/>
        <v>51</v>
      </c>
    </row>
    <row r="118" spans="1:26">
      <c r="A118" s="20" t="s">
        <v>1209</v>
      </c>
      <c r="B118" s="20" t="s">
        <v>2115</v>
      </c>
      <c r="C118" s="31" t="s">
        <v>2226</v>
      </c>
      <c r="D118" s="49">
        <v>42921</v>
      </c>
      <c r="E118" s="20">
        <v>9.7558279999999993</v>
      </c>
      <c r="F118" s="20">
        <v>49.725133</v>
      </c>
      <c r="K118" s="20" t="s">
        <v>2600</v>
      </c>
      <c r="L118" s="20"/>
      <c r="M118" s="172" t="s">
        <v>3579</v>
      </c>
      <c r="N118" s="20" t="s">
        <v>2713</v>
      </c>
      <c r="O118" s="28">
        <v>1.2999999999999999E-3</v>
      </c>
      <c r="P118" s="20">
        <v>0</v>
      </c>
      <c r="Q118" s="65">
        <f t="shared" si="10"/>
        <v>1.2999999999999999E-3</v>
      </c>
      <c r="R118" s="20">
        <v>1.5469999999999999</v>
      </c>
      <c r="S118" s="20">
        <f>4.02+1.115+3.199</f>
        <v>8.3339999999999996</v>
      </c>
      <c r="T118" s="20">
        <f t="shared" si="6"/>
        <v>12.892697999999999</v>
      </c>
      <c r="W118" s="20" t="s">
        <v>890</v>
      </c>
      <c r="X118" s="20" t="s">
        <v>889</v>
      </c>
      <c r="Y118" s="49">
        <v>42972</v>
      </c>
      <c r="Z118" s="20">
        <f t="shared" si="7"/>
        <v>51</v>
      </c>
    </row>
    <row r="119" spans="1:26">
      <c r="A119" s="20" t="s">
        <v>1208</v>
      </c>
      <c r="B119" s="20" t="s">
        <v>2115</v>
      </c>
      <c r="C119" s="31" t="s">
        <v>2226</v>
      </c>
      <c r="D119" s="49">
        <v>42921</v>
      </c>
      <c r="E119" s="20">
        <v>9.7558279999999993</v>
      </c>
      <c r="F119" s="20">
        <v>49.725133</v>
      </c>
      <c r="K119" s="20" t="s">
        <v>2600</v>
      </c>
      <c r="L119" s="20"/>
      <c r="M119" s="172" t="s">
        <v>3578</v>
      </c>
      <c r="N119" s="20" t="s">
        <v>2713</v>
      </c>
      <c r="O119" s="28">
        <v>8.9999999999999998E-4</v>
      </c>
      <c r="P119" s="20">
        <v>0</v>
      </c>
      <c r="Q119" s="65">
        <f t="shared" si="10"/>
        <v>8.9999999999999998E-4</v>
      </c>
      <c r="R119" s="20">
        <v>1.427</v>
      </c>
      <c r="S119" s="20">
        <f>3.675+3.932</f>
        <v>7.6069999999999993</v>
      </c>
      <c r="T119" s="20">
        <f t="shared" si="6"/>
        <v>10.855188999999999</v>
      </c>
      <c r="W119" s="20" t="s">
        <v>890</v>
      </c>
      <c r="X119" s="20" t="s">
        <v>889</v>
      </c>
      <c r="Y119" s="49">
        <v>42972</v>
      </c>
      <c r="Z119" s="20">
        <f t="shared" si="7"/>
        <v>51</v>
      </c>
    </row>
    <row r="120" spans="1:26">
      <c r="A120" s="20" t="s">
        <v>1207</v>
      </c>
      <c r="B120" s="20" t="s">
        <v>2115</v>
      </c>
      <c r="C120" s="31" t="s">
        <v>2226</v>
      </c>
      <c r="D120" s="49">
        <v>42921</v>
      </c>
      <c r="E120" s="20">
        <v>9.7558279999999993</v>
      </c>
      <c r="F120" s="20">
        <v>49.725133</v>
      </c>
      <c r="K120" s="20" t="s">
        <v>2600</v>
      </c>
      <c r="L120" s="20"/>
      <c r="M120" s="172" t="s">
        <v>3579</v>
      </c>
      <c r="N120" s="20" t="s">
        <v>2713</v>
      </c>
      <c r="O120" s="28">
        <v>1.5E-3</v>
      </c>
      <c r="P120" s="20">
        <v>0</v>
      </c>
      <c r="Q120" s="65">
        <f t="shared" si="10"/>
        <v>1.5E-3</v>
      </c>
      <c r="R120" s="20">
        <v>1.66</v>
      </c>
      <c r="S120" s="20">
        <f>3.558+0.95+3.636</f>
        <v>8.1440000000000001</v>
      </c>
      <c r="T120" s="20">
        <f t="shared" si="6"/>
        <v>13.51904</v>
      </c>
      <c r="W120" s="20" t="s">
        <v>890</v>
      </c>
      <c r="X120" s="20" t="s">
        <v>889</v>
      </c>
      <c r="Y120" s="49">
        <v>42972</v>
      </c>
      <c r="Z120" s="20">
        <f t="shared" si="7"/>
        <v>51</v>
      </c>
    </row>
    <row r="121" spans="1:26">
      <c r="A121" s="20" t="s">
        <v>1206</v>
      </c>
      <c r="B121" s="20" t="s">
        <v>2115</v>
      </c>
      <c r="C121" s="31" t="s">
        <v>2226</v>
      </c>
      <c r="D121" s="49">
        <v>42921</v>
      </c>
      <c r="E121" s="20">
        <v>9.7558279999999993</v>
      </c>
      <c r="F121" s="20">
        <v>49.725133</v>
      </c>
      <c r="K121" s="20" t="s">
        <v>2600</v>
      </c>
      <c r="L121" s="20"/>
      <c r="M121" s="172" t="s">
        <v>3578</v>
      </c>
      <c r="N121" s="20" t="s">
        <v>2713</v>
      </c>
      <c r="O121" s="28">
        <v>6.9999999999999999E-4</v>
      </c>
      <c r="P121" s="20">
        <v>0</v>
      </c>
      <c r="Q121" s="65">
        <f t="shared" si="10"/>
        <v>6.9999999999999999E-4</v>
      </c>
      <c r="R121" s="20">
        <v>1.405</v>
      </c>
      <c r="S121" s="20">
        <f>3.247+3.935</f>
        <v>7.1820000000000004</v>
      </c>
      <c r="T121" s="20">
        <f t="shared" si="6"/>
        <v>10.090710000000001</v>
      </c>
      <c r="W121" s="20" t="s">
        <v>890</v>
      </c>
      <c r="X121" s="20" t="s">
        <v>889</v>
      </c>
      <c r="Y121" s="49">
        <v>42972</v>
      </c>
      <c r="Z121" s="20">
        <f t="shared" si="7"/>
        <v>51</v>
      </c>
    </row>
    <row r="122" spans="1:26">
      <c r="A122" s="20" t="s">
        <v>1205</v>
      </c>
      <c r="B122" s="20" t="s">
        <v>2115</v>
      </c>
      <c r="C122" s="31" t="s">
        <v>2226</v>
      </c>
      <c r="D122" s="49">
        <v>42921</v>
      </c>
      <c r="E122" s="20">
        <v>9.7558279999999993</v>
      </c>
      <c r="F122" s="20">
        <v>49.725133</v>
      </c>
      <c r="K122" s="20" t="s">
        <v>2600</v>
      </c>
      <c r="L122" s="20"/>
      <c r="M122" s="172" t="s">
        <v>3573</v>
      </c>
      <c r="N122" s="20" t="s">
        <v>2713</v>
      </c>
      <c r="O122" s="28">
        <v>1.2999999999999999E-3</v>
      </c>
      <c r="P122" s="20">
        <v>0</v>
      </c>
      <c r="Q122" s="65">
        <f t="shared" si="10"/>
        <v>1.2999999999999999E-3</v>
      </c>
      <c r="R122" s="20">
        <v>1.53</v>
      </c>
      <c r="S122" s="20">
        <f>3.48+1.003+3.499</f>
        <v>7.9819999999999993</v>
      </c>
      <c r="T122" s="20">
        <f t="shared" si="6"/>
        <v>12.212459999999998</v>
      </c>
      <c r="W122" s="20" t="s">
        <v>890</v>
      </c>
      <c r="X122" s="20" t="s">
        <v>889</v>
      </c>
      <c r="Y122" s="49">
        <v>42972</v>
      </c>
      <c r="Z122" s="20">
        <f t="shared" si="7"/>
        <v>51</v>
      </c>
    </row>
    <row r="123" spans="1:26">
      <c r="A123" s="20" t="s">
        <v>1204</v>
      </c>
      <c r="B123" s="20" t="s">
        <v>2115</v>
      </c>
      <c r="C123" s="31" t="s">
        <v>2226</v>
      </c>
      <c r="D123" s="49">
        <v>42921</v>
      </c>
      <c r="E123" s="20">
        <v>9.7558279999999993</v>
      </c>
      <c r="F123" s="20">
        <v>49.725133</v>
      </c>
      <c r="K123" s="20" t="s">
        <v>2600</v>
      </c>
      <c r="L123" s="20"/>
      <c r="M123" s="172" t="s">
        <v>3579</v>
      </c>
      <c r="N123" s="20" t="s">
        <v>2713</v>
      </c>
      <c r="O123" s="28">
        <v>1.6000000000000001E-3</v>
      </c>
      <c r="P123" s="20">
        <v>0</v>
      </c>
      <c r="Q123" s="65">
        <f t="shared" si="10"/>
        <v>1.6000000000000001E-3</v>
      </c>
      <c r="R123" s="20">
        <v>1.79</v>
      </c>
      <c r="S123" s="20">
        <f>3.753+5.047</f>
        <v>8.8000000000000007</v>
      </c>
      <c r="T123" s="20">
        <f t="shared" si="6"/>
        <v>15.752000000000002</v>
      </c>
      <c r="W123" s="20" t="s">
        <v>890</v>
      </c>
      <c r="X123" s="20" t="s">
        <v>889</v>
      </c>
      <c r="Y123" s="49">
        <v>42972</v>
      </c>
      <c r="Z123" s="20">
        <f t="shared" si="7"/>
        <v>51</v>
      </c>
    </row>
    <row r="124" spans="1:26">
      <c r="A124" s="20" t="s">
        <v>1203</v>
      </c>
      <c r="B124" s="20" t="s">
        <v>2115</v>
      </c>
      <c r="C124" s="31" t="s">
        <v>2226</v>
      </c>
      <c r="D124" s="49">
        <v>42921</v>
      </c>
      <c r="E124" s="20">
        <v>9.7558279999999993</v>
      </c>
      <c r="F124" s="20">
        <v>49.725133</v>
      </c>
      <c r="K124" s="20" t="s">
        <v>892</v>
      </c>
      <c r="L124" s="20"/>
      <c r="M124" s="172" t="s">
        <v>3574</v>
      </c>
      <c r="N124" s="20" t="s">
        <v>2713</v>
      </c>
      <c r="O124" s="28">
        <v>4.0000000000000001E-3</v>
      </c>
      <c r="P124" s="20">
        <v>0</v>
      </c>
      <c r="Q124" s="65">
        <f t="shared" si="10"/>
        <v>4.0000000000000001E-3</v>
      </c>
      <c r="R124" s="20">
        <v>2.2130000000000001</v>
      </c>
      <c r="S124" s="20">
        <f>5.187+5.053</f>
        <v>10.24</v>
      </c>
      <c r="T124" s="20">
        <f t="shared" si="6"/>
        <v>22.66112</v>
      </c>
      <c r="W124" s="20" t="s">
        <v>890</v>
      </c>
      <c r="X124" s="20" t="s">
        <v>889</v>
      </c>
      <c r="Y124" s="49">
        <v>42972</v>
      </c>
      <c r="Z124" s="20">
        <f t="shared" si="7"/>
        <v>51</v>
      </c>
    </row>
    <row r="125" spans="1:26">
      <c r="A125" s="20" t="s">
        <v>1202</v>
      </c>
      <c r="B125" s="20" t="s">
        <v>2115</v>
      </c>
      <c r="C125" s="31" t="s">
        <v>2226</v>
      </c>
      <c r="D125" s="49">
        <v>42921</v>
      </c>
      <c r="E125" s="20">
        <v>9.7558279999999993</v>
      </c>
      <c r="F125" s="20">
        <v>49.725133</v>
      </c>
      <c r="K125" s="20" t="s">
        <v>2600</v>
      </c>
      <c r="L125" s="20"/>
      <c r="M125" s="172" t="s">
        <v>3579</v>
      </c>
      <c r="N125" s="20" t="s">
        <v>2713</v>
      </c>
      <c r="O125" s="28">
        <v>1.5E-3</v>
      </c>
      <c r="P125" s="20">
        <v>0</v>
      </c>
      <c r="Q125" s="65">
        <f t="shared" si="10"/>
        <v>1.5E-3</v>
      </c>
      <c r="R125" s="20">
        <v>1.6579999999999999</v>
      </c>
      <c r="S125" s="20">
        <f>4.164+2.51+2.701</f>
        <v>9.375</v>
      </c>
      <c r="T125" s="20">
        <f t="shared" si="6"/>
        <v>15.543749999999999</v>
      </c>
      <c r="W125" s="20" t="s">
        <v>890</v>
      </c>
      <c r="X125" s="20" t="s">
        <v>889</v>
      </c>
      <c r="Y125" s="49">
        <v>42972</v>
      </c>
      <c r="Z125" s="20">
        <f t="shared" si="7"/>
        <v>51</v>
      </c>
    </row>
    <row r="126" spans="1:26">
      <c r="A126" s="20" t="s">
        <v>1201</v>
      </c>
      <c r="B126" s="20" t="s">
        <v>2115</v>
      </c>
      <c r="C126" s="31" t="s">
        <v>2226</v>
      </c>
      <c r="D126" s="49">
        <v>42921</v>
      </c>
      <c r="E126" s="20">
        <v>9.7558279999999993</v>
      </c>
      <c r="F126" s="20">
        <v>49.725133</v>
      </c>
      <c r="K126" s="20" t="s">
        <v>2600</v>
      </c>
      <c r="L126" s="20"/>
      <c r="M126" s="172" t="s">
        <v>3578</v>
      </c>
      <c r="N126" s="20" t="s">
        <v>2713</v>
      </c>
      <c r="O126" s="28">
        <v>1.6000000000000001E-3</v>
      </c>
      <c r="P126" s="20">
        <v>0</v>
      </c>
      <c r="Q126" s="65">
        <f t="shared" si="10"/>
        <v>1.6000000000000001E-3</v>
      </c>
      <c r="R126" s="20">
        <v>1.637</v>
      </c>
      <c r="S126" s="20">
        <f>3.162+1.485+1.622+1.415</f>
        <v>7.6840000000000002</v>
      </c>
      <c r="T126" s="20">
        <f t="shared" si="6"/>
        <v>12.578708000000001</v>
      </c>
      <c r="W126" s="20" t="s">
        <v>890</v>
      </c>
      <c r="X126" s="20" t="s">
        <v>889</v>
      </c>
      <c r="Y126" s="49">
        <v>42972</v>
      </c>
      <c r="Z126" s="20">
        <f t="shared" si="7"/>
        <v>51</v>
      </c>
    </row>
    <row r="127" spans="1:26">
      <c r="A127" s="20" t="s">
        <v>1200</v>
      </c>
      <c r="B127" s="20" t="s">
        <v>2115</v>
      </c>
      <c r="C127" s="31" t="s">
        <v>2226</v>
      </c>
      <c r="D127" s="49">
        <v>42921</v>
      </c>
      <c r="E127" s="20">
        <v>9.7558279999999993</v>
      </c>
      <c r="F127" s="20">
        <v>49.725133</v>
      </c>
      <c r="K127" s="20" t="s">
        <v>892</v>
      </c>
      <c r="L127" s="20"/>
      <c r="M127" s="172" t="s">
        <v>3574</v>
      </c>
      <c r="N127" s="20" t="s">
        <v>2712</v>
      </c>
      <c r="O127" s="28">
        <v>2.3E-3</v>
      </c>
      <c r="P127" s="20">
        <v>0</v>
      </c>
      <c r="Q127" s="65">
        <f t="shared" si="10"/>
        <v>2.3E-3</v>
      </c>
      <c r="R127" s="20">
        <v>1.9</v>
      </c>
      <c r="S127" s="20">
        <f>4.745+5.003</f>
        <v>9.7480000000000011</v>
      </c>
      <c r="T127" s="20">
        <f t="shared" si="6"/>
        <v>18.5212</v>
      </c>
      <c r="W127" s="20" t="s">
        <v>890</v>
      </c>
      <c r="X127" s="20" t="s">
        <v>889</v>
      </c>
      <c r="Y127" s="49">
        <v>42972</v>
      </c>
      <c r="Z127" s="20">
        <f t="shared" si="7"/>
        <v>51</v>
      </c>
    </row>
    <row r="128" spans="1:26">
      <c r="A128" s="20" t="s">
        <v>1199</v>
      </c>
      <c r="B128" s="20" t="s">
        <v>2115</v>
      </c>
      <c r="C128" s="31" t="s">
        <v>2226</v>
      </c>
      <c r="D128" s="49">
        <v>42921</v>
      </c>
      <c r="E128" s="20">
        <v>9.7558279999999993</v>
      </c>
      <c r="F128" s="20">
        <v>49.725133</v>
      </c>
      <c r="K128" s="20" t="s">
        <v>2600</v>
      </c>
      <c r="L128" s="20"/>
      <c r="M128" s="172" t="s">
        <v>3579</v>
      </c>
      <c r="N128" s="20" t="s">
        <v>2713</v>
      </c>
      <c r="O128" s="28">
        <v>1.6000000000000001E-3</v>
      </c>
      <c r="P128" s="20">
        <v>0</v>
      </c>
      <c r="Q128" s="65">
        <f t="shared" si="10"/>
        <v>1.6000000000000001E-3</v>
      </c>
      <c r="R128" s="20">
        <v>1.6459999999999999</v>
      </c>
      <c r="S128" s="20">
        <f>4.018+4.328</f>
        <v>8.3460000000000001</v>
      </c>
      <c r="T128" s="20">
        <f t="shared" si="6"/>
        <v>13.737515999999999</v>
      </c>
      <c r="W128" s="20" t="s">
        <v>890</v>
      </c>
      <c r="X128" s="20" t="s">
        <v>889</v>
      </c>
      <c r="Y128" s="49">
        <v>42972</v>
      </c>
      <c r="Z128" s="20">
        <f t="shared" si="7"/>
        <v>51</v>
      </c>
    </row>
    <row r="129" spans="1:26">
      <c r="A129" s="20" t="s">
        <v>1198</v>
      </c>
      <c r="B129" s="20" t="s">
        <v>2115</v>
      </c>
      <c r="C129" s="31" t="s">
        <v>2226</v>
      </c>
      <c r="D129" s="49">
        <v>42921</v>
      </c>
      <c r="E129" s="20">
        <v>9.7558279999999993</v>
      </c>
      <c r="F129" s="20">
        <v>49.725133</v>
      </c>
      <c r="K129" s="20" t="s">
        <v>2600</v>
      </c>
      <c r="L129" s="20"/>
      <c r="M129" s="172" t="s">
        <v>3579</v>
      </c>
      <c r="N129" s="20" t="s">
        <v>2713</v>
      </c>
      <c r="O129" s="28">
        <v>1.8E-3</v>
      </c>
      <c r="P129" s="20">
        <v>0</v>
      </c>
      <c r="Q129" s="65">
        <f t="shared" si="10"/>
        <v>1.8E-3</v>
      </c>
      <c r="R129" s="20">
        <v>1.7410000000000001</v>
      </c>
      <c r="S129" s="20">
        <f>5.276+4.198</f>
        <v>9.4740000000000002</v>
      </c>
      <c r="T129" s="20">
        <f t="shared" si="6"/>
        <v>16.494234000000002</v>
      </c>
      <c r="W129" s="20" t="s">
        <v>890</v>
      </c>
      <c r="X129" s="20" t="s">
        <v>889</v>
      </c>
      <c r="Y129" s="49">
        <v>42972</v>
      </c>
      <c r="Z129" s="20">
        <f t="shared" si="7"/>
        <v>51</v>
      </c>
    </row>
    <row r="130" spans="1:26">
      <c r="A130" s="20" t="s">
        <v>1197</v>
      </c>
      <c r="B130" s="20" t="s">
        <v>2115</v>
      </c>
      <c r="C130" s="31" t="s">
        <v>2226</v>
      </c>
      <c r="D130" s="49">
        <v>42921</v>
      </c>
      <c r="E130" s="20">
        <v>9.7558279999999993</v>
      </c>
      <c r="F130" s="20">
        <v>49.725133</v>
      </c>
      <c r="K130" s="20" t="s">
        <v>2600</v>
      </c>
      <c r="L130" s="20"/>
      <c r="M130" s="172" t="s">
        <v>3579</v>
      </c>
      <c r="N130" s="20" t="s">
        <v>2713</v>
      </c>
      <c r="O130" s="28">
        <v>1.8E-3</v>
      </c>
      <c r="P130" s="20">
        <v>0</v>
      </c>
      <c r="Q130" s="65">
        <f t="shared" si="10"/>
        <v>1.8E-3</v>
      </c>
      <c r="R130" s="20">
        <v>1.649</v>
      </c>
      <c r="S130" s="20">
        <f>5.033+4.586</f>
        <v>9.6189999999999998</v>
      </c>
      <c r="T130" s="20">
        <f t="shared" ref="T130:T193" si="11">R130*S130</f>
        <v>15.861731000000001</v>
      </c>
      <c r="W130" s="20" t="s">
        <v>890</v>
      </c>
      <c r="X130" s="20" t="s">
        <v>889</v>
      </c>
      <c r="Y130" s="49">
        <v>42972</v>
      </c>
      <c r="Z130" s="20">
        <f t="shared" ref="Z130:Z193" si="12">Y130-D130</f>
        <v>51</v>
      </c>
    </row>
    <row r="131" spans="1:26">
      <c r="A131" s="20" t="s">
        <v>1196</v>
      </c>
      <c r="B131" s="20" t="s">
        <v>2115</v>
      </c>
      <c r="C131" s="31" t="s">
        <v>2226</v>
      </c>
      <c r="D131" s="49">
        <v>42921</v>
      </c>
      <c r="E131" s="20">
        <v>9.7558279999999993</v>
      </c>
      <c r="F131" s="20">
        <v>49.725133</v>
      </c>
      <c r="K131" s="20" t="s">
        <v>2600</v>
      </c>
      <c r="L131" s="20"/>
      <c r="M131" s="172" t="s">
        <v>3578</v>
      </c>
      <c r="N131" s="20" t="s">
        <v>2713</v>
      </c>
      <c r="O131" s="28">
        <v>8.0000000000000004E-4</v>
      </c>
      <c r="P131" s="20">
        <v>0</v>
      </c>
      <c r="Q131" s="65">
        <f t="shared" si="10"/>
        <v>8.0000000000000004E-4</v>
      </c>
      <c r="R131" s="20">
        <v>1.3160000000000001</v>
      </c>
      <c r="S131" s="20">
        <f>1.658+1.75+3.281</f>
        <v>6.6890000000000001</v>
      </c>
      <c r="T131" s="20">
        <f t="shared" si="11"/>
        <v>8.8027240000000013</v>
      </c>
      <c r="W131" s="20" t="s">
        <v>890</v>
      </c>
      <c r="X131" s="20" t="s">
        <v>889</v>
      </c>
      <c r="Y131" s="49">
        <v>42972</v>
      </c>
      <c r="Z131" s="20">
        <f t="shared" si="12"/>
        <v>51</v>
      </c>
    </row>
    <row r="132" spans="1:26">
      <c r="A132" s="20" t="s">
        <v>1195</v>
      </c>
      <c r="B132" s="20" t="s">
        <v>2115</v>
      </c>
      <c r="C132" s="31" t="s">
        <v>2226</v>
      </c>
      <c r="D132" s="49">
        <v>42921</v>
      </c>
      <c r="E132" s="20">
        <v>9.7558279999999993</v>
      </c>
      <c r="F132" s="20">
        <v>49.725133</v>
      </c>
      <c r="K132" s="20" t="s">
        <v>892</v>
      </c>
      <c r="L132" s="20"/>
      <c r="M132" s="172" t="s">
        <v>3574</v>
      </c>
      <c r="N132" s="20" t="s">
        <v>2713</v>
      </c>
      <c r="O132" s="28">
        <v>4.3E-3</v>
      </c>
      <c r="P132" s="20">
        <v>0</v>
      </c>
      <c r="Q132" s="65">
        <f t="shared" si="10"/>
        <v>4.3E-3</v>
      </c>
      <c r="R132" s="20">
        <v>2.2320000000000002</v>
      </c>
      <c r="S132" s="20">
        <f>5.541+4.535</f>
        <v>10.076000000000001</v>
      </c>
      <c r="T132" s="20">
        <f t="shared" si="11"/>
        <v>22.489632000000004</v>
      </c>
      <c r="W132" s="20" t="s">
        <v>890</v>
      </c>
      <c r="X132" s="20" t="s">
        <v>889</v>
      </c>
      <c r="Y132" s="49">
        <v>42972</v>
      </c>
      <c r="Z132" s="20">
        <f t="shared" si="12"/>
        <v>51</v>
      </c>
    </row>
    <row r="133" spans="1:26">
      <c r="A133" s="20" t="s">
        <v>1194</v>
      </c>
      <c r="B133" s="20" t="s">
        <v>2115</v>
      </c>
      <c r="C133" s="31" t="s">
        <v>2226</v>
      </c>
      <c r="D133" s="49">
        <v>42921</v>
      </c>
      <c r="E133" s="20">
        <v>9.7558279999999993</v>
      </c>
      <c r="F133" s="20">
        <v>49.725133</v>
      </c>
      <c r="K133" s="20" t="s">
        <v>2600</v>
      </c>
      <c r="L133" s="20"/>
      <c r="M133" s="172" t="s">
        <v>3579</v>
      </c>
      <c r="N133" s="20" t="s">
        <v>2713</v>
      </c>
      <c r="O133" s="28">
        <v>1.6000000000000001E-3</v>
      </c>
      <c r="P133" s="20">
        <v>0</v>
      </c>
      <c r="Q133" s="65">
        <f t="shared" si="10"/>
        <v>1.6000000000000001E-3</v>
      </c>
      <c r="R133" s="20">
        <v>1.5</v>
      </c>
      <c r="S133" s="20">
        <f>4.525+3.608</f>
        <v>8.1330000000000009</v>
      </c>
      <c r="T133" s="20">
        <f t="shared" si="11"/>
        <v>12.1995</v>
      </c>
      <c r="W133" s="20" t="s">
        <v>890</v>
      </c>
      <c r="X133" s="20" t="s">
        <v>889</v>
      </c>
      <c r="Y133" s="49">
        <v>42972</v>
      </c>
      <c r="Z133" s="20">
        <f t="shared" si="12"/>
        <v>51</v>
      </c>
    </row>
    <row r="134" spans="1:26">
      <c r="A134" s="20" t="s">
        <v>1193</v>
      </c>
      <c r="B134" s="20" t="s">
        <v>2115</v>
      </c>
      <c r="C134" s="31" t="s">
        <v>2226</v>
      </c>
      <c r="D134" s="49">
        <v>42921</v>
      </c>
      <c r="E134" s="20">
        <v>9.7558279999999993</v>
      </c>
      <c r="F134" s="20">
        <v>49.725133</v>
      </c>
      <c r="K134" s="20" t="s">
        <v>2600</v>
      </c>
      <c r="L134" s="20"/>
      <c r="M134" s="172" t="s">
        <v>3579</v>
      </c>
      <c r="N134" s="20" t="s">
        <v>2713</v>
      </c>
      <c r="O134" s="28">
        <v>2.3E-3</v>
      </c>
      <c r="P134" s="20">
        <v>0</v>
      </c>
      <c r="Q134" s="65">
        <f t="shared" si="10"/>
        <v>2.3E-3</v>
      </c>
      <c r="R134" s="20">
        <v>1.853</v>
      </c>
      <c r="S134" s="20">
        <f>2.718+2.374+1.353+4.15</f>
        <v>10.595000000000001</v>
      </c>
      <c r="T134" s="20">
        <f t="shared" si="11"/>
        <v>19.632535000000001</v>
      </c>
      <c r="W134" s="20" t="s">
        <v>890</v>
      </c>
      <c r="X134" s="20" t="s">
        <v>889</v>
      </c>
      <c r="Y134" s="49">
        <v>42972</v>
      </c>
      <c r="Z134" s="20">
        <f t="shared" si="12"/>
        <v>51</v>
      </c>
    </row>
    <row r="135" spans="1:26">
      <c r="A135" s="20" t="s">
        <v>1192</v>
      </c>
      <c r="B135" s="20" t="s">
        <v>2115</v>
      </c>
      <c r="C135" s="31" t="s">
        <v>2226</v>
      </c>
      <c r="D135" s="49">
        <v>42921</v>
      </c>
      <c r="E135" s="20">
        <v>9.7558279999999993</v>
      </c>
      <c r="F135" s="20">
        <v>49.725133</v>
      </c>
      <c r="K135" s="20" t="s">
        <v>2600</v>
      </c>
      <c r="L135" s="20"/>
      <c r="M135" s="172" t="s">
        <v>3583</v>
      </c>
      <c r="N135" s="20" t="s">
        <v>2713</v>
      </c>
      <c r="O135" s="28">
        <v>3.3999999999999998E-3</v>
      </c>
      <c r="P135" s="20">
        <v>0</v>
      </c>
      <c r="Q135" s="65">
        <f t="shared" si="10"/>
        <v>3.3999999999999998E-3</v>
      </c>
      <c r="R135" s="20">
        <v>2.258</v>
      </c>
      <c r="S135" s="20">
        <f>4.343+6.089</f>
        <v>10.432</v>
      </c>
      <c r="T135" s="20">
        <f t="shared" si="11"/>
        <v>23.555456</v>
      </c>
      <c r="W135" s="20" t="s">
        <v>890</v>
      </c>
      <c r="X135" s="20" t="s">
        <v>889</v>
      </c>
      <c r="Y135" s="49">
        <v>42972</v>
      </c>
      <c r="Z135" s="20">
        <f t="shared" si="12"/>
        <v>51</v>
      </c>
    </row>
    <row r="136" spans="1:26">
      <c r="A136" s="20" t="s">
        <v>1191</v>
      </c>
      <c r="B136" s="20" t="s">
        <v>2115</v>
      </c>
      <c r="C136" s="31" t="s">
        <v>2226</v>
      </c>
      <c r="D136" s="49">
        <v>42921</v>
      </c>
      <c r="E136" s="20">
        <v>9.7558279999999993</v>
      </c>
      <c r="F136" s="20">
        <v>49.725133</v>
      </c>
      <c r="K136" s="20" t="s">
        <v>2600</v>
      </c>
      <c r="L136" s="20"/>
      <c r="M136" s="172" t="s">
        <v>3579</v>
      </c>
      <c r="N136" s="20" t="s">
        <v>2713</v>
      </c>
      <c r="O136" s="28">
        <v>1.9E-3</v>
      </c>
      <c r="P136" s="20">
        <v>0</v>
      </c>
      <c r="Q136" s="65">
        <f t="shared" si="10"/>
        <v>1.9E-3</v>
      </c>
      <c r="R136" s="20">
        <v>1.8009999999999999</v>
      </c>
      <c r="S136" s="20">
        <f>4.54+4.865</f>
        <v>9.4050000000000011</v>
      </c>
      <c r="T136" s="20">
        <f t="shared" si="11"/>
        <v>16.938405000000003</v>
      </c>
      <c r="W136" s="20" t="s">
        <v>890</v>
      </c>
      <c r="X136" s="20" t="s">
        <v>889</v>
      </c>
      <c r="Y136" s="49">
        <v>42972</v>
      </c>
      <c r="Z136" s="20">
        <f t="shared" si="12"/>
        <v>51</v>
      </c>
    </row>
    <row r="137" spans="1:26">
      <c r="A137" s="20" t="s">
        <v>1190</v>
      </c>
      <c r="B137" s="20" t="s">
        <v>2115</v>
      </c>
      <c r="C137" s="31" t="s">
        <v>2226</v>
      </c>
      <c r="D137" s="49">
        <v>42921</v>
      </c>
      <c r="E137" s="20">
        <v>9.7558279999999993</v>
      </c>
      <c r="F137" s="20">
        <v>49.725133</v>
      </c>
      <c r="K137" s="20" t="s">
        <v>2600</v>
      </c>
      <c r="L137" s="20"/>
      <c r="M137" s="172" t="s">
        <v>3573</v>
      </c>
      <c r="N137" s="20" t="s">
        <v>2713</v>
      </c>
      <c r="O137" s="28">
        <v>1.5E-3</v>
      </c>
      <c r="P137" s="20">
        <v>0</v>
      </c>
      <c r="Q137" s="65">
        <f t="shared" si="10"/>
        <v>1.5E-3</v>
      </c>
      <c r="R137" s="20">
        <v>1.621</v>
      </c>
      <c r="S137" s="20">
        <f>3.281+4.312</f>
        <v>7.593</v>
      </c>
      <c r="T137" s="20">
        <f t="shared" si="11"/>
        <v>12.308253000000001</v>
      </c>
      <c r="W137" s="20" t="s">
        <v>890</v>
      </c>
      <c r="X137" s="20" t="s">
        <v>889</v>
      </c>
      <c r="Y137" s="49">
        <v>42972</v>
      </c>
      <c r="Z137" s="20">
        <f t="shared" si="12"/>
        <v>51</v>
      </c>
    </row>
    <row r="138" spans="1:26">
      <c r="A138" s="20" t="s">
        <v>1189</v>
      </c>
      <c r="B138" s="20" t="s">
        <v>2115</v>
      </c>
      <c r="C138" s="31" t="s">
        <v>2226</v>
      </c>
      <c r="D138" s="49">
        <v>42921</v>
      </c>
      <c r="E138" s="20">
        <v>9.7558279999999993</v>
      </c>
      <c r="F138" s="20">
        <v>49.725133</v>
      </c>
      <c r="K138" s="20" t="s">
        <v>2600</v>
      </c>
      <c r="L138" s="20"/>
      <c r="M138" s="172" t="s">
        <v>3579</v>
      </c>
      <c r="N138" s="20" t="s">
        <v>2713</v>
      </c>
      <c r="O138" s="28">
        <v>1.4E-3</v>
      </c>
      <c r="P138" s="20">
        <v>0</v>
      </c>
      <c r="Q138" s="65">
        <f t="shared" si="10"/>
        <v>1.4E-3</v>
      </c>
      <c r="R138" s="20">
        <v>1.5369999999999999</v>
      </c>
      <c r="S138" s="20">
        <f>3.681+0.989+3.243</f>
        <v>7.9130000000000003</v>
      </c>
      <c r="T138" s="20">
        <f t="shared" si="11"/>
        <v>12.162281</v>
      </c>
      <c r="W138" s="20" t="s">
        <v>890</v>
      </c>
      <c r="X138" s="20" t="s">
        <v>889</v>
      </c>
      <c r="Y138" s="49">
        <v>42972</v>
      </c>
      <c r="Z138" s="20">
        <f t="shared" si="12"/>
        <v>51</v>
      </c>
    </row>
    <row r="139" spans="1:26">
      <c r="A139" s="20" t="s">
        <v>1188</v>
      </c>
      <c r="B139" s="20" t="s">
        <v>2115</v>
      </c>
      <c r="C139" s="31" t="s">
        <v>2226</v>
      </c>
      <c r="D139" s="49">
        <v>42921</v>
      </c>
      <c r="E139" s="20">
        <v>9.7558279999999993</v>
      </c>
      <c r="F139" s="20">
        <v>49.725133</v>
      </c>
      <c r="K139" s="20" t="s">
        <v>2600</v>
      </c>
      <c r="L139" s="20"/>
      <c r="M139" s="172" t="s">
        <v>3579</v>
      </c>
      <c r="N139" s="20" t="s">
        <v>2713</v>
      </c>
      <c r="O139" s="28">
        <v>2.0999999999999999E-3</v>
      </c>
      <c r="P139" s="20">
        <v>0</v>
      </c>
      <c r="Q139" s="65">
        <f t="shared" si="10"/>
        <v>2.0999999999999999E-3</v>
      </c>
      <c r="R139" s="50">
        <v>1.6870000000000001</v>
      </c>
      <c r="S139" s="50">
        <f>3.933+1.202+2.989</f>
        <v>8.1239999999999988</v>
      </c>
      <c r="T139" s="20">
        <f t="shared" si="11"/>
        <v>13.705187999999998</v>
      </c>
      <c r="W139" s="20" t="s">
        <v>890</v>
      </c>
      <c r="X139" s="20" t="s">
        <v>889</v>
      </c>
      <c r="Y139" s="49">
        <v>42972</v>
      </c>
      <c r="Z139" s="20">
        <f t="shared" si="12"/>
        <v>51</v>
      </c>
    </row>
    <row r="140" spans="1:26">
      <c r="A140" s="20" t="s">
        <v>1187</v>
      </c>
      <c r="B140" s="20" t="s">
        <v>2115</v>
      </c>
      <c r="C140" s="31" t="s">
        <v>2226</v>
      </c>
      <c r="D140" s="49">
        <v>42921</v>
      </c>
      <c r="E140" s="20">
        <v>9.7558279999999993</v>
      </c>
      <c r="F140" s="20">
        <v>49.725133</v>
      </c>
      <c r="K140" s="20" t="s">
        <v>2600</v>
      </c>
      <c r="L140" s="20"/>
      <c r="M140" s="172" t="s">
        <v>3579</v>
      </c>
      <c r="N140" s="20" t="s">
        <v>2713</v>
      </c>
      <c r="O140" s="28">
        <v>1.6999999999999999E-3</v>
      </c>
      <c r="P140" s="20">
        <v>0</v>
      </c>
      <c r="Q140" s="65">
        <f t="shared" si="10"/>
        <v>1.6999999999999999E-3</v>
      </c>
      <c r="R140" s="50">
        <v>1.7330000000000001</v>
      </c>
      <c r="S140" s="50">
        <f>3.754+4.61</f>
        <v>8.3640000000000008</v>
      </c>
      <c r="T140" s="20">
        <f t="shared" si="11"/>
        <v>14.494812000000001</v>
      </c>
      <c r="W140" s="20" t="s">
        <v>890</v>
      </c>
      <c r="X140" s="20" t="s">
        <v>889</v>
      </c>
      <c r="Y140" s="49">
        <v>42972</v>
      </c>
      <c r="Z140" s="20">
        <f t="shared" si="12"/>
        <v>51</v>
      </c>
    </row>
    <row r="141" spans="1:26">
      <c r="A141" s="20" t="s">
        <v>1186</v>
      </c>
      <c r="B141" s="20" t="s">
        <v>2115</v>
      </c>
      <c r="C141" s="31" t="s">
        <v>2226</v>
      </c>
      <c r="D141" s="49">
        <v>42921</v>
      </c>
      <c r="E141" s="20">
        <v>9.7558279999999993</v>
      </c>
      <c r="F141" s="20">
        <v>49.725133</v>
      </c>
      <c r="K141" s="20" t="s">
        <v>2602</v>
      </c>
      <c r="L141" s="20"/>
      <c r="M141" s="172" t="s">
        <v>3580</v>
      </c>
      <c r="N141" s="20" t="s">
        <v>2713</v>
      </c>
      <c r="O141" s="28">
        <v>2.3E-3</v>
      </c>
      <c r="P141" s="20">
        <v>0</v>
      </c>
      <c r="Q141" s="65">
        <f t="shared" si="10"/>
        <v>2.3E-3</v>
      </c>
      <c r="R141" s="50">
        <v>2.0699999999999998</v>
      </c>
      <c r="S141" s="50">
        <f>4.826+4.816</f>
        <v>9.6419999999999995</v>
      </c>
      <c r="T141" s="20">
        <f t="shared" si="11"/>
        <v>19.958939999999998</v>
      </c>
      <c r="W141" s="20" t="s">
        <v>890</v>
      </c>
      <c r="X141" s="20" t="s">
        <v>889</v>
      </c>
      <c r="Y141" s="49">
        <v>42972</v>
      </c>
      <c r="Z141" s="20">
        <f t="shared" si="12"/>
        <v>51</v>
      </c>
    </row>
    <row r="142" spans="1:26">
      <c r="A142" s="20" t="s">
        <v>1185</v>
      </c>
      <c r="B142" s="20" t="s">
        <v>2115</v>
      </c>
      <c r="C142" s="31" t="s">
        <v>2226</v>
      </c>
      <c r="D142" s="49">
        <v>42921</v>
      </c>
      <c r="E142" s="20">
        <v>9.7558279999999993</v>
      </c>
      <c r="F142" s="20">
        <v>49.725133</v>
      </c>
      <c r="K142" s="20" t="s">
        <v>2600</v>
      </c>
      <c r="L142" s="20"/>
      <c r="M142" s="172" t="s">
        <v>3578</v>
      </c>
      <c r="N142" s="20" t="s">
        <v>2713</v>
      </c>
      <c r="O142" s="28">
        <v>1.1000000000000001E-3</v>
      </c>
      <c r="P142" s="20">
        <v>0</v>
      </c>
      <c r="Q142" s="65">
        <f t="shared" si="10"/>
        <v>1.1000000000000001E-3</v>
      </c>
      <c r="R142" s="50">
        <v>1.431</v>
      </c>
      <c r="S142" s="50">
        <f>3.333+2.865</f>
        <v>6.1980000000000004</v>
      </c>
      <c r="T142" s="20">
        <f t="shared" si="11"/>
        <v>8.8693380000000008</v>
      </c>
      <c r="W142" s="20" t="s">
        <v>890</v>
      </c>
      <c r="X142" s="20" t="s">
        <v>889</v>
      </c>
      <c r="Y142" s="49">
        <v>42972</v>
      </c>
      <c r="Z142" s="20">
        <f t="shared" si="12"/>
        <v>51</v>
      </c>
    </row>
    <row r="143" spans="1:26">
      <c r="A143" s="20" t="s">
        <v>1184</v>
      </c>
      <c r="B143" s="20" t="s">
        <v>2115</v>
      </c>
      <c r="C143" s="31" t="s">
        <v>2226</v>
      </c>
      <c r="D143" s="49">
        <v>42921</v>
      </c>
      <c r="E143" s="20">
        <v>9.7558279999999993</v>
      </c>
      <c r="F143" s="20">
        <v>49.725133</v>
      </c>
      <c r="K143" s="20" t="s">
        <v>2600</v>
      </c>
      <c r="L143" s="20"/>
      <c r="M143" s="172" t="s">
        <v>3579</v>
      </c>
      <c r="N143" s="20" t="s">
        <v>2713</v>
      </c>
      <c r="O143" s="28">
        <v>2.3999999999999998E-3</v>
      </c>
      <c r="P143" s="20">
        <v>0</v>
      </c>
      <c r="Q143" s="65">
        <f t="shared" si="10"/>
        <v>2.3999999999999998E-3</v>
      </c>
      <c r="R143" s="50">
        <v>1.609</v>
      </c>
      <c r="S143" s="50">
        <f>3.858+1.27+3.816</f>
        <v>8.9439999999999991</v>
      </c>
      <c r="T143" s="20">
        <f t="shared" si="11"/>
        <v>14.390895999999998</v>
      </c>
      <c r="W143" s="20" t="s">
        <v>890</v>
      </c>
      <c r="X143" s="20" t="s">
        <v>889</v>
      </c>
      <c r="Y143" s="49">
        <v>42972</v>
      </c>
      <c r="Z143" s="20">
        <f t="shared" si="12"/>
        <v>51</v>
      </c>
    </row>
    <row r="144" spans="1:26">
      <c r="A144" s="20" t="s">
        <v>1183</v>
      </c>
      <c r="B144" s="20" t="s">
        <v>2115</v>
      </c>
      <c r="C144" s="31" t="s">
        <v>2226</v>
      </c>
      <c r="D144" s="49">
        <v>42921</v>
      </c>
      <c r="E144" s="20">
        <v>9.7558279999999993</v>
      </c>
      <c r="F144" s="20">
        <v>49.725133</v>
      </c>
      <c r="K144" s="20" t="s">
        <v>2600</v>
      </c>
      <c r="L144" s="20"/>
      <c r="M144" s="172" t="s">
        <v>3578</v>
      </c>
      <c r="N144" s="20" t="s">
        <v>2713</v>
      </c>
      <c r="O144" s="28">
        <v>8.0000000000000004E-4</v>
      </c>
      <c r="P144" s="20">
        <v>0</v>
      </c>
      <c r="Q144" s="65">
        <f t="shared" si="10"/>
        <v>8.0000000000000004E-4</v>
      </c>
      <c r="R144" s="50">
        <v>1.3420000000000001</v>
      </c>
      <c r="S144" s="50">
        <f>2.529+1.202+3.023</f>
        <v>6.7539999999999996</v>
      </c>
      <c r="T144" s="20">
        <f t="shared" si="11"/>
        <v>9.0638679999999994</v>
      </c>
      <c r="W144" s="20" t="s">
        <v>890</v>
      </c>
      <c r="X144" s="20" t="s">
        <v>889</v>
      </c>
      <c r="Y144" s="49">
        <v>42972</v>
      </c>
      <c r="Z144" s="20">
        <f t="shared" si="12"/>
        <v>51</v>
      </c>
    </row>
    <row r="145" spans="1:26">
      <c r="A145" s="20" t="s">
        <v>1182</v>
      </c>
      <c r="B145" s="20" t="s">
        <v>2115</v>
      </c>
      <c r="C145" s="31" t="s">
        <v>2226</v>
      </c>
      <c r="D145" s="49">
        <v>42921</v>
      </c>
      <c r="E145" s="20">
        <v>9.7558279999999993</v>
      </c>
      <c r="F145" s="20">
        <v>49.725133</v>
      </c>
      <c r="K145" s="20" t="s">
        <v>892</v>
      </c>
      <c r="L145" s="20"/>
      <c r="M145" s="172" t="s">
        <v>3574</v>
      </c>
      <c r="N145" s="20" t="s">
        <v>2713</v>
      </c>
      <c r="O145" s="28">
        <v>2.8999999999999998E-3</v>
      </c>
      <c r="P145" s="20">
        <v>0</v>
      </c>
      <c r="Q145" s="65">
        <f t="shared" ref="Q145:Q176" si="13">O145</f>
        <v>2.8999999999999998E-3</v>
      </c>
      <c r="R145" s="50">
        <v>2.0950000000000002</v>
      </c>
      <c r="S145" s="50">
        <f>4.973+1.6+3.757</f>
        <v>10.33</v>
      </c>
      <c r="T145" s="20">
        <f t="shared" si="11"/>
        <v>21.641350000000003</v>
      </c>
      <c r="W145" s="20" t="s">
        <v>890</v>
      </c>
      <c r="X145" s="20" t="s">
        <v>889</v>
      </c>
      <c r="Y145" s="49">
        <v>42972</v>
      </c>
      <c r="Z145" s="20">
        <f t="shared" si="12"/>
        <v>51</v>
      </c>
    </row>
    <row r="146" spans="1:26">
      <c r="A146" s="20" t="s">
        <v>1181</v>
      </c>
      <c r="B146" s="20" t="s">
        <v>2115</v>
      </c>
      <c r="C146" s="31" t="s">
        <v>2226</v>
      </c>
      <c r="D146" s="49">
        <v>42921</v>
      </c>
      <c r="E146" s="20">
        <v>9.7558279999999993</v>
      </c>
      <c r="F146" s="20">
        <v>49.725133</v>
      </c>
      <c r="K146" s="20" t="s">
        <v>2600</v>
      </c>
      <c r="L146" s="20"/>
      <c r="M146" s="172" t="s">
        <v>3579</v>
      </c>
      <c r="N146" s="20" t="s">
        <v>2713</v>
      </c>
      <c r="O146" s="28">
        <v>1.9E-3</v>
      </c>
      <c r="P146" s="20">
        <v>0</v>
      </c>
      <c r="Q146" s="65">
        <f t="shared" si="13"/>
        <v>1.9E-3</v>
      </c>
      <c r="R146" s="50">
        <v>1.6619999999999999</v>
      </c>
      <c r="S146" s="50">
        <f>4.303+1.22+4.038</f>
        <v>9.5609999999999999</v>
      </c>
      <c r="T146" s="20">
        <f t="shared" si="11"/>
        <v>15.890381999999999</v>
      </c>
      <c r="W146" s="20" t="s">
        <v>890</v>
      </c>
      <c r="X146" s="20" t="s">
        <v>889</v>
      </c>
      <c r="Y146" s="49">
        <v>42972</v>
      </c>
      <c r="Z146" s="20">
        <f t="shared" si="12"/>
        <v>51</v>
      </c>
    </row>
    <row r="147" spans="1:26">
      <c r="A147" s="20" t="s">
        <v>1179</v>
      </c>
      <c r="B147" s="20" t="s">
        <v>2115</v>
      </c>
      <c r="C147" s="31" t="s">
        <v>2226</v>
      </c>
      <c r="D147" s="49">
        <v>42921</v>
      </c>
      <c r="E147" s="20">
        <v>9.7558279999999993</v>
      </c>
      <c r="F147" s="20">
        <v>49.725133</v>
      </c>
      <c r="K147" s="20" t="s">
        <v>2600</v>
      </c>
      <c r="L147" s="20"/>
      <c r="M147" s="172" t="s">
        <v>3573</v>
      </c>
      <c r="N147" s="20" t="s">
        <v>2713</v>
      </c>
      <c r="O147" s="28">
        <v>1.8E-3</v>
      </c>
      <c r="P147" s="20">
        <v>0</v>
      </c>
      <c r="Q147" s="65">
        <f t="shared" si="13"/>
        <v>1.8E-3</v>
      </c>
      <c r="R147" s="50">
        <v>1.744</v>
      </c>
      <c r="S147" s="50">
        <f>4.258+5.088</f>
        <v>9.3460000000000001</v>
      </c>
      <c r="T147" s="20">
        <f t="shared" si="11"/>
        <v>16.299423999999998</v>
      </c>
      <c r="W147" s="20" t="s">
        <v>890</v>
      </c>
      <c r="X147" s="20" t="s">
        <v>889</v>
      </c>
      <c r="Y147" s="49">
        <v>42972</v>
      </c>
      <c r="Z147" s="20">
        <f t="shared" si="12"/>
        <v>51</v>
      </c>
    </row>
    <row r="148" spans="1:26">
      <c r="A148" s="20" t="s">
        <v>1178</v>
      </c>
      <c r="B148" s="20" t="s">
        <v>2115</v>
      </c>
      <c r="C148" s="31" t="s">
        <v>2226</v>
      </c>
      <c r="D148" s="49">
        <v>42921</v>
      </c>
      <c r="E148" s="20">
        <v>9.7558279999999993</v>
      </c>
      <c r="F148" s="20">
        <v>49.725133</v>
      </c>
      <c r="K148" s="20" t="s">
        <v>2600</v>
      </c>
      <c r="L148" s="20"/>
      <c r="M148" s="172" t="s">
        <v>3579</v>
      </c>
      <c r="N148" s="20" t="s">
        <v>2713</v>
      </c>
      <c r="O148" s="28">
        <v>2E-3</v>
      </c>
      <c r="P148" s="20">
        <v>0</v>
      </c>
      <c r="Q148" s="65">
        <f t="shared" si="13"/>
        <v>2E-3</v>
      </c>
      <c r="R148" s="50">
        <v>1.7909999999999999</v>
      </c>
      <c r="S148" s="50">
        <f>3.833+0.791+3.744</f>
        <v>8.3680000000000003</v>
      </c>
      <c r="T148" s="20">
        <f t="shared" si="11"/>
        <v>14.987088</v>
      </c>
      <c r="W148" s="20" t="s">
        <v>890</v>
      </c>
      <c r="X148" s="20" t="s">
        <v>889</v>
      </c>
      <c r="Y148" s="49">
        <v>42972</v>
      </c>
      <c r="Z148" s="20">
        <f t="shared" si="12"/>
        <v>51</v>
      </c>
    </row>
    <row r="149" spans="1:26">
      <c r="A149" s="20" t="s">
        <v>1177</v>
      </c>
      <c r="B149" s="20" t="s">
        <v>2115</v>
      </c>
      <c r="C149" s="31" t="s">
        <v>2226</v>
      </c>
      <c r="D149" s="49">
        <v>42921</v>
      </c>
      <c r="E149" s="20">
        <v>9.7558279999999993</v>
      </c>
      <c r="F149" s="20">
        <v>49.725133</v>
      </c>
      <c r="K149" s="20" t="s">
        <v>2600</v>
      </c>
      <c r="L149" s="20"/>
      <c r="M149" s="172" t="s">
        <v>3579</v>
      </c>
      <c r="N149" s="20" t="s">
        <v>2713</v>
      </c>
      <c r="O149" s="28">
        <v>1.5E-3</v>
      </c>
      <c r="P149" s="20">
        <v>0</v>
      </c>
      <c r="Q149" s="65">
        <f t="shared" si="13"/>
        <v>1.5E-3</v>
      </c>
      <c r="R149" s="50">
        <v>1.6910000000000001</v>
      </c>
      <c r="S149" s="50">
        <f>4.121+3.673</f>
        <v>7.7940000000000005</v>
      </c>
      <c r="T149" s="20">
        <f t="shared" si="11"/>
        <v>13.179654000000001</v>
      </c>
      <c r="W149" s="20" t="s">
        <v>890</v>
      </c>
      <c r="X149" s="20" t="s">
        <v>889</v>
      </c>
      <c r="Y149" s="49">
        <v>42972</v>
      </c>
      <c r="Z149" s="20">
        <f t="shared" si="12"/>
        <v>51</v>
      </c>
    </row>
    <row r="150" spans="1:26">
      <c r="A150" s="20" t="s">
        <v>1176</v>
      </c>
      <c r="B150" s="20" t="s">
        <v>2115</v>
      </c>
      <c r="C150" s="31" t="s">
        <v>2226</v>
      </c>
      <c r="D150" s="49">
        <v>42921</v>
      </c>
      <c r="E150" s="20">
        <v>9.7558279999999993</v>
      </c>
      <c r="F150" s="20">
        <v>49.725133</v>
      </c>
      <c r="K150" s="20" t="s">
        <v>2600</v>
      </c>
      <c r="L150" s="20"/>
      <c r="M150" s="172" t="s">
        <v>3578</v>
      </c>
      <c r="N150" s="20" t="s">
        <v>2713</v>
      </c>
      <c r="O150" s="28">
        <v>8.9999999999999998E-4</v>
      </c>
      <c r="P150" s="20">
        <v>0</v>
      </c>
      <c r="Q150" s="65">
        <f t="shared" si="13"/>
        <v>8.9999999999999998E-4</v>
      </c>
      <c r="R150" s="50">
        <v>1.3939999999999999</v>
      </c>
      <c r="S150" s="50">
        <f>3.046+1.19+2.189</f>
        <v>6.4249999999999998</v>
      </c>
      <c r="T150" s="20">
        <f t="shared" si="11"/>
        <v>8.9564499999999985</v>
      </c>
      <c r="W150" s="20" t="s">
        <v>890</v>
      </c>
      <c r="X150" s="20" t="s">
        <v>889</v>
      </c>
      <c r="Y150" s="49">
        <v>42972</v>
      </c>
      <c r="Z150" s="20">
        <f t="shared" si="12"/>
        <v>51</v>
      </c>
    </row>
    <row r="151" spans="1:26">
      <c r="A151" s="20" t="s">
        <v>1175</v>
      </c>
      <c r="B151" s="20" t="s">
        <v>2115</v>
      </c>
      <c r="C151" s="31" t="s">
        <v>2226</v>
      </c>
      <c r="D151" s="49">
        <v>42921</v>
      </c>
      <c r="E151" s="20">
        <v>9.7558279999999993</v>
      </c>
      <c r="F151" s="20">
        <v>49.725133</v>
      </c>
      <c r="K151" s="20" t="s">
        <v>2600</v>
      </c>
      <c r="L151" s="20"/>
      <c r="M151" s="172" t="s">
        <v>3578</v>
      </c>
      <c r="N151" s="20" t="s">
        <v>2713</v>
      </c>
      <c r="O151" s="28">
        <v>1E-3</v>
      </c>
      <c r="P151" s="20">
        <v>0</v>
      </c>
      <c r="Q151" s="65">
        <f t="shared" si="13"/>
        <v>1E-3</v>
      </c>
      <c r="R151" s="50">
        <v>1.39</v>
      </c>
      <c r="S151" s="50">
        <f>3.371+0.705+2.44</f>
        <v>6.516</v>
      </c>
      <c r="T151" s="20">
        <f t="shared" si="11"/>
        <v>9.0572400000000002</v>
      </c>
      <c r="W151" s="20" t="s">
        <v>890</v>
      </c>
      <c r="X151" s="20" t="s">
        <v>889</v>
      </c>
      <c r="Y151" s="49">
        <v>42972</v>
      </c>
      <c r="Z151" s="20">
        <f t="shared" si="12"/>
        <v>51</v>
      </c>
    </row>
    <row r="152" spans="1:26">
      <c r="A152" s="20" t="s">
        <v>1174</v>
      </c>
      <c r="B152" s="20" t="s">
        <v>2115</v>
      </c>
      <c r="C152" s="31" t="s">
        <v>2226</v>
      </c>
      <c r="D152" s="49">
        <v>42921</v>
      </c>
      <c r="E152" s="20">
        <v>9.7558279999999993</v>
      </c>
      <c r="F152" s="20">
        <v>49.725133</v>
      </c>
      <c r="K152" s="20" t="s">
        <v>2600</v>
      </c>
      <c r="L152" s="20"/>
      <c r="M152" s="172" t="s">
        <v>3578</v>
      </c>
      <c r="N152" s="20" t="s">
        <v>2713</v>
      </c>
      <c r="O152" s="28">
        <v>8.9999999999999998E-4</v>
      </c>
      <c r="P152" s="20">
        <v>0</v>
      </c>
      <c r="Q152" s="65">
        <f t="shared" si="13"/>
        <v>8.9999999999999998E-4</v>
      </c>
      <c r="R152" s="50">
        <v>1.4450000000000001</v>
      </c>
      <c r="S152" s="50">
        <f>1.18+1.377+0.772+2.863</f>
        <v>6.1920000000000002</v>
      </c>
      <c r="T152" s="20">
        <f t="shared" si="11"/>
        <v>8.9474400000000003</v>
      </c>
      <c r="W152" s="20" t="s">
        <v>890</v>
      </c>
      <c r="X152" s="20" t="s">
        <v>889</v>
      </c>
      <c r="Y152" s="49">
        <v>42972</v>
      </c>
      <c r="Z152" s="20">
        <f t="shared" si="12"/>
        <v>51</v>
      </c>
    </row>
    <row r="153" spans="1:26">
      <c r="A153" s="20" t="s">
        <v>1173</v>
      </c>
      <c r="B153" s="20" t="s">
        <v>2115</v>
      </c>
      <c r="C153" s="31" t="s">
        <v>2226</v>
      </c>
      <c r="D153" s="49">
        <v>42921</v>
      </c>
      <c r="E153" s="20">
        <v>9.7558279999999993</v>
      </c>
      <c r="F153" s="20">
        <v>49.725133</v>
      </c>
      <c r="K153" s="20" t="s">
        <v>2600</v>
      </c>
      <c r="L153" s="20"/>
      <c r="M153" s="172" t="s">
        <v>3579</v>
      </c>
      <c r="N153" s="20" t="s">
        <v>2713</v>
      </c>
      <c r="O153" s="28">
        <v>1.4E-3</v>
      </c>
      <c r="P153" s="20">
        <v>0</v>
      </c>
      <c r="Q153" s="65">
        <f t="shared" si="13"/>
        <v>1.4E-3</v>
      </c>
      <c r="R153" s="50">
        <v>1.575</v>
      </c>
      <c r="S153" s="50">
        <f>3.718+3.615</f>
        <v>7.3330000000000002</v>
      </c>
      <c r="T153" s="20">
        <f t="shared" si="11"/>
        <v>11.549474999999999</v>
      </c>
      <c r="W153" s="20" t="s">
        <v>890</v>
      </c>
      <c r="X153" s="20" t="s">
        <v>889</v>
      </c>
      <c r="Y153" s="49">
        <v>42972</v>
      </c>
      <c r="Z153" s="20">
        <f t="shared" si="12"/>
        <v>51</v>
      </c>
    </row>
    <row r="154" spans="1:26">
      <c r="A154" s="20" t="s">
        <v>1172</v>
      </c>
      <c r="B154" s="20" t="s">
        <v>2115</v>
      </c>
      <c r="C154" s="31" t="s">
        <v>2226</v>
      </c>
      <c r="D154" s="49">
        <v>42921</v>
      </c>
      <c r="E154" s="20">
        <v>9.7558279999999993</v>
      </c>
      <c r="F154" s="20">
        <v>49.725133</v>
      </c>
      <c r="K154" s="20" t="s">
        <v>892</v>
      </c>
      <c r="L154" s="20"/>
      <c r="M154" s="172" t="s">
        <v>3574</v>
      </c>
      <c r="N154" s="20" t="s">
        <v>2713</v>
      </c>
      <c r="O154" s="28">
        <v>2.7000000000000001E-3</v>
      </c>
      <c r="P154" s="20">
        <v>0</v>
      </c>
      <c r="Q154" s="65">
        <f t="shared" si="13"/>
        <v>2.7000000000000001E-3</v>
      </c>
      <c r="R154" s="50">
        <v>1.875</v>
      </c>
      <c r="S154" s="50">
        <f>5.164+4.091</f>
        <v>9.254999999999999</v>
      </c>
      <c r="T154" s="20">
        <f t="shared" si="11"/>
        <v>17.353124999999999</v>
      </c>
      <c r="W154" s="20" t="s">
        <v>890</v>
      </c>
      <c r="X154" s="20" t="s">
        <v>889</v>
      </c>
      <c r="Y154" s="49">
        <v>42972</v>
      </c>
      <c r="Z154" s="20">
        <f t="shared" si="12"/>
        <v>51</v>
      </c>
    </row>
    <row r="155" spans="1:26">
      <c r="A155" s="20" t="s">
        <v>1171</v>
      </c>
      <c r="B155" s="20" t="s">
        <v>2115</v>
      </c>
      <c r="C155" s="31" t="s">
        <v>2226</v>
      </c>
      <c r="D155" s="49">
        <v>42921</v>
      </c>
      <c r="E155" s="20">
        <v>9.7558279999999993</v>
      </c>
      <c r="F155" s="20">
        <v>49.725133</v>
      </c>
      <c r="K155" s="20" t="s">
        <v>2600</v>
      </c>
      <c r="L155" s="20"/>
      <c r="M155" s="172" t="s">
        <v>3578</v>
      </c>
      <c r="N155" s="20" t="s">
        <v>2713</v>
      </c>
      <c r="O155" s="28">
        <v>5.9999999999999995E-4</v>
      </c>
      <c r="P155" s="20">
        <v>0</v>
      </c>
      <c r="Q155" s="65">
        <f t="shared" si="13"/>
        <v>5.9999999999999995E-4</v>
      </c>
      <c r="R155" s="50">
        <v>1.28</v>
      </c>
      <c r="S155" s="50">
        <f>3.038+0.976+2.283</f>
        <v>6.2969999999999988</v>
      </c>
      <c r="T155" s="20">
        <f t="shared" si="11"/>
        <v>8.060159999999998</v>
      </c>
      <c r="W155" s="20" t="s">
        <v>890</v>
      </c>
      <c r="X155" s="20" t="s">
        <v>889</v>
      </c>
      <c r="Y155" s="49">
        <v>42972</v>
      </c>
      <c r="Z155" s="20">
        <f t="shared" si="12"/>
        <v>51</v>
      </c>
    </row>
    <row r="156" spans="1:26">
      <c r="A156" s="20" t="s">
        <v>1170</v>
      </c>
      <c r="B156" s="20" t="s">
        <v>2115</v>
      </c>
      <c r="C156" s="31" t="s">
        <v>2226</v>
      </c>
      <c r="D156" s="49">
        <v>42921</v>
      </c>
      <c r="E156" s="20">
        <v>9.7558279999999993</v>
      </c>
      <c r="F156" s="20">
        <v>49.725133</v>
      </c>
      <c r="K156" s="20" t="s">
        <v>2600</v>
      </c>
      <c r="L156" s="20"/>
      <c r="M156" s="172" t="s">
        <v>3579</v>
      </c>
      <c r="N156" s="20" t="s">
        <v>2713</v>
      </c>
      <c r="O156" s="28">
        <v>2E-3</v>
      </c>
      <c r="P156" s="20">
        <v>0</v>
      </c>
      <c r="Q156" s="65">
        <f t="shared" si="13"/>
        <v>2E-3</v>
      </c>
      <c r="R156" s="50">
        <v>1.736</v>
      </c>
      <c r="S156" s="50">
        <f>4.561+3.905</f>
        <v>8.4659999999999993</v>
      </c>
      <c r="T156" s="20">
        <f t="shared" si="11"/>
        <v>14.696975999999999</v>
      </c>
      <c r="W156" s="20" t="s">
        <v>890</v>
      </c>
      <c r="X156" s="20" t="s">
        <v>889</v>
      </c>
      <c r="Y156" s="49">
        <v>42972</v>
      </c>
      <c r="Z156" s="20">
        <f t="shared" si="12"/>
        <v>51</v>
      </c>
    </row>
    <row r="157" spans="1:26">
      <c r="A157" s="20" t="s">
        <v>1169</v>
      </c>
      <c r="B157" s="20" t="s">
        <v>2115</v>
      </c>
      <c r="C157" s="31" t="s">
        <v>2226</v>
      </c>
      <c r="D157" s="49">
        <v>42921</v>
      </c>
      <c r="E157" s="20">
        <v>9.7558279999999993</v>
      </c>
      <c r="F157" s="20">
        <v>49.725133</v>
      </c>
      <c r="K157" s="20" t="s">
        <v>2600</v>
      </c>
      <c r="L157" s="20"/>
      <c r="M157" s="172" t="s">
        <v>3579</v>
      </c>
      <c r="N157" s="20" t="s">
        <v>2713</v>
      </c>
      <c r="O157" s="28">
        <v>1.8E-3</v>
      </c>
      <c r="P157" s="20">
        <v>0</v>
      </c>
      <c r="Q157" s="65">
        <f t="shared" si="13"/>
        <v>1.8E-3</v>
      </c>
      <c r="R157" s="50">
        <v>1.6639999999999999</v>
      </c>
      <c r="S157" s="50">
        <f>4.106+2.011+2.457</f>
        <v>8.5739999999999998</v>
      </c>
      <c r="T157" s="20">
        <f t="shared" si="11"/>
        <v>14.267135999999999</v>
      </c>
      <c r="W157" s="20" t="s">
        <v>890</v>
      </c>
      <c r="X157" s="20" t="s">
        <v>889</v>
      </c>
      <c r="Y157" s="49">
        <v>42972</v>
      </c>
      <c r="Z157" s="20">
        <f t="shared" si="12"/>
        <v>51</v>
      </c>
    </row>
    <row r="158" spans="1:26">
      <c r="A158" s="20" t="s">
        <v>1168</v>
      </c>
      <c r="B158" s="20" t="s">
        <v>2115</v>
      </c>
      <c r="C158" s="31" t="s">
        <v>2226</v>
      </c>
      <c r="D158" s="49">
        <v>42921</v>
      </c>
      <c r="E158" s="20">
        <v>9.7558279999999993</v>
      </c>
      <c r="F158" s="20">
        <v>49.725133</v>
      </c>
      <c r="K158" s="20" t="s">
        <v>2600</v>
      </c>
      <c r="L158" s="20"/>
      <c r="M158" s="172" t="s">
        <v>3573</v>
      </c>
      <c r="N158" s="20" t="s">
        <v>2713</v>
      </c>
      <c r="O158" s="28">
        <v>1.5E-3</v>
      </c>
      <c r="P158" s="20">
        <v>0</v>
      </c>
      <c r="Q158" s="65">
        <f t="shared" si="13"/>
        <v>1.5E-3</v>
      </c>
      <c r="R158" s="50">
        <v>1.6379999999999999</v>
      </c>
      <c r="S158" s="20">
        <f>3.952+4.293</f>
        <v>8.245000000000001</v>
      </c>
      <c r="T158" s="20">
        <f t="shared" si="11"/>
        <v>13.505310000000001</v>
      </c>
      <c r="W158" s="20" t="s">
        <v>890</v>
      </c>
      <c r="X158" s="20" t="s">
        <v>889</v>
      </c>
      <c r="Y158" s="49">
        <v>42972</v>
      </c>
      <c r="Z158" s="20">
        <f t="shared" si="12"/>
        <v>51</v>
      </c>
    </row>
    <row r="159" spans="1:26">
      <c r="A159" s="20" t="s">
        <v>1167</v>
      </c>
      <c r="B159" s="20" t="s">
        <v>2115</v>
      </c>
      <c r="C159" s="31" t="s">
        <v>2226</v>
      </c>
      <c r="D159" s="49">
        <v>42921</v>
      </c>
      <c r="E159" s="20">
        <v>9.7558279999999993</v>
      </c>
      <c r="F159" s="20">
        <v>49.725133</v>
      </c>
      <c r="K159" s="20" t="s">
        <v>2600</v>
      </c>
      <c r="L159" s="20"/>
      <c r="M159" s="172" t="s">
        <v>3578</v>
      </c>
      <c r="N159" s="20" t="s">
        <v>2713</v>
      </c>
      <c r="O159" s="28">
        <v>6.9999999999999999E-4</v>
      </c>
      <c r="P159" s="20">
        <v>0</v>
      </c>
      <c r="Q159" s="65">
        <f t="shared" si="13"/>
        <v>6.9999999999999999E-4</v>
      </c>
      <c r="R159" s="50">
        <v>1.3620000000000001</v>
      </c>
      <c r="S159" s="20">
        <f>3.142+2.967</f>
        <v>6.109</v>
      </c>
      <c r="T159" s="20">
        <f t="shared" si="11"/>
        <v>8.3204580000000004</v>
      </c>
      <c r="W159" s="20" t="s">
        <v>890</v>
      </c>
      <c r="X159" s="20" t="s">
        <v>889</v>
      </c>
      <c r="Y159" s="49">
        <v>42972</v>
      </c>
      <c r="Z159" s="20">
        <f t="shared" si="12"/>
        <v>51</v>
      </c>
    </row>
    <row r="160" spans="1:26">
      <c r="A160" s="20" t="s">
        <v>1166</v>
      </c>
      <c r="B160" s="20" t="s">
        <v>2115</v>
      </c>
      <c r="C160" s="31" t="s">
        <v>2226</v>
      </c>
      <c r="D160" s="49">
        <v>42921</v>
      </c>
      <c r="E160" s="20">
        <v>9.7558279999999993</v>
      </c>
      <c r="F160" s="20">
        <v>49.725133</v>
      </c>
      <c r="K160" s="20" t="s">
        <v>2600</v>
      </c>
      <c r="L160" s="20"/>
      <c r="M160" s="172" t="s">
        <v>3573</v>
      </c>
      <c r="N160" s="20" t="s">
        <v>2713</v>
      </c>
      <c r="O160" s="28">
        <v>1.4E-3</v>
      </c>
      <c r="P160" s="20">
        <v>0</v>
      </c>
      <c r="Q160" s="65">
        <f t="shared" si="13"/>
        <v>1.4E-3</v>
      </c>
      <c r="R160" s="50">
        <v>1.577</v>
      </c>
      <c r="S160" s="20">
        <f>3.88+1.229+2.906</f>
        <v>8.0150000000000006</v>
      </c>
      <c r="T160" s="20">
        <f t="shared" si="11"/>
        <v>12.639655000000001</v>
      </c>
      <c r="W160" s="20" t="s">
        <v>890</v>
      </c>
      <c r="X160" s="20" t="s">
        <v>889</v>
      </c>
      <c r="Y160" s="49">
        <v>42972</v>
      </c>
      <c r="Z160" s="20">
        <f t="shared" si="12"/>
        <v>51</v>
      </c>
    </row>
    <row r="161" spans="1:26">
      <c r="A161" s="20" t="s">
        <v>1165</v>
      </c>
      <c r="B161" s="20" t="s">
        <v>2115</v>
      </c>
      <c r="C161" s="31" t="s">
        <v>2226</v>
      </c>
      <c r="D161" s="49">
        <v>42921</v>
      </c>
      <c r="E161" s="20">
        <v>9.7558279999999993</v>
      </c>
      <c r="F161" s="20">
        <v>49.725133</v>
      </c>
      <c r="K161" s="20" t="s">
        <v>2600</v>
      </c>
      <c r="L161" s="20"/>
      <c r="M161" s="172" t="s">
        <v>3579</v>
      </c>
      <c r="N161" s="20" t="s">
        <v>2713</v>
      </c>
      <c r="O161" s="28">
        <v>2.2000000000000001E-3</v>
      </c>
      <c r="P161" s="20">
        <v>0</v>
      </c>
      <c r="Q161" s="65">
        <f t="shared" si="13"/>
        <v>2.2000000000000001E-3</v>
      </c>
      <c r="R161" s="50">
        <v>1.78</v>
      </c>
      <c r="S161" s="20">
        <f>3.506+2.273+3.46</f>
        <v>9.2390000000000008</v>
      </c>
      <c r="T161" s="20">
        <f t="shared" si="11"/>
        <v>16.445420000000002</v>
      </c>
      <c r="W161" s="20" t="s">
        <v>890</v>
      </c>
      <c r="X161" s="20" t="s">
        <v>889</v>
      </c>
      <c r="Y161" s="49">
        <v>42972</v>
      </c>
      <c r="Z161" s="20">
        <f t="shared" si="12"/>
        <v>51</v>
      </c>
    </row>
    <row r="162" spans="1:26">
      <c r="A162" s="20" t="s">
        <v>1164</v>
      </c>
      <c r="B162" s="20" t="s">
        <v>2115</v>
      </c>
      <c r="C162" s="31" t="s">
        <v>2226</v>
      </c>
      <c r="D162" s="49">
        <v>42921</v>
      </c>
      <c r="E162" s="20">
        <v>9.7558279999999993</v>
      </c>
      <c r="F162" s="20">
        <v>49.725133</v>
      </c>
      <c r="K162" s="20" t="s">
        <v>2600</v>
      </c>
      <c r="L162" s="20"/>
      <c r="M162" s="172" t="s">
        <v>3579</v>
      </c>
      <c r="N162" s="20" t="s">
        <v>2713</v>
      </c>
      <c r="O162" s="28">
        <v>1.5E-3</v>
      </c>
      <c r="P162" s="20">
        <v>0</v>
      </c>
      <c r="Q162" s="65">
        <f t="shared" si="13"/>
        <v>1.5E-3</v>
      </c>
      <c r="R162" s="50">
        <v>1.65</v>
      </c>
      <c r="S162" s="20">
        <f>4.608+0.838+3.722</f>
        <v>9.1679999999999993</v>
      </c>
      <c r="T162" s="20">
        <f t="shared" si="11"/>
        <v>15.127199999999998</v>
      </c>
      <c r="W162" s="20" t="s">
        <v>890</v>
      </c>
      <c r="X162" s="20" t="s">
        <v>889</v>
      </c>
      <c r="Y162" s="49">
        <v>42972</v>
      </c>
      <c r="Z162" s="20">
        <f t="shared" si="12"/>
        <v>51</v>
      </c>
    </row>
    <row r="163" spans="1:26">
      <c r="A163" s="20" t="s">
        <v>1163</v>
      </c>
      <c r="B163" s="20" t="s">
        <v>2115</v>
      </c>
      <c r="C163" s="31" t="s">
        <v>2226</v>
      </c>
      <c r="D163" s="49">
        <v>42921</v>
      </c>
      <c r="E163" s="20">
        <v>9.7558279999999993</v>
      </c>
      <c r="F163" s="20">
        <v>49.725133</v>
      </c>
      <c r="K163" s="20" t="s">
        <v>2600</v>
      </c>
      <c r="L163" s="20"/>
      <c r="M163" s="172" t="s">
        <v>3579</v>
      </c>
      <c r="N163" s="20" t="s">
        <v>2713</v>
      </c>
      <c r="O163" s="35">
        <v>1.6999999999999999E-3</v>
      </c>
      <c r="P163" s="20">
        <v>0</v>
      </c>
      <c r="Q163" s="65">
        <f t="shared" si="13"/>
        <v>1.6999999999999999E-3</v>
      </c>
      <c r="R163" s="20">
        <v>1.653</v>
      </c>
      <c r="S163" s="20">
        <f>4.193+4.35+0.459</f>
        <v>9.0019999999999989</v>
      </c>
      <c r="T163" s="20">
        <f t="shared" si="11"/>
        <v>14.880305999999999</v>
      </c>
      <c r="W163" s="20" t="s">
        <v>890</v>
      </c>
      <c r="X163" s="20" t="s">
        <v>889</v>
      </c>
      <c r="Y163" s="49">
        <v>42972</v>
      </c>
      <c r="Z163" s="20">
        <f t="shared" si="12"/>
        <v>51</v>
      </c>
    </row>
    <row r="164" spans="1:26">
      <c r="A164" s="20" t="s">
        <v>1162</v>
      </c>
      <c r="B164" s="20" t="s">
        <v>2115</v>
      </c>
      <c r="C164" s="31" t="s">
        <v>2226</v>
      </c>
      <c r="D164" s="49">
        <v>42921</v>
      </c>
      <c r="E164" s="20">
        <v>9.7558279999999993</v>
      </c>
      <c r="F164" s="20">
        <v>49.725133</v>
      </c>
      <c r="K164" s="20" t="s">
        <v>2600</v>
      </c>
      <c r="L164" s="20"/>
      <c r="M164" s="172" t="s">
        <v>3579</v>
      </c>
      <c r="N164" s="20" t="s">
        <v>2713</v>
      </c>
      <c r="O164" s="28">
        <v>1.6999999999999999E-3</v>
      </c>
      <c r="P164" s="20">
        <v>0</v>
      </c>
      <c r="Q164" s="65">
        <f t="shared" si="13"/>
        <v>1.6999999999999999E-3</v>
      </c>
      <c r="R164" s="20">
        <v>1.673</v>
      </c>
      <c r="S164" s="20">
        <f>4.658+1.888+1.98</f>
        <v>8.5259999999999998</v>
      </c>
      <c r="T164" s="20">
        <f t="shared" si="11"/>
        <v>14.263998000000001</v>
      </c>
      <c r="W164" s="20" t="s">
        <v>890</v>
      </c>
      <c r="X164" s="20" t="s">
        <v>889</v>
      </c>
      <c r="Y164" s="49">
        <v>42972</v>
      </c>
      <c r="Z164" s="20">
        <f t="shared" si="12"/>
        <v>51</v>
      </c>
    </row>
    <row r="165" spans="1:26">
      <c r="A165" s="20" t="s">
        <v>1161</v>
      </c>
      <c r="B165" s="20" t="s">
        <v>2115</v>
      </c>
      <c r="C165" s="31" t="s">
        <v>2226</v>
      </c>
      <c r="D165" s="49">
        <v>42921</v>
      </c>
      <c r="E165" s="20">
        <v>9.7558279999999993</v>
      </c>
      <c r="F165" s="20">
        <v>49.725133</v>
      </c>
      <c r="K165" s="20" t="s">
        <v>2600</v>
      </c>
      <c r="L165" s="20"/>
      <c r="M165" s="172" t="s">
        <v>3578</v>
      </c>
      <c r="N165" s="20" t="s">
        <v>2713</v>
      </c>
      <c r="O165" s="28">
        <v>8.9999999999999998E-4</v>
      </c>
      <c r="P165" s="20">
        <v>0</v>
      </c>
      <c r="Q165" s="65">
        <f t="shared" si="13"/>
        <v>8.9999999999999998E-4</v>
      </c>
      <c r="R165" s="20">
        <v>1.4470000000000001</v>
      </c>
      <c r="S165" s="20">
        <f>3.704+3.247</f>
        <v>6.9510000000000005</v>
      </c>
      <c r="T165" s="20">
        <f t="shared" si="11"/>
        <v>10.058097000000002</v>
      </c>
      <c r="W165" s="20" t="s">
        <v>890</v>
      </c>
      <c r="X165" s="20" t="s">
        <v>889</v>
      </c>
      <c r="Y165" s="49">
        <v>42972</v>
      </c>
      <c r="Z165" s="20">
        <f t="shared" si="12"/>
        <v>51</v>
      </c>
    </row>
    <row r="166" spans="1:26">
      <c r="A166" s="20" t="s">
        <v>1160</v>
      </c>
      <c r="B166" s="20" t="s">
        <v>2115</v>
      </c>
      <c r="C166" s="31" t="s">
        <v>2226</v>
      </c>
      <c r="D166" s="49">
        <v>42921</v>
      </c>
      <c r="E166" s="20">
        <v>9.7558279999999993</v>
      </c>
      <c r="F166" s="20">
        <v>49.725133</v>
      </c>
      <c r="K166" s="20" t="s">
        <v>2600</v>
      </c>
      <c r="L166" s="20"/>
      <c r="M166" s="172" t="s">
        <v>3579</v>
      </c>
      <c r="N166" s="20" t="s">
        <v>2713</v>
      </c>
      <c r="O166" s="28">
        <v>1.6000000000000001E-3</v>
      </c>
      <c r="P166" s="20">
        <v>0</v>
      </c>
      <c r="Q166" s="65">
        <f t="shared" si="13"/>
        <v>1.6000000000000001E-3</v>
      </c>
      <c r="R166" s="20">
        <v>1.7</v>
      </c>
      <c r="S166" s="20">
        <f>3.955+1.292+2.967</f>
        <v>8.2140000000000004</v>
      </c>
      <c r="T166" s="20">
        <f t="shared" si="11"/>
        <v>13.963800000000001</v>
      </c>
      <c r="W166" s="20" t="s">
        <v>890</v>
      </c>
      <c r="X166" s="20" t="s">
        <v>889</v>
      </c>
      <c r="Y166" s="49">
        <v>42972</v>
      </c>
      <c r="Z166" s="20">
        <f t="shared" si="12"/>
        <v>51</v>
      </c>
    </row>
    <row r="167" spans="1:26">
      <c r="A167" s="20" t="s">
        <v>1159</v>
      </c>
      <c r="B167" s="20" t="s">
        <v>2115</v>
      </c>
      <c r="C167" s="31" t="s">
        <v>2226</v>
      </c>
      <c r="D167" s="49">
        <v>42921</v>
      </c>
      <c r="E167" s="20">
        <v>9.7558279999999993</v>
      </c>
      <c r="F167" s="20">
        <v>49.725133</v>
      </c>
      <c r="K167" s="20" t="s">
        <v>2600</v>
      </c>
      <c r="L167" s="20"/>
      <c r="M167" s="172" t="s">
        <v>3578</v>
      </c>
      <c r="N167" s="20" t="s">
        <v>2713</v>
      </c>
      <c r="O167" s="28">
        <v>8.0000000000000004E-4</v>
      </c>
      <c r="P167" s="20">
        <v>0</v>
      </c>
      <c r="Q167" s="65">
        <f t="shared" si="13"/>
        <v>8.0000000000000004E-4</v>
      </c>
      <c r="R167" s="20">
        <v>1.5169999999999999</v>
      </c>
      <c r="S167" s="20">
        <f>4.377+0.945+2.028</f>
        <v>7.35</v>
      </c>
      <c r="T167" s="20">
        <f t="shared" si="11"/>
        <v>11.149949999999999</v>
      </c>
      <c r="W167" s="20" t="s">
        <v>890</v>
      </c>
      <c r="X167" s="20" t="s">
        <v>889</v>
      </c>
      <c r="Y167" s="49">
        <v>42972</v>
      </c>
      <c r="Z167" s="20">
        <f t="shared" si="12"/>
        <v>51</v>
      </c>
    </row>
    <row r="168" spans="1:26">
      <c r="A168" s="20" t="s">
        <v>1158</v>
      </c>
      <c r="B168" s="20" t="s">
        <v>2115</v>
      </c>
      <c r="C168" s="31" t="s">
        <v>2226</v>
      </c>
      <c r="D168" s="49">
        <v>42921</v>
      </c>
      <c r="E168" s="20">
        <v>9.7558279999999993</v>
      </c>
      <c r="F168" s="20">
        <v>49.725133</v>
      </c>
      <c r="K168" s="20" t="s">
        <v>2600</v>
      </c>
      <c r="L168" s="20"/>
      <c r="M168" s="172" t="s">
        <v>3578</v>
      </c>
      <c r="N168" s="20" t="s">
        <v>2713</v>
      </c>
      <c r="O168" s="28">
        <v>6.9999999999999999E-4</v>
      </c>
      <c r="P168" s="20">
        <v>0</v>
      </c>
      <c r="Q168" s="65">
        <f t="shared" si="13"/>
        <v>6.9999999999999999E-4</v>
      </c>
      <c r="R168" s="20">
        <v>1.3120000000000001</v>
      </c>
      <c r="S168" s="20">
        <f>3.592+3.513</f>
        <v>7.1050000000000004</v>
      </c>
      <c r="T168" s="20">
        <f t="shared" si="11"/>
        <v>9.3217600000000012</v>
      </c>
      <c r="W168" s="20" t="s">
        <v>890</v>
      </c>
      <c r="X168" s="20" t="s">
        <v>889</v>
      </c>
      <c r="Y168" s="49">
        <v>42972</v>
      </c>
      <c r="Z168" s="20">
        <f t="shared" si="12"/>
        <v>51</v>
      </c>
    </row>
    <row r="169" spans="1:26">
      <c r="A169" s="20" t="s">
        <v>1157</v>
      </c>
      <c r="B169" s="20" t="s">
        <v>2115</v>
      </c>
      <c r="C169" s="31" t="s">
        <v>2226</v>
      </c>
      <c r="D169" s="49">
        <v>42921</v>
      </c>
      <c r="E169" s="20">
        <v>9.7558279999999993</v>
      </c>
      <c r="F169" s="20">
        <v>49.725133</v>
      </c>
      <c r="K169" s="20" t="s">
        <v>2600</v>
      </c>
      <c r="L169" s="20"/>
      <c r="M169" s="172" t="s">
        <v>3579</v>
      </c>
      <c r="N169" s="20" t="s">
        <v>2713</v>
      </c>
      <c r="O169" s="28">
        <v>1.4E-3</v>
      </c>
      <c r="P169" s="20">
        <v>0</v>
      </c>
      <c r="Q169" s="65">
        <f t="shared" si="13"/>
        <v>1.4E-3</v>
      </c>
      <c r="R169" s="20">
        <v>1.7210000000000001</v>
      </c>
      <c r="S169" s="20">
        <f>3.883+0.843+1.32+2.986</f>
        <v>9.032</v>
      </c>
      <c r="T169" s="20">
        <f t="shared" si="11"/>
        <v>15.544072000000002</v>
      </c>
      <c r="W169" s="20" t="s">
        <v>890</v>
      </c>
      <c r="X169" s="20" t="s">
        <v>889</v>
      </c>
      <c r="Y169" s="49">
        <v>42972</v>
      </c>
      <c r="Z169" s="20">
        <f t="shared" si="12"/>
        <v>51</v>
      </c>
    </row>
    <row r="170" spans="1:26">
      <c r="A170" s="20" t="s">
        <v>1156</v>
      </c>
      <c r="B170" s="20" t="s">
        <v>2115</v>
      </c>
      <c r="C170" s="31" t="s">
        <v>2226</v>
      </c>
      <c r="D170" s="49">
        <v>42921</v>
      </c>
      <c r="E170" s="20">
        <v>9.7558279999999993</v>
      </c>
      <c r="F170" s="20">
        <v>49.725133</v>
      </c>
      <c r="K170" s="20" t="s">
        <v>892</v>
      </c>
      <c r="L170" s="20"/>
      <c r="M170" s="172" t="s">
        <v>3574</v>
      </c>
      <c r="N170" s="20" t="s">
        <v>2713</v>
      </c>
      <c r="O170" s="28">
        <v>3.0000000000000001E-3</v>
      </c>
      <c r="P170" s="20">
        <v>0</v>
      </c>
      <c r="Q170" s="65">
        <f t="shared" si="13"/>
        <v>3.0000000000000001E-3</v>
      </c>
      <c r="R170" s="20">
        <v>2.0059999999999998</v>
      </c>
      <c r="S170" s="20">
        <v>9.1560000000000006</v>
      </c>
      <c r="T170" s="20">
        <f t="shared" si="11"/>
        <v>18.366935999999999</v>
      </c>
      <c r="W170" s="20" t="s">
        <v>890</v>
      </c>
      <c r="X170" s="20" t="s">
        <v>889</v>
      </c>
      <c r="Y170" s="49">
        <v>42972</v>
      </c>
      <c r="Z170" s="20">
        <f t="shared" si="12"/>
        <v>51</v>
      </c>
    </row>
    <row r="171" spans="1:26">
      <c r="A171" s="20" t="s">
        <v>1155</v>
      </c>
      <c r="B171" s="20" t="s">
        <v>2115</v>
      </c>
      <c r="C171" s="31" t="s">
        <v>2226</v>
      </c>
      <c r="D171" s="49">
        <v>42921</v>
      </c>
      <c r="E171" s="20">
        <v>9.7558279999999993</v>
      </c>
      <c r="F171" s="20">
        <v>49.725133</v>
      </c>
      <c r="K171" s="20" t="s">
        <v>2600</v>
      </c>
      <c r="L171" s="20"/>
      <c r="M171" s="172" t="s">
        <v>3578</v>
      </c>
      <c r="N171" s="20" t="s">
        <v>2713</v>
      </c>
      <c r="O171" s="28">
        <v>8.0000000000000004E-4</v>
      </c>
      <c r="P171" s="20">
        <v>0</v>
      </c>
      <c r="Q171" s="65">
        <f t="shared" si="13"/>
        <v>8.0000000000000004E-4</v>
      </c>
      <c r="R171" s="20">
        <v>1.4279999999999999</v>
      </c>
      <c r="S171" s="20">
        <f>2.743+0.954+3.226</f>
        <v>6.923</v>
      </c>
      <c r="T171" s="20">
        <f t="shared" si="11"/>
        <v>9.8860440000000001</v>
      </c>
      <c r="W171" s="20" t="s">
        <v>890</v>
      </c>
      <c r="X171" s="20" t="s">
        <v>889</v>
      </c>
      <c r="Y171" s="49">
        <v>42972</v>
      </c>
      <c r="Z171" s="20">
        <f t="shared" si="12"/>
        <v>51</v>
      </c>
    </row>
    <row r="172" spans="1:26">
      <c r="A172" s="20" t="s">
        <v>1154</v>
      </c>
      <c r="B172" s="20" t="s">
        <v>2115</v>
      </c>
      <c r="C172" s="31" t="s">
        <v>2226</v>
      </c>
      <c r="D172" s="49">
        <v>42921</v>
      </c>
      <c r="E172" s="20">
        <v>9.7558279999999993</v>
      </c>
      <c r="F172" s="20">
        <v>49.725133</v>
      </c>
      <c r="K172" s="20" t="s">
        <v>2600</v>
      </c>
      <c r="L172" s="20"/>
      <c r="M172" s="172" t="s">
        <v>3579</v>
      </c>
      <c r="N172" s="20" t="s">
        <v>2713</v>
      </c>
      <c r="O172" s="28">
        <v>1.1000000000000001E-3</v>
      </c>
      <c r="P172" s="20">
        <v>0</v>
      </c>
      <c r="Q172" s="65">
        <f t="shared" si="13"/>
        <v>1.1000000000000001E-3</v>
      </c>
      <c r="R172" s="20">
        <v>1.587</v>
      </c>
      <c r="S172" s="20">
        <f>4.334+1.433+1.789</f>
        <v>7.5559999999999992</v>
      </c>
      <c r="T172" s="20">
        <f t="shared" si="11"/>
        <v>11.991371999999998</v>
      </c>
      <c r="W172" s="20" t="s">
        <v>890</v>
      </c>
      <c r="X172" s="20" t="s">
        <v>889</v>
      </c>
      <c r="Y172" s="49">
        <v>42972</v>
      </c>
      <c r="Z172" s="20">
        <f t="shared" si="12"/>
        <v>51</v>
      </c>
    </row>
    <row r="173" spans="1:26">
      <c r="A173" s="20" t="s">
        <v>1153</v>
      </c>
      <c r="B173" s="20" t="s">
        <v>2115</v>
      </c>
      <c r="C173" s="31" t="s">
        <v>2226</v>
      </c>
      <c r="D173" s="49">
        <v>42921</v>
      </c>
      <c r="E173" s="20">
        <v>9.7558279999999993</v>
      </c>
      <c r="F173" s="20">
        <v>49.725133</v>
      </c>
      <c r="K173" s="20" t="s">
        <v>2600</v>
      </c>
      <c r="L173" s="20"/>
      <c r="M173" s="172" t="s">
        <v>3579</v>
      </c>
      <c r="N173" s="20" t="s">
        <v>2713</v>
      </c>
      <c r="O173" s="28">
        <v>1.5E-3</v>
      </c>
      <c r="P173" s="20">
        <v>0</v>
      </c>
      <c r="Q173" s="65">
        <f t="shared" si="13"/>
        <v>1.5E-3</v>
      </c>
      <c r="R173" s="20">
        <v>1.6859999999999999</v>
      </c>
      <c r="S173" s="20">
        <f>4.121+1.157+2.204+1.865</f>
        <v>9.3470000000000013</v>
      </c>
      <c r="T173" s="20">
        <f t="shared" si="11"/>
        <v>15.759042000000001</v>
      </c>
      <c r="W173" s="20" t="s">
        <v>890</v>
      </c>
      <c r="X173" s="20" t="s">
        <v>889</v>
      </c>
      <c r="Y173" s="49">
        <v>42972</v>
      </c>
      <c r="Z173" s="20">
        <f t="shared" si="12"/>
        <v>51</v>
      </c>
    </row>
    <row r="174" spans="1:26">
      <c r="A174" s="20" t="s">
        <v>1152</v>
      </c>
      <c r="B174" s="20" t="s">
        <v>2115</v>
      </c>
      <c r="C174" s="31" t="s">
        <v>2226</v>
      </c>
      <c r="D174" s="49">
        <v>42921</v>
      </c>
      <c r="E174" s="20">
        <v>9.7558279999999993</v>
      </c>
      <c r="F174" s="20">
        <v>49.725133</v>
      </c>
      <c r="K174" s="20" t="s">
        <v>2600</v>
      </c>
      <c r="L174" s="20"/>
      <c r="M174" s="172" t="s">
        <v>3579</v>
      </c>
      <c r="N174" s="20" t="s">
        <v>2713</v>
      </c>
      <c r="O174" s="28">
        <v>1.9E-3</v>
      </c>
      <c r="P174" s="20">
        <v>0</v>
      </c>
      <c r="Q174" s="65">
        <f t="shared" si="13"/>
        <v>1.9E-3</v>
      </c>
      <c r="R174" s="20">
        <v>1.718</v>
      </c>
      <c r="S174" s="20">
        <f>3.402+1.038+3.48</f>
        <v>7.92</v>
      </c>
      <c r="T174" s="20">
        <f t="shared" si="11"/>
        <v>13.60656</v>
      </c>
      <c r="W174" s="20" t="s">
        <v>890</v>
      </c>
      <c r="X174" s="20" t="s">
        <v>889</v>
      </c>
      <c r="Y174" s="49">
        <v>42972</v>
      </c>
      <c r="Z174" s="20">
        <f t="shared" si="12"/>
        <v>51</v>
      </c>
    </row>
    <row r="175" spans="1:26">
      <c r="A175" s="20" t="s">
        <v>1151</v>
      </c>
      <c r="B175" s="20" t="s">
        <v>2115</v>
      </c>
      <c r="C175" s="31" t="s">
        <v>2226</v>
      </c>
      <c r="D175" s="49">
        <v>42921</v>
      </c>
      <c r="E175" s="20">
        <v>9.7558279999999993</v>
      </c>
      <c r="F175" s="20">
        <v>49.725133</v>
      </c>
      <c r="K175" s="20" t="s">
        <v>2600</v>
      </c>
      <c r="L175" s="20"/>
      <c r="M175" s="172" t="s">
        <v>3579</v>
      </c>
      <c r="N175" s="20" t="s">
        <v>2713</v>
      </c>
      <c r="O175" s="28">
        <v>2E-3</v>
      </c>
      <c r="P175" s="20">
        <v>0</v>
      </c>
      <c r="Q175" s="65">
        <f t="shared" si="13"/>
        <v>2E-3</v>
      </c>
      <c r="R175" s="20">
        <v>1.8280000000000001</v>
      </c>
      <c r="S175" s="20">
        <f>4.311+5.172</f>
        <v>9.4830000000000005</v>
      </c>
      <c r="T175" s="20">
        <f t="shared" si="11"/>
        <v>17.334924000000001</v>
      </c>
      <c r="W175" s="20" t="s">
        <v>890</v>
      </c>
      <c r="X175" s="20" t="s">
        <v>889</v>
      </c>
      <c r="Y175" s="49">
        <v>42972</v>
      </c>
      <c r="Z175" s="20">
        <f t="shared" si="12"/>
        <v>51</v>
      </c>
    </row>
    <row r="176" spans="1:26">
      <c r="A176" s="20" t="s">
        <v>1150</v>
      </c>
      <c r="B176" s="20" t="s">
        <v>2115</v>
      </c>
      <c r="C176" s="31" t="s">
        <v>2226</v>
      </c>
      <c r="D176" s="49">
        <v>42921</v>
      </c>
      <c r="E176" s="20">
        <v>9.7558279999999993</v>
      </c>
      <c r="F176" s="20">
        <v>49.725133</v>
      </c>
      <c r="K176" s="20" t="s">
        <v>2600</v>
      </c>
      <c r="L176" s="20"/>
      <c r="M176" s="172" t="s">
        <v>3579</v>
      </c>
      <c r="N176" s="20" t="s">
        <v>2713</v>
      </c>
      <c r="O176" s="28">
        <v>2E-3</v>
      </c>
      <c r="P176" s="20">
        <v>0</v>
      </c>
      <c r="Q176" s="65">
        <f t="shared" si="13"/>
        <v>2E-3</v>
      </c>
      <c r="R176" s="20">
        <v>1.7529999999999999</v>
      </c>
      <c r="S176" s="20">
        <f>3.879+1.177+3.771</f>
        <v>8.827</v>
      </c>
      <c r="T176" s="20">
        <f t="shared" si="11"/>
        <v>15.473730999999999</v>
      </c>
      <c r="W176" s="20" t="s">
        <v>890</v>
      </c>
      <c r="X176" s="20" t="s">
        <v>889</v>
      </c>
      <c r="Y176" s="49">
        <v>42972</v>
      </c>
      <c r="Z176" s="20">
        <f t="shared" si="12"/>
        <v>51</v>
      </c>
    </row>
    <row r="177" spans="1:26">
      <c r="A177" s="20" t="s">
        <v>1149</v>
      </c>
      <c r="B177" s="20" t="s">
        <v>2115</v>
      </c>
      <c r="C177" s="31" t="s">
        <v>2226</v>
      </c>
      <c r="D177" s="49">
        <v>42921</v>
      </c>
      <c r="E177" s="20">
        <v>9.7558279999999993</v>
      </c>
      <c r="F177" s="20">
        <v>49.725133</v>
      </c>
      <c r="K177" s="20" t="s">
        <v>2600</v>
      </c>
      <c r="L177" s="20"/>
      <c r="M177" s="172" t="s">
        <v>3578</v>
      </c>
      <c r="N177" s="20" t="s">
        <v>2713</v>
      </c>
      <c r="O177" s="28">
        <v>8.0000000000000004E-4</v>
      </c>
      <c r="P177" s="20">
        <v>0</v>
      </c>
      <c r="Q177" s="65">
        <f t="shared" ref="Q177:Q208" si="14">O177</f>
        <v>8.0000000000000004E-4</v>
      </c>
      <c r="R177" s="20">
        <v>1.2969999999999999</v>
      </c>
      <c r="S177" s="20">
        <f>3.032+3.233</f>
        <v>6.2650000000000006</v>
      </c>
      <c r="T177" s="20">
        <f t="shared" si="11"/>
        <v>8.125705</v>
      </c>
      <c r="W177" s="20" t="s">
        <v>890</v>
      </c>
      <c r="X177" s="20" t="s">
        <v>889</v>
      </c>
      <c r="Y177" s="49">
        <v>42972</v>
      </c>
      <c r="Z177" s="20">
        <f t="shared" si="12"/>
        <v>51</v>
      </c>
    </row>
    <row r="178" spans="1:26">
      <c r="A178" s="20" t="s">
        <v>1148</v>
      </c>
      <c r="B178" s="20" t="s">
        <v>2115</v>
      </c>
      <c r="C178" s="31" t="s">
        <v>2226</v>
      </c>
      <c r="D178" s="49">
        <v>42921</v>
      </c>
      <c r="E178" s="20">
        <v>9.7558279999999993</v>
      </c>
      <c r="F178" s="20">
        <v>49.725133</v>
      </c>
      <c r="K178" s="20" t="s">
        <v>2600</v>
      </c>
      <c r="L178" s="20"/>
      <c r="M178" s="172" t="s">
        <v>3579</v>
      </c>
      <c r="N178" s="20" t="s">
        <v>2713</v>
      </c>
      <c r="O178" s="28">
        <v>2E-3</v>
      </c>
      <c r="P178" s="20">
        <v>0</v>
      </c>
      <c r="Q178" s="65">
        <f t="shared" si="14"/>
        <v>2E-3</v>
      </c>
      <c r="R178" s="20">
        <v>1.7969999999999999</v>
      </c>
      <c r="S178" s="20">
        <f>5.215+5.019</f>
        <v>10.234</v>
      </c>
      <c r="T178" s="20">
        <f t="shared" si="11"/>
        <v>18.390498000000001</v>
      </c>
      <c r="W178" s="20" t="s">
        <v>890</v>
      </c>
      <c r="X178" s="20" t="s">
        <v>889</v>
      </c>
      <c r="Y178" s="49">
        <v>42972</v>
      </c>
      <c r="Z178" s="20">
        <f t="shared" si="12"/>
        <v>51</v>
      </c>
    </row>
    <row r="179" spans="1:26">
      <c r="A179" s="20" t="s">
        <v>1147</v>
      </c>
      <c r="B179" s="20" t="s">
        <v>2115</v>
      </c>
      <c r="C179" s="31" t="s">
        <v>2226</v>
      </c>
      <c r="D179" s="49">
        <v>42921</v>
      </c>
      <c r="E179" s="20">
        <v>9.7558279999999993</v>
      </c>
      <c r="F179" s="20">
        <v>49.725133</v>
      </c>
      <c r="K179" s="20" t="s">
        <v>2600</v>
      </c>
      <c r="L179" s="20"/>
      <c r="M179" s="172" t="s">
        <v>3579</v>
      </c>
      <c r="N179" s="20" t="s">
        <v>2713</v>
      </c>
      <c r="O179" s="28">
        <v>1.9E-3</v>
      </c>
      <c r="P179" s="20">
        <v>0</v>
      </c>
      <c r="Q179" s="65">
        <f t="shared" si="14"/>
        <v>1.9E-3</v>
      </c>
      <c r="R179" s="20">
        <v>1.6879999999999999</v>
      </c>
      <c r="S179" s="20">
        <f>4.1+1.096+3.645</f>
        <v>8.8409999999999993</v>
      </c>
      <c r="T179" s="20">
        <f t="shared" si="11"/>
        <v>14.923607999999998</v>
      </c>
      <c r="W179" s="20" t="s">
        <v>890</v>
      </c>
      <c r="X179" s="20" t="s">
        <v>889</v>
      </c>
      <c r="Y179" s="49">
        <v>42972</v>
      </c>
      <c r="Z179" s="20">
        <f t="shared" si="12"/>
        <v>51</v>
      </c>
    </row>
    <row r="180" spans="1:26">
      <c r="A180" s="20" t="s">
        <v>1146</v>
      </c>
      <c r="B180" s="20" t="s">
        <v>2115</v>
      </c>
      <c r="C180" s="31" t="s">
        <v>2226</v>
      </c>
      <c r="D180" s="49">
        <v>42921</v>
      </c>
      <c r="E180" s="20">
        <v>9.7558279999999993</v>
      </c>
      <c r="F180" s="20">
        <v>49.725133</v>
      </c>
      <c r="K180" s="20" t="s">
        <v>2600</v>
      </c>
      <c r="L180" s="20"/>
      <c r="M180" s="172" t="s">
        <v>3578</v>
      </c>
      <c r="N180" s="20" t="s">
        <v>2713</v>
      </c>
      <c r="O180" s="28">
        <v>6.9999999999999999E-4</v>
      </c>
      <c r="P180" s="20">
        <v>0</v>
      </c>
      <c r="Q180" s="65">
        <f t="shared" si="14"/>
        <v>6.9999999999999999E-4</v>
      </c>
      <c r="R180" s="20">
        <v>1.3819999999999999</v>
      </c>
      <c r="S180" s="20">
        <f>3.234+3.156</f>
        <v>6.3900000000000006</v>
      </c>
      <c r="T180" s="20">
        <f t="shared" si="11"/>
        <v>8.8309800000000003</v>
      </c>
      <c r="W180" s="20" t="s">
        <v>890</v>
      </c>
      <c r="X180" s="20" t="s">
        <v>889</v>
      </c>
      <c r="Y180" s="49">
        <v>42972</v>
      </c>
      <c r="Z180" s="20">
        <f t="shared" si="12"/>
        <v>51</v>
      </c>
    </row>
    <row r="181" spans="1:26">
      <c r="A181" s="20" t="s">
        <v>1145</v>
      </c>
      <c r="B181" s="20" t="s">
        <v>2115</v>
      </c>
      <c r="C181" s="31" t="s">
        <v>2226</v>
      </c>
      <c r="D181" s="49">
        <v>42921</v>
      </c>
      <c r="E181" s="20">
        <v>9.7558279999999993</v>
      </c>
      <c r="F181" s="20">
        <v>49.725133</v>
      </c>
      <c r="K181" s="20" t="s">
        <v>2600</v>
      </c>
      <c r="L181" s="20"/>
      <c r="M181" s="172" t="s">
        <v>3578</v>
      </c>
      <c r="N181" s="20" t="s">
        <v>2713</v>
      </c>
      <c r="O181" s="28">
        <v>1.4E-3</v>
      </c>
      <c r="P181" s="20">
        <v>0</v>
      </c>
      <c r="Q181" s="65">
        <f t="shared" si="14"/>
        <v>1.4E-3</v>
      </c>
      <c r="R181" s="20">
        <v>1.59</v>
      </c>
      <c r="S181" s="20">
        <f>2.512+0.972+3.201</f>
        <v>6.6850000000000005</v>
      </c>
      <c r="T181" s="20">
        <f t="shared" si="11"/>
        <v>10.629150000000001</v>
      </c>
      <c r="W181" s="20" t="s">
        <v>890</v>
      </c>
      <c r="X181" s="20" t="s">
        <v>889</v>
      </c>
      <c r="Y181" s="49">
        <v>42972</v>
      </c>
      <c r="Z181" s="20">
        <f t="shared" si="12"/>
        <v>51</v>
      </c>
    </row>
    <row r="182" spans="1:26">
      <c r="A182" s="20" t="s">
        <v>1144</v>
      </c>
      <c r="B182" s="20" t="s">
        <v>2115</v>
      </c>
      <c r="C182" s="31" t="s">
        <v>2226</v>
      </c>
      <c r="D182" s="49">
        <v>42921</v>
      </c>
      <c r="E182" s="20">
        <v>9.7558279999999993</v>
      </c>
      <c r="F182" s="20">
        <v>49.725133</v>
      </c>
      <c r="K182" s="20" t="s">
        <v>2600</v>
      </c>
      <c r="L182" s="20"/>
      <c r="M182" s="172" t="s">
        <v>3579</v>
      </c>
      <c r="N182" s="20" t="s">
        <v>2713</v>
      </c>
      <c r="O182" s="28">
        <v>1.4E-3</v>
      </c>
      <c r="P182" s="20">
        <v>0</v>
      </c>
      <c r="Q182" s="65">
        <f t="shared" si="14"/>
        <v>1.4E-3</v>
      </c>
      <c r="R182" s="20">
        <v>1.5840000000000001</v>
      </c>
      <c r="S182" s="20">
        <f>4.174+4.635</f>
        <v>8.8090000000000011</v>
      </c>
      <c r="T182" s="20">
        <f t="shared" si="11"/>
        <v>13.953456000000003</v>
      </c>
      <c r="W182" s="20" t="s">
        <v>890</v>
      </c>
      <c r="X182" s="20" t="s">
        <v>889</v>
      </c>
      <c r="Y182" s="49">
        <v>42972</v>
      </c>
      <c r="Z182" s="20">
        <f t="shared" si="12"/>
        <v>51</v>
      </c>
    </row>
    <row r="183" spans="1:26">
      <c r="A183" s="20" t="s">
        <v>1143</v>
      </c>
      <c r="B183" s="20" t="s">
        <v>2115</v>
      </c>
      <c r="C183" s="31" t="s">
        <v>2226</v>
      </c>
      <c r="D183" s="49">
        <v>42921</v>
      </c>
      <c r="E183" s="20">
        <v>9.7558279999999993</v>
      </c>
      <c r="F183" s="20">
        <v>49.725133</v>
      </c>
      <c r="K183" s="20" t="s">
        <v>2600</v>
      </c>
      <c r="L183" s="20"/>
      <c r="M183" s="172" t="s">
        <v>3579</v>
      </c>
      <c r="N183" s="20" t="s">
        <v>2713</v>
      </c>
      <c r="O183" s="28">
        <v>1.9E-3</v>
      </c>
      <c r="P183" s="20">
        <v>0</v>
      </c>
      <c r="Q183" s="65">
        <f t="shared" si="14"/>
        <v>1.9E-3</v>
      </c>
      <c r="R183" s="20">
        <v>1.7450000000000001</v>
      </c>
      <c r="S183" s="20">
        <f>4.3+1.368+3.598</f>
        <v>9.266</v>
      </c>
      <c r="T183" s="20">
        <f t="shared" si="11"/>
        <v>16.169170000000001</v>
      </c>
      <c r="W183" s="20" t="s">
        <v>890</v>
      </c>
      <c r="X183" s="20" t="s">
        <v>889</v>
      </c>
      <c r="Y183" s="49">
        <v>42972</v>
      </c>
      <c r="Z183" s="20">
        <f t="shared" si="12"/>
        <v>51</v>
      </c>
    </row>
    <row r="184" spans="1:26">
      <c r="A184" s="20" t="s">
        <v>1142</v>
      </c>
      <c r="B184" s="20" t="s">
        <v>2115</v>
      </c>
      <c r="C184" s="31" t="s">
        <v>2226</v>
      </c>
      <c r="D184" s="49">
        <v>42921</v>
      </c>
      <c r="E184" s="20">
        <v>9.7558279999999993</v>
      </c>
      <c r="F184" s="20">
        <v>49.725133</v>
      </c>
      <c r="K184" s="20" t="s">
        <v>2600</v>
      </c>
      <c r="L184" s="20"/>
      <c r="M184" s="172" t="s">
        <v>3573</v>
      </c>
      <c r="N184" s="20" t="s">
        <v>2713</v>
      </c>
      <c r="O184" s="28">
        <v>8.9999999999999998E-4</v>
      </c>
      <c r="P184" s="20">
        <v>0</v>
      </c>
      <c r="Q184" s="65">
        <f t="shared" si="14"/>
        <v>8.9999999999999998E-4</v>
      </c>
      <c r="R184" s="20">
        <v>1.647</v>
      </c>
      <c r="S184" s="20">
        <f>3.788+2.505+1.731</f>
        <v>8.0239999999999991</v>
      </c>
      <c r="T184" s="20">
        <f t="shared" si="11"/>
        <v>13.215527999999999</v>
      </c>
      <c r="W184" s="20" t="s">
        <v>890</v>
      </c>
      <c r="X184" s="20" t="s">
        <v>889</v>
      </c>
      <c r="Y184" s="49">
        <v>42972</v>
      </c>
      <c r="Z184" s="20">
        <f t="shared" si="12"/>
        <v>51</v>
      </c>
    </row>
    <row r="185" spans="1:26">
      <c r="A185" s="20" t="s">
        <v>1141</v>
      </c>
      <c r="B185" s="20" t="s">
        <v>2115</v>
      </c>
      <c r="C185" s="31" t="s">
        <v>2226</v>
      </c>
      <c r="D185" s="49">
        <v>42921</v>
      </c>
      <c r="E185" s="20">
        <v>9.7558279999999993</v>
      </c>
      <c r="F185" s="20">
        <v>49.725133</v>
      </c>
      <c r="K185" s="20" t="s">
        <v>2600</v>
      </c>
      <c r="L185" s="20"/>
      <c r="M185" s="172" t="s">
        <v>3578</v>
      </c>
      <c r="N185" s="20" t="s">
        <v>2713</v>
      </c>
      <c r="O185" s="28">
        <v>1.2999999999999999E-3</v>
      </c>
      <c r="P185" s="20">
        <v>0</v>
      </c>
      <c r="Q185" s="65">
        <f t="shared" si="14"/>
        <v>1.2999999999999999E-3</v>
      </c>
      <c r="R185" s="20">
        <v>1.5780000000000001</v>
      </c>
      <c r="S185" s="20">
        <f>3.608+1.095+2.587</f>
        <v>7.2900000000000009</v>
      </c>
      <c r="T185" s="20">
        <f t="shared" si="11"/>
        <v>11.503620000000002</v>
      </c>
      <c r="W185" s="20" t="s">
        <v>890</v>
      </c>
      <c r="X185" s="20" t="s">
        <v>889</v>
      </c>
      <c r="Y185" s="49">
        <v>42972</v>
      </c>
      <c r="Z185" s="20">
        <f t="shared" si="12"/>
        <v>51</v>
      </c>
    </row>
    <row r="186" spans="1:26">
      <c r="A186" s="20" t="s">
        <v>1140</v>
      </c>
      <c r="B186" s="20" t="s">
        <v>2115</v>
      </c>
      <c r="C186" s="31" t="s">
        <v>2226</v>
      </c>
      <c r="D186" s="49">
        <v>42921</v>
      </c>
      <c r="E186" s="20">
        <v>9.7558279999999993</v>
      </c>
      <c r="F186" s="20">
        <v>49.725133</v>
      </c>
      <c r="K186" s="20" t="s">
        <v>2600</v>
      </c>
      <c r="L186" s="20"/>
      <c r="M186" s="172" t="s">
        <v>3573</v>
      </c>
      <c r="N186" s="20" t="s">
        <v>2713</v>
      </c>
      <c r="O186" s="28">
        <v>1.6999999999999999E-3</v>
      </c>
      <c r="P186" s="20">
        <v>0</v>
      </c>
      <c r="Q186" s="65">
        <f t="shared" si="14"/>
        <v>1.6999999999999999E-3</v>
      </c>
      <c r="R186" s="20">
        <v>1.7070000000000001</v>
      </c>
      <c r="S186" s="20">
        <f>4.52+4.672</f>
        <v>9.1920000000000002</v>
      </c>
      <c r="T186" s="20">
        <f t="shared" si="11"/>
        <v>15.690744</v>
      </c>
      <c r="W186" s="20" t="s">
        <v>890</v>
      </c>
      <c r="X186" s="20" t="s">
        <v>889</v>
      </c>
      <c r="Y186" s="49">
        <v>42972</v>
      </c>
      <c r="Z186" s="20">
        <f t="shared" si="12"/>
        <v>51</v>
      </c>
    </row>
    <row r="187" spans="1:26">
      <c r="A187" s="20" t="s">
        <v>1139</v>
      </c>
      <c r="B187" s="20" t="s">
        <v>2115</v>
      </c>
      <c r="C187" s="31" t="s">
        <v>2226</v>
      </c>
      <c r="D187" s="49">
        <v>42921</v>
      </c>
      <c r="E187" s="20">
        <v>9.7558279999999993</v>
      </c>
      <c r="F187" s="20">
        <v>49.725133</v>
      </c>
      <c r="K187" s="20" t="s">
        <v>2600</v>
      </c>
      <c r="L187" s="20"/>
      <c r="M187" s="172" t="s">
        <v>3579</v>
      </c>
      <c r="N187" s="20" t="s">
        <v>2713</v>
      </c>
      <c r="O187" s="28">
        <v>1.9E-3</v>
      </c>
      <c r="P187" s="20">
        <v>0</v>
      </c>
      <c r="Q187" s="65">
        <f t="shared" si="14"/>
        <v>1.9E-3</v>
      </c>
      <c r="R187" s="20">
        <v>1.716</v>
      </c>
      <c r="S187" s="20">
        <f>2.743+1.948+3.818</f>
        <v>8.5090000000000003</v>
      </c>
      <c r="T187" s="20">
        <f t="shared" si="11"/>
        <v>14.601444000000001</v>
      </c>
      <c r="W187" s="20" t="s">
        <v>890</v>
      </c>
      <c r="X187" s="20" t="s">
        <v>889</v>
      </c>
      <c r="Y187" s="49">
        <v>42972</v>
      </c>
      <c r="Z187" s="20">
        <f t="shared" si="12"/>
        <v>51</v>
      </c>
    </row>
    <row r="188" spans="1:26">
      <c r="A188" s="20" t="s">
        <v>1138</v>
      </c>
      <c r="B188" s="20" t="s">
        <v>2115</v>
      </c>
      <c r="C188" s="31" t="s">
        <v>2226</v>
      </c>
      <c r="D188" s="49">
        <v>42921</v>
      </c>
      <c r="E188" s="20">
        <v>9.7558279999999993</v>
      </c>
      <c r="F188" s="20">
        <v>49.725133</v>
      </c>
      <c r="K188" s="20" t="s">
        <v>892</v>
      </c>
      <c r="L188" s="20"/>
      <c r="M188" s="172" t="s">
        <v>3574</v>
      </c>
      <c r="N188" s="20" t="s">
        <v>2713</v>
      </c>
      <c r="O188" s="28">
        <v>3.3999999999999998E-3</v>
      </c>
      <c r="P188" s="20">
        <v>0</v>
      </c>
      <c r="Q188" s="65">
        <f t="shared" si="14"/>
        <v>3.3999999999999998E-3</v>
      </c>
      <c r="R188" s="20">
        <v>2.0939999999999999</v>
      </c>
      <c r="S188" s="20">
        <f>4.937+4.938</f>
        <v>9.875</v>
      </c>
      <c r="T188" s="20">
        <f t="shared" si="11"/>
        <v>20.678249999999998</v>
      </c>
      <c r="W188" s="20" t="s">
        <v>890</v>
      </c>
      <c r="X188" s="20" t="s">
        <v>889</v>
      </c>
      <c r="Y188" s="49">
        <v>42972</v>
      </c>
      <c r="Z188" s="20">
        <f t="shared" si="12"/>
        <v>51</v>
      </c>
    </row>
    <row r="189" spans="1:26">
      <c r="A189" s="20" t="s">
        <v>1137</v>
      </c>
      <c r="B189" s="20" t="s">
        <v>2115</v>
      </c>
      <c r="C189" s="31" t="s">
        <v>2226</v>
      </c>
      <c r="D189" s="49">
        <v>42921</v>
      </c>
      <c r="E189" s="20">
        <v>9.7558279999999993</v>
      </c>
      <c r="F189" s="20">
        <v>49.725133</v>
      </c>
      <c r="K189" s="20" t="s">
        <v>2600</v>
      </c>
      <c r="L189" s="20"/>
      <c r="M189" s="172" t="s">
        <v>3578</v>
      </c>
      <c r="N189" s="20" t="s">
        <v>2713</v>
      </c>
      <c r="O189" s="28">
        <v>8.0000000000000004E-4</v>
      </c>
      <c r="P189" s="20">
        <v>0</v>
      </c>
      <c r="Q189" s="65">
        <f t="shared" si="14"/>
        <v>8.0000000000000004E-4</v>
      </c>
      <c r="R189" s="20">
        <v>1.385</v>
      </c>
      <c r="S189" s="20">
        <f>2.815+2.141+1.854</f>
        <v>6.81</v>
      </c>
      <c r="T189" s="20">
        <f t="shared" si="11"/>
        <v>9.431849999999999</v>
      </c>
      <c r="W189" s="20" t="s">
        <v>890</v>
      </c>
      <c r="X189" s="20" t="s">
        <v>889</v>
      </c>
      <c r="Y189" s="49">
        <v>42972</v>
      </c>
      <c r="Z189" s="20">
        <f t="shared" si="12"/>
        <v>51</v>
      </c>
    </row>
    <row r="190" spans="1:26">
      <c r="A190" s="20" t="s">
        <v>1136</v>
      </c>
      <c r="B190" s="20" t="s">
        <v>2115</v>
      </c>
      <c r="C190" s="31" t="s">
        <v>2226</v>
      </c>
      <c r="D190" s="49">
        <v>42921</v>
      </c>
      <c r="E190" s="20">
        <v>9.7558279999999993</v>
      </c>
      <c r="F190" s="20">
        <v>49.725133</v>
      </c>
      <c r="K190" s="20" t="s">
        <v>2600</v>
      </c>
      <c r="L190" s="20"/>
      <c r="M190" s="172" t="s">
        <v>2585</v>
      </c>
      <c r="N190" s="20" t="s">
        <v>2713</v>
      </c>
      <c r="O190" s="28">
        <v>1.8E-3</v>
      </c>
      <c r="P190" s="20">
        <v>0</v>
      </c>
      <c r="Q190" s="65">
        <f t="shared" si="14"/>
        <v>1.8E-3</v>
      </c>
      <c r="R190" s="20">
        <v>1.8959999999999999</v>
      </c>
      <c r="S190" s="20">
        <f>4.33+3.877</f>
        <v>8.2070000000000007</v>
      </c>
      <c r="T190" s="20">
        <f t="shared" si="11"/>
        <v>15.560472000000001</v>
      </c>
      <c r="W190" s="20" t="s">
        <v>890</v>
      </c>
      <c r="X190" s="20" t="s">
        <v>889</v>
      </c>
      <c r="Y190" s="49">
        <v>42972</v>
      </c>
      <c r="Z190" s="20">
        <f t="shared" si="12"/>
        <v>51</v>
      </c>
    </row>
    <row r="191" spans="1:26">
      <c r="A191" s="20" t="s">
        <v>1135</v>
      </c>
      <c r="B191" s="20" t="s">
        <v>2115</v>
      </c>
      <c r="C191" s="31" t="s">
        <v>2226</v>
      </c>
      <c r="D191" s="49">
        <v>42921</v>
      </c>
      <c r="E191" s="20">
        <v>9.7558279999999993</v>
      </c>
      <c r="F191" s="20">
        <v>49.725133</v>
      </c>
      <c r="K191" s="20" t="s">
        <v>2600</v>
      </c>
      <c r="L191" s="20"/>
      <c r="M191" s="172" t="s">
        <v>3579</v>
      </c>
      <c r="N191" s="20" t="s">
        <v>2713</v>
      </c>
      <c r="O191" s="28">
        <v>2E-3</v>
      </c>
      <c r="P191" s="20">
        <v>0</v>
      </c>
      <c r="Q191" s="65">
        <f t="shared" si="14"/>
        <v>2E-3</v>
      </c>
      <c r="R191" s="20">
        <v>1.7</v>
      </c>
      <c r="S191" s="20">
        <f>3.039+1.345+0.996+2.701</f>
        <v>8.0810000000000013</v>
      </c>
      <c r="T191" s="20">
        <f t="shared" si="11"/>
        <v>13.737700000000002</v>
      </c>
      <c r="W191" s="20" t="s">
        <v>890</v>
      </c>
      <c r="X191" s="20" t="s">
        <v>889</v>
      </c>
      <c r="Y191" s="49">
        <v>42972</v>
      </c>
      <c r="Z191" s="20">
        <f t="shared" si="12"/>
        <v>51</v>
      </c>
    </row>
    <row r="192" spans="1:26">
      <c r="A192" s="20" t="s">
        <v>1134</v>
      </c>
      <c r="B192" s="20" t="s">
        <v>2115</v>
      </c>
      <c r="C192" s="31" t="s">
        <v>2226</v>
      </c>
      <c r="D192" s="49">
        <v>42921</v>
      </c>
      <c r="E192" s="20">
        <v>9.7558279999999993</v>
      </c>
      <c r="F192" s="20">
        <v>49.725133</v>
      </c>
      <c r="K192" s="20" t="s">
        <v>2600</v>
      </c>
      <c r="L192" s="20"/>
      <c r="M192" s="172" t="s">
        <v>3579</v>
      </c>
      <c r="N192" s="20" t="s">
        <v>2713</v>
      </c>
      <c r="O192" s="28">
        <v>1.5E-3</v>
      </c>
      <c r="P192" s="20">
        <v>0</v>
      </c>
      <c r="Q192" s="65">
        <f t="shared" si="14"/>
        <v>1.5E-3</v>
      </c>
      <c r="R192" s="20">
        <v>1.6639999999999999</v>
      </c>
      <c r="S192" s="20">
        <f>4.384+3.505</f>
        <v>7.8890000000000002</v>
      </c>
      <c r="T192" s="20">
        <f t="shared" si="11"/>
        <v>13.127295999999999</v>
      </c>
      <c r="W192" s="20" t="s">
        <v>890</v>
      </c>
      <c r="X192" s="20" t="s">
        <v>889</v>
      </c>
      <c r="Y192" s="49">
        <v>42972</v>
      </c>
      <c r="Z192" s="20">
        <f t="shared" si="12"/>
        <v>51</v>
      </c>
    </row>
    <row r="193" spans="1:26">
      <c r="A193" s="20" t="s">
        <v>1133</v>
      </c>
      <c r="B193" s="20" t="s">
        <v>2115</v>
      </c>
      <c r="C193" s="31" t="s">
        <v>2226</v>
      </c>
      <c r="D193" s="49">
        <v>42921</v>
      </c>
      <c r="E193" s="20">
        <v>9.7558279999999993</v>
      </c>
      <c r="F193" s="20">
        <v>49.725133</v>
      </c>
      <c r="K193" s="20" t="s">
        <v>2600</v>
      </c>
      <c r="L193" s="20"/>
      <c r="M193" s="172" t="s">
        <v>3578</v>
      </c>
      <c r="N193" s="20" t="s">
        <v>2713</v>
      </c>
      <c r="O193" s="28">
        <v>8.9999999999999998E-4</v>
      </c>
      <c r="P193" s="20">
        <v>0</v>
      </c>
      <c r="Q193" s="65">
        <f t="shared" si="14"/>
        <v>8.9999999999999998E-4</v>
      </c>
      <c r="R193" s="20">
        <v>1.417</v>
      </c>
      <c r="S193" s="20">
        <f>3.233+0.742+3.046</f>
        <v>7.0209999999999999</v>
      </c>
      <c r="T193" s="20">
        <f t="shared" si="11"/>
        <v>9.9487570000000005</v>
      </c>
      <c r="W193" s="20" t="s">
        <v>890</v>
      </c>
      <c r="X193" s="20" t="s">
        <v>889</v>
      </c>
      <c r="Y193" s="49">
        <v>42972</v>
      </c>
      <c r="Z193" s="20">
        <f t="shared" si="12"/>
        <v>51</v>
      </c>
    </row>
    <row r="194" spans="1:26">
      <c r="A194" s="20" t="s">
        <v>1132</v>
      </c>
      <c r="B194" s="20" t="s">
        <v>2115</v>
      </c>
      <c r="C194" s="31" t="s">
        <v>2226</v>
      </c>
      <c r="D194" s="49">
        <v>42921</v>
      </c>
      <c r="E194" s="20">
        <v>9.7558279999999993</v>
      </c>
      <c r="F194" s="20">
        <v>49.725133</v>
      </c>
      <c r="K194" s="20" t="s">
        <v>2600</v>
      </c>
      <c r="L194" s="20"/>
      <c r="M194" s="172" t="s">
        <v>3579</v>
      </c>
      <c r="N194" s="20" t="s">
        <v>2713</v>
      </c>
      <c r="O194" s="28">
        <v>2.3E-3</v>
      </c>
      <c r="P194" s="20">
        <v>0</v>
      </c>
      <c r="Q194" s="65">
        <f t="shared" si="14"/>
        <v>2.3E-3</v>
      </c>
      <c r="R194" s="20">
        <v>1.869</v>
      </c>
      <c r="S194" s="20">
        <f>4.077+1.096+4.436</f>
        <v>9.609</v>
      </c>
      <c r="T194" s="20">
        <f t="shared" ref="T194:T257" si="15">R194*S194</f>
        <v>17.959220999999999</v>
      </c>
      <c r="W194" s="20" t="s">
        <v>890</v>
      </c>
      <c r="X194" s="20" t="s">
        <v>889</v>
      </c>
      <c r="Y194" s="49">
        <v>42972</v>
      </c>
      <c r="Z194" s="20">
        <f t="shared" ref="Z194:Z257" si="16">Y194-D194</f>
        <v>51</v>
      </c>
    </row>
    <row r="195" spans="1:26">
      <c r="A195" s="20" t="s">
        <v>1131</v>
      </c>
      <c r="B195" s="20" t="s">
        <v>2115</v>
      </c>
      <c r="C195" s="31" t="s">
        <v>2226</v>
      </c>
      <c r="D195" s="49">
        <v>42921</v>
      </c>
      <c r="E195" s="20">
        <v>9.7558279999999993</v>
      </c>
      <c r="F195" s="20">
        <v>49.725133</v>
      </c>
      <c r="K195" s="20" t="s">
        <v>2600</v>
      </c>
      <c r="L195" s="20"/>
      <c r="M195" s="172" t="s">
        <v>3579</v>
      </c>
      <c r="N195" s="20" t="s">
        <v>2713</v>
      </c>
      <c r="O195" s="28">
        <v>1E-3</v>
      </c>
      <c r="P195" s="20">
        <v>0</v>
      </c>
      <c r="Q195" s="65">
        <f t="shared" si="14"/>
        <v>1E-3</v>
      </c>
      <c r="R195" s="20">
        <v>1.4159999999999999</v>
      </c>
      <c r="S195" s="20">
        <f>3.313+1.121+1.026+1.136</f>
        <v>6.5960000000000001</v>
      </c>
      <c r="T195" s="20">
        <f t="shared" si="15"/>
        <v>9.3399359999999998</v>
      </c>
      <c r="W195" s="20" t="s">
        <v>890</v>
      </c>
      <c r="X195" s="20" t="s">
        <v>889</v>
      </c>
      <c r="Y195" s="49">
        <v>42972</v>
      </c>
      <c r="Z195" s="20">
        <f t="shared" si="16"/>
        <v>51</v>
      </c>
    </row>
    <row r="196" spans="1:26">
      <c r="A196" s="20" t="s">
        <v>1130</v>
      </c>
      <c r="B196" s="20" t="s">
        <v>2115</v>
      </c>
      <c r="C196" s="31" t="s">
        <v>2226</v>
      </c>
      <c r="D196" s="49">
        <v>42921</v>
      </c>
      <c r="E196" s="20">
        <v>9.7558279999999993</v>
      </c>
      <c r="F196" s="20">
        <v>49.725133</v>
      </c>
      <c r="K196" s="20" t="s">
        <v>2600</v>
      </c>
      <c r="L196" s="20"/>
      <c r="M196" s="172" t="s">
        <v>3578</v>
      </c>
      <c r="N196" s="20" t="s">
        <v>2713</v>
      </c>
      <c r="O196" s="28">
        <v>1.1000000000000001E-3</v>
      </c>
      <c r="P196" s="20">
        <v>0</v>
      </c>
      <c r="Q196" s="65">
        <f t="shared" si="14"/>
        <v>1.1000000000000001E-3</v>
      </c>
      <c r="R196" s="20">
        <v>1.327</v>
      </c>
      <c r="S196" s="20">
        <f>4.091+3.245</f>
        <v>7.3360000000000003</v>
      </c>
      <c r="T196" s="20">
        <f t="shared" si="15"/>
        <v>9.7348719999999993</v>
      </c>
      <c r="W196" s="20" t="s">
        <v>890</v>
      </c>
      <c r="X196" s="20" t="s">
        <v>889</v>
      </c>
      <c r="Y196" s="49">
        <v>42972</v>
      </c>
      <c r="Z196" s="20">
        <f t="shared" si="16"/>
        <v>51</v>
      </c>
    </row>
    <row r="197" spans="1:26">
      <c r="A197" s="20" t="s">
        <v>1129</v>
      </c>
      <c r="B197" s="20" t="s">
        <v>2115</v>
      </c>
      <c r="C197" s="31" t="s">
        <v>2226</v>
      </c>
      <c r="D197" s="49">
        <v>42921</v>
      </c>
      <c r="E197" s="20">
        <v>9.7558279999999993</v>
      </c>
      <c r="F197" s="20">
        <v>49.725133</v>
      </c>
      <c r="K197" s="20" t="s">
        <v>2600</v>
      </c>
      <c r="L197" s="20"/>
      <c r="M197" s="172" t="s">
        <v>3584</v>
      </c>
      <c r="N197" s="20" t="s">
        <v>2713</v>
      </c>
      <c r="O197" s="28">
        <v>1E-3</v>
      </c>
      <c r="P197" s="20">
        <v>0</v>
      </c>
      <c r="Q197" s="65">
        <f t="shared" si="14"/>
        <v>1E-3</v>
      </c>
      <c r="R197" s="20">
        <v>1.4159999999999999</v>
      </c>
      <c r="S197" s="20">
        <f>3.486+1.133+2.796</f>
        <v>7.4149999999999991</v>
      </c>
      <c r="T197" s="20">
        <f t="shared" si="15"/>
        <v>10.499639999999998</v>
      </c>
      <c r="W197" s="20" t="s">
        <v>890</v>
      </c>
      <c r="X197" s="20" t="s">
        <v>889</v>
      </c>
      <c r="Y197" s="49">
        <v>42972</v>
      </c>
      <c r="Z197" s="20">
        <f t="shared" si="16"/>
        <v>51</v>
      </c>
    </row>
    <row r="198" spans="1:26">
      <c r="A198" s="20" t="s">
        <v>1128</v>
      </c>
      <c r="B198" s="20" t="s">
        <v>2115</v>
      </c>
      <c r="C198" s="31" t="s">
        <v>2226</v>
      </c>
      <c r="D198" s="49">
        <v>42921</v>
      </c>
      <c r="E198" s="20">
        <v>9.7558279999999993</v>
      </c>
      <c r="F198" s="20">
        <v>49.725133</v>
      </c>
      <c r="K198" s="20" t="s">
        <v>2600</v>
      </c>
      <c r="L198" s="20"/>
      <c r="M198" s="172" t="s">
        <v>3579</v>
      </c>
      <c r="N198" s="20" t="s">
        <v>2713</v>
      </c>
      <c r="O198" s="28">
        <v>1.6999999999999999E-3</v>
      </c>
      <c r="P198" s="20">
        <v>0</v>
      </c>
      <c r="Q198" s="65">
        <f t="shared" si="14"/>
        <v>1.6999999999999999E-3</v>
      </c>
      <c r="R198" s="20">
        <v>1.603</v>
      </c>
      <c r="S198" s="20">
        <f>3.868+4.857</f>
        <v>8.7249999999999996</v>
      </c>
      <c r="T198" s="20">
        <f t="shared" si="15"/>
        <v>13.986174999999999</v>
      </c>
      <c r="W198" s="20" t="s">
        <v>890</v>
      </c>
      <c r="X198" s="20" t="s">
        <v>889</v>
      </c>
      <c r="Y198" s="49">
        <v>42972</v>
      </c>
      <c r="Z198" s="20">
        <f t="shared" si="16"/>
        <v>51</v>
      </c>
    </row>
    <row r="199" spans="1:26">
      <c r="A199" s="20" t="s">
        <v>1126</v>
      </c>
      <c r="B199" s="20" t="s">
        <v>2115</v>
      </c>
      <c r="C199" s="31" t="s">
        <v>2226</v>
      </c>
      <c r="D199" s="49">
        <v>42921</v>
      </c>
      <c r="E199" s="20">
        <v>9.7558279999999993</v>
      </c>
      <c r="F199" s="20">
        <v>49.725133</v>
      </c>
      <c r="K199" s="20" t="s">
        <v>2600</v>
      </c>
      <c r="L199" s="20"/>
      <c r="M199" s="172" t="s">
        <v>3579</v>
      </c>
      <c r="N199" s="20" t="s">
        <v>2713</v>
      </c>
      <c r="O199" s="28">
        <v>1.2999999999999999E-3</v>
      </c>
      <c r="P199" s="20">
        <v>0</v>
      </c>
      <c r="Q199" s="65">
        <f t="shared" si="14"/>
        <v>1.2999999999999999E-3</v>
      </c>
      <c r="R199" s="20">
        <v>1.6539999999999999</v>
      </c>
      <c r="S199" s="20">
        <f>5.331+3.389</f>
        <v>8.7200000000000006</v>
      </c>
      <c r="T199" s="20">
        <f t="shared" si="15"/>
        <v>14.422880000000001</v>
      </c>
      <c r="W199" s="20" t="s">
        <v>890</v>
      </c>
      <c r="X199" s="20" t="s">
        <v>889</v>
      </c>
      <c r="Y199" s="49">
        <v>42972</v>
      </c>
      <c r="Z199" s="20">
        <f t="shared" si="16"/>
        <v>51</v>
      </c>
    </row>
    <row r="200" spans="1:26">
      <c r="A200" s="20" t="s">
        <v>1125</v>
      </c>
      <c r="B200" s="20" t="s">
        <v>2115</v>
      </c>
      <c r="C200" s="31" t="s">
        <v>2226</v>
      </c>
      <c r="D200" s="49">
        <v>42921</v>
      </c>
      <c r="E200" s="20">
        <v>9.7558279999999993</v>
      </c>
      <c r="F200" s="20">
        <v>49.725133</v>
      </c>
      <c r="K200" s="20" t="s">
        <v>2600</v>
      </c>
      <c r="L200" s="20"/>
      <c r="M200" s="172" t="s">
        <v>3573</v>
      </c>
      <c r="N200" s="20" t="s">
        <v>2713</v>
      </c>
      <c r="O200" s="28">
        <v>1.1000000000000001E-3</v>
      </c>
      <c r="P200" s="20">
        <v>0</v>
      </c>
      <c r="Q200" s="65">
        <f t="shared" si="14"/>
        <v>1.1000000000000001E-3</v>
      </c>
      <c r="R200" s="20">
        <v>1.534</v>
      </c>
      <c r="S200" s="20">
        <f>3.743+0.931+4.12</f>
        <v>8.7940000000000005</v>
      </c>
      <c r="T200" s="20">
        <f t="shared" si="15"/>
        <v>13.489996000000001</v>
      </c>
      <c r="W200" s="20" t="s">
        <v>890</v>
      </c>
      <c r="X200" s="20" t="s">
        <v>889</v>
      </c>
      <c r="Y200" s="49">
        <v>42972</v>
      </c>
      <c r="Z200" s="20">
        <f t="shared" si="16"/>
        <v>51</v>
      </c>
    </row>
    <row r="201" spans="1:26">
      <c r="A201" s="20" t="s">
        <v>1123</v>
      </c>
      <c r="B201" s="20" t="s">
        <v>2115</v>
      </c>
      <c r="C201" s="31" t="s">
        <v>2226</v>
      </c>
      <c r="D201" s="49">
        <v>42921</v>
      </c>
      <c r="E201" s="20">
        <v>9.7558279999999993</v>
      </c>
      <c r="F201" s="20">
        <v>49.725133</v>
      </c>
      <c r="K201" s="20" t="s">
        <v>2600</v>
      </c>
      <c r="L201" s="20"/>
      <c r="M201" s="172" t="s">
        <v>3585</v>
      </c>
      <c r="N201" s="20" t="s">
        <v>2713</v>
      </c>
      <c r="O201" s="28">
        <v>1E-3</v>
      </c>
      <c r="P201" s="20">
        <v>0</v>
      </c>
      <c r="Q201" s="65">
        <f t="shared" si="14"/>
        <v>1E-3</v>
      </c>
      <c r="R201" s="20">
        <v>1.3979999999999999</v>
      </c>
      <c r="S201" s="20">
        <f>3.378+2.164+1.706</f>
        <v>7.2479999999999993</v>
      </c>
      <c r="T201" s="20">
        <f t="shared" si="15"/>
        <v>10.132703999999999</v>
      </c>
      <c r="W201" s="20" t="s">
        <v>890</v>
      </c>
      <c r="X201" s="20" t="s">
        <v>889</v>
      </c>
      <c r="Y201" s="49">
        <v>42972</v>
      </c>
      <c r="Z201" s="20">
        <f t="shared" si="16"/>
        <v>51</v>
      </c>
    </row>
    <row r="202" spans="1:26">
      <c r="A202" s="20" t="s">
        <v>1122</v>
      </c>
      <c r="B202" s="20" t="s">
        <v>2115</v>
      </c>
      <c r="C202" s="31" t="s">
        <v>2226</v>
      </c>
      <c r="D202" s="49">
        <v>42921</v>
      </c>
      <c r="E202" s="20">
        <v>9.7558279999999993</v>
      </c>
      <c r="F202" s="20">
        <v>49.725133</v>
      </c>
      <c r="K202" s="20" t="s">
        <v>2600</v>
      </c>
      <c r="L202" s="20"/>
      <c r="M202" s="172" t="s">
        <v>3579</v>
      </c>
      <c r="N202" s="20" t="s">
        <v>2713</v>
      </c>
      <c r="O202" s="28">
        <v>2.3E-3</v>
      </c>
      <c r="P202" s="20">
        <v>0</v>
      </c>
      <c r="Q202" s="65">
        <f t="shared" si="14"/>
        <v>2.3E-3</v>
      </c>
      <c r="R202" s="20">
        <v>1.8160000000000001</v>
      </c>
      <c r="S202" s="20">
        <f>3.878+1.23+1.276+2.806</f>
        <v>9.1900000000000013</v>
      </c>
      <c r="T202" s="20">
        <f t="shared" si="15"/>
        <v>16.689040000000002</v>
      </c>
      <c r="W202" s="20" t="s">
        <v>890</v>
      </c>
      <c r="X202" s="20" t="s">
        <v>889</v>
      </c>
      <c r="Y202" s="49">
        <v>42972</v>
      </c>
      <c r="Z202" s="20">
        <f t="shared" si="16"/>
        <v>51</v>
      </c>
    </row>
    <row r="203" spans="1:26">
      <c r="A203" s="20" t="s">
        <v>1121</v>
      </c>
      <c r="B203" s="20" t="s">
        <v>2115</v>
      </c>
      <c r="C203" s="31" t="s">
        <v>2226</v>
      </c>
      <c r="D203" s="49">
        <v>42921</v>
      </c>
      <c r="E203" s="20">
        <v>9.7558279999999993</v>
      </c>
      <c r="F203" s="20">
        <v>49.725133</v>
      </c>
      <c r="K203" s="20" t="s">
        <v>2600</v>
      </c>
      <c r="L203" s="20"/>
      <c r="M203" s="172" t="s">
        <v>3579</v>
      </c>
      <c r="N203" s="20" t="s">
        <v>2713</v>
      </c>
      <c r="O203" s="28">
        <v>1.6000000000000001E-3</v>
      </c>
      <c r="P203" s="20">
        <v>0</v>
      </c>
      <c r="Q203" s="65">
        <f t="shared" si="14"/>
        <v>1.6000000000000001E-3</v>
      </c>
      <c r="R203" s="20">
        <v>1.7090000000000001</v>
      </c>
      <c r="S203" s="20">
        <f>2.648+1.628+3.848</f>
        <v>8.1239999999999988</v>
      </c>
      <c r="T203" s="20">
        <f t="shared" si="15"/>
        <v>13.883915999999999</v>
      </c>
      <c r="W203" s="20" t="s">
        <v>890</v>
      </c>
      <c r="X203" s="20" t="s">
        <v>889</v>
      </c>
      <c r="Y203" s="49">
        <v>42972</v>
      </c>
      <c r="Z203" s="20">
        <f t="shared" si="16"/>
        <v>51</v>
      </c>
    </row>
    <row r="204" spans="1:26">
      <c r="A204" s="20" t="s">
        <v>1120</v>
      </c>
      <c r="B204" s="20" t="s">
        <v>2115</v>
      </c>
      <c r="C204" s="31" t="s">
        <v>2226</v>
      </c>
      <c r="D204" s="49">
        <v>42921</v>
      </c>
      <c r="E204" s="20">
        <v>9.7558279999999993</v>
      </c>
      <c r="F204" s="20">
        <v>49.725133</v>
      </c>
      <c r="K204" s="20" t="s">
        <v>2600</v>
      </c>
      <c r="L204" s="20"/>
      <c r="M204" s="172" t="s">
        <v>3578</v>
      </c>
      <c r="N204" s="20" t="s">
        <v>2713</v>
      </c>
      <c r="O204" s="28">
        <v>1E-3</v>
      </c>
      <c r="P204" s="20">
        <v>0</v>
      </c>
      <c r="Q204" s="65">
        <f t="shared" si="14"/>
        <v>1E-3</v>
      </c>
      <c r="R204" s="20">
        <v>1.341</v>
      </c>
      <c r="S204" s="20">
        <f>4.16+2.393</f>
        <v>6.5529999999999999</v>
      </c>
      <c r="T204" s="20">
        <f t="shared" si="15"/>
        <v>8.7875730000000001</v>
      </c>
      <c r="W204" s="20" t="s">
        <v>890</v>
      </c>
      <c r="X204" s="20" t="s">
        <v>889</v>
      </c>
      <c r="Y204" s="49">
        <v>42972</v>
      </c>
      <c r="Z204" s="20">
        <f t="shared" si="16"/>
        <v>51</v>
      </c>
    </row>
    <row r="205" spans="1:26">
      <c r="A205" s="20" t="s">
        <v>1119</v>
      </c>
      <c r="B205" s="20" t="s">
        <v>2115</v>
      </c>
      <c r="C205" s="31" t="s">
        <v>2226</v>
      </c>
      <c r="D205" s="49">
        <v>42921</v>
      </c>
      <c r="E205" s="20">
        <v>9.7558279999999993</v>
      </c>
      <c r="F205" s="20">
        <v>49.725133</v>
      </c>
      <c r="K205" s="20" t="s">
        <v>2600</v>
      </c>
      <c r="L205" s="20"/>
      <c r="M205" s="172" t="s">
        <v>3579</v>
      </c>
      <c r="N205" s="20" t="s">
        <v>2713</v>
      </c>
      <c r="O205" s="28">
        <v>1.6000000000000001E-3</v>
      </c>
      <c r="P205" s="20">
        <v>0</v>
      </c>
      <c r="Q205" s="65">
        <f t="shared" si="14"/>
        <v>1.6000000000000001E-3</v>
      </c>
      <c r="R205" s="20">
        <v>1.6559999999999999</v>
      </c>
      <c r="S205" s="20">
        <f>2.47+1.639+0.781+3.87</f>
        <v>8.76</v>
      </c>
      <c r="T205" s="20">
        <f t="shared" si="15"/>
        <v>14.506559999999999</v>
      </c>
      <c r="W205" s="20" t="s">
        <v>890</v>
      </c>
      <c r="X205" s="20" t="s">
        <v>889</v>
      </c>
      <c r="Y205" s="49">
        <v>42972</v>
      </c>
      <c r="Z205" s="20">
        <f t="shared" si="16"/>
        <v>51</v>
      </c>
    </row>
    <row r="206" spans="1:26">
      <c r="A206" s="20" t="s">
        <v>1118</v>
      </c>
      <c r="B206" s="20" t="s">
        <v>2115</v>
      </c>
      <c r="C206" s="31" t="s">
        <v>2226</v>
      </c>
      <c r="D206" s="49">
        <v>42921</v>
      </c>
      <c r="E206" s="20">
        <v>9.7558279999999993</v>
      </c>
      <c r="F206" s="20">
        <v>49.725133</v>
      </c>
      <c r="K206" s="20" t="s">
        <v>2600</v>
      </c>
      <c r="L206" s="20"/>
      <c r="M206" s="172" t="s">
        <v>3573</v>
      </c>
      <c r="N206" s="20" t="s">
        <v>2713</v>
      </c>
      <c r="O206" s="28">
        <v>1.1999999999999999E-3</v>
      </c>
      <c r="P206" s="20">
        <v>0</v>
      </c>
      <c r="Q206" s="65">
        <f t="shared" si="14"/>
        <v>1.1999999999999999E-3</v>
      </c>
      <c r="R206" s="20">
        <v>1.61</v>
      </c>
      <c r="S206" s="20">
        <f>3.548+0.929+3.651</f>
        <v>8.1280000000000001</v>
      </c>
      <c r="T206" s="20">
        <f t="shared" si="15"/>
        <v>13.086080000000001</v>
      </c>
      <c r="W206" s="20" t="s">
        <v>890</v>
      </c>
      <c r="X206" s="20" t="s">
        <v>889</v>
      </c>
      <c r="Y206" s="49">
        <v>42972</v>
      </c>
      <c r="Z206" s="20">
        <f t="shared" si="16"/>
        <v>51</v>
      </c>
    </row>
    <row r="207" spans="1:26">
      <c r="A207" s="20" t="s">
        <v>1117</v>
      </c>
      <c r="B207" s="20" t="s">
        <v>2115</v>
      </c>
      <c r="C207" s="31" t="s">
        <v>2226</v>
      </c>
      <c r="D207" s="49">
        <v>42921</v>
      </c>
      <c r="E207" s="20">
        <v>9.7558279999999993</v>
      </c>
      <c r="F207" s="20">
        <v>49.725133</v>
      </c>
      <c r="K207" s="20" t="s">
        <v>2600</v>
      </c>
      <c r="L207" s="20"/>
      <c r="M207" s="172" t="s">
        <v>3579</v>
      </c>
      <c r="N207" s="20" t="s">
        <v>2713</v>
      </c>
      <c r="O207" s="28">
        <v>1.8E-3</v>
      </c>
      <c r="P207" s="20">
        <v>0</v>
      </c>
      <c r="Q207" s="65">
        <f t="shared" si="14"/>
        <v>1.8E-3</v>
      </c>
      <c r="R207" s="20">
        <v>1.825</v>
      </c>
      <c r="S207" s="20">
        <f>4.136+1.084+1.884+1.504</f>
        <v>8.6080000000000005</v>
      </c>
      <c r="T207" s="20">
        <f t="shared" si="15"/>
        <v>15.7096</v>
      </c>
      <c r="W207" s="20" t="s">
        <v>890</v>
      </c>
      <c r="X207" s="20" t="s">
        <v>889</v>
      </c>
      <c r="Y207" s="49">
        <v>42972</v>
      </c>
      <c r="Z207" s="20">
        <f t="shared" si="16"/>
        <v>51</v>
      </c>
    </row>
    <row r="208" spans="1:26">
      <c r="A208" s="20" t="s">
        <v>1116</v>
      </c>
      <c r="B208" s="20" t="s">
        <v>2115</v>
      </c>
      <c r="C208" s="31" t="s">
        <v>2226</v>
      </c>
      <c r="D208" s="49">
        <v>42921</v>
      </c>
      <c r="E208" s="20">
        <v>9.7558279999999993</v>
      </c>
      <c r="F208" s="20">
        <v>49.725133</v>
      </c>
      <c r="K208" s="20" t="s">
        <v>2600</v>
      </c>
      <c r="L208" s="20"/>
      <c r="M208" s="172" t="s">
        <v>3579</v>
      </c>
      <c r="N208" s="20" t="s">
        <v>2713</v>
      </c>
      <c r="O208" s="28">
        <v>1.8E-3</v>
      </c>
      <c r="P208" s="20">
        <v>0</v>
      </c>
      <c r="Q208" s="65">
        <f t="shared" si="14"/>
        <v>1.8E-3</v>
      </c>
      <c r="R208" s="20">
        <v>1.7150000000000001</v>
      </c>
      <c r="S208" s="20">
        <f>3.516+1.03+1.166+2.623</f>
        <v>8.3350000000000009</v>
      </c>
      <c r="T208" s="20">
        <f t="shared" si="15"/>
        <v>14.294525000000002</v>
      </c>
      <c r="W208" s="20" t="s">
        <v>890</v>
      </c>
      <c r="X208" s="20" t="s">
        <v>889</v>
      </c>
      <c r="Y208" s="49">
        <v>42972</v>
      </c>
      <c r="Z208" s="20">
        <f t="shared" si="16"/>
        <v>51</v>
      </c>
    </row>
    <row r="209" spans="1:26">
      <c r="A209" s="20" t="s">
        <v>1115</v>
      </c>
      <c r="B209" s="20" t="s">
        <v>2115</v>
      </c>
      <c r="C209" s="31" t="s">
        <v>2226</v>
      </c>
      <c r="D209" s="49">
        <v>42921</v>
      </c>
      <c r="E209" s="20">
        <v>9.7558279999999993</v>
      </c>
      <c r="F209" s="20">
        <v>49.725133</v>
      </c>
      <c r="K209" s="20" t="s">
        <v>2600</v>
      </c>
      <c r="L209" s="20"/>
      <c r="M209" s="172" t="s">
        <v>3579</v>
      </c>
      <c r="N209" s="20" t="s">
        <v>2713</v>
      </c>
      <c r="O209" s="28">
        <v>1.6000000000000001E-3</v>
      </c>
      <c r="P209" s="20">
        <v>0</v>
      </c>
      <c r="Q209" s="65">
        <f t="shared" ref="Q209:Q225" si="17">O209</f>
        <v>1.6000000000000001E-3</v>
      </c>
      <c r="R209" s="20">
        <v>1.7190000000000001</v>
      </c>
      <c r="S209" s="20">
        <f>5+3.596</f>
        <v>8.5960000000000001</v>
      </c>
      <c r="T209" s="20">
        <f t="shared" si="15"/>
        <v>14.776524</v>
      </c>
      <c r="W209" s="20" t="s">
        <v>890</v>
      </c>
      <c r="X209" s="20" t="s">
        <v>889</v>
      </c>
      <c r="Y209" s="49">
        <v>42972</v>
      </c>
      <c r="Z209" s="20">
        <f t="shared" si="16"/>
        <v>51</v>
      </c>
    </row>
    <row r="210" spans="1:26">
      <c r="A210" s="20" t="s">
        <v>1114</v>
      </c>
      <c r="B210" s="20" t="s">
        <v>2115</v>
      </c>
      <c r="C210" s="31" t="s">
        <v>2226</v>
      </c>
      <c r="D210" s="49">
        <v>42921</v>
      </c>
      <c r="E210" s="20">
        <v>9.7558279999999993</v>
      </c>
      <c r="F210" s="20">
        <v>49.725133</v>
      </c>
      <c r="K210" s="20" t="s">
        <v>2600</v>
      </c>
      <c r="L210" s="20"/>
      <c r="M210" s="172" t="s">
        <v>3579</v>
      </c>
      <c r="N210" s="20" t="s">
        <v>2713</v>
      </c>
      <c r="O210" s="28">
        <v>1.1999999999999999E-3</v>
      </c>
      <c r="P210" s="20">
        <v>0</v>
      </c>
      <c r="Q210" s="65">
        <f t="shared" si="17"/>
        <v>1.1999999999999999E-3</v>
      </c>
      <c r="R210" s="20">
        <v>1.472</v>
      </c>
      <c r="S210" s="20">
        <f>3.846+0.879+3.285</f>
        <v>8.01</v>
      </c>
      <c r="T210" s="20">
        <f t="shared" si="15"/>
        <v>11.79072</v>
      </c>
      <c r="W210" s="20" t="s">
        <v>890</v>
      </c>
      <c r="X210" s="20" t="s">
        <v>889</v>
      </c>
      <c r="Y210" s="49">
        <v>42972</v>
      </c>
      <c r="Z210" s="20">
        <f t="shared" si="16"/>
        <v>51</v>
      </c>
    </row>
    <row r="211" spans="1:26">
      <c r="A211" s="20" t="s">
        <v>1113</v>
      </c>
      <c r="B211" s="20" t="s">
        <v>2115</v>
      </c>
      <c r="C211" s="31" t="s">
        <v>2226</v>
      </c>
      <c r="D211" s="49">
        <v>42921</v>
      </c>
      <c r="E211" s="20">
        <v>9.7558279999999993</v>
      </c>
      <c r="F211" s="20">
        <v>49.725133</v>
      </c>
      <c r="K211" s="20" t="s">
        <v>2600</v>
      </c>
      <c r="L211" s="20"/>
      <c r="M211" s="172" t="s">
        <v>3579</v>
      </c>
      <c r="N211" s="20" t="s">
        <v>2713</v>
      </c>
      <c r="O211" s="28">
        <v>1.4E-3</v>
      </c>
      <c r="P211" s="20">
        <v>0</v>
      </c>
      <c r="Q211" s="65">
        <f t="shared" si="17"/>
        <v>1.4E-3</v>
      </c>
      <c r="R211" s="20">
        <v>1.643</v>
      </c>
      <c r="S211" s="20">
        <f>3.373+1.421+3.688</f>
        <v>8.4820000000000011</v>
      </c>
      <c r="T211" s="20">
        <f t="shared" si="15"/>
        <v>13.935926000000002</v>
      </c>
      <c r="W211" s="20" t="s">
        <v>890</v>
      </c>
      <c r="X211" s="20" t="s">
        <v>889</v>
      </c>
      <c r="Y211" s="49">
        <v>42972</v>
      </c>
      <c r="Z211" s="20">
        <f t="shared" si="16"/>
        <v>51</v>
      </c>
    </row>
    <row r="212" spans="1:26">
      <c r="A212" s="20" t="s">
        <v>1112</v>
      </c>
      <c r="B212" s="20" t="s">
        <v>2115</v>
      </c>
      <c r="C212" s="31" t="s">
        <v>2226</v>
      </c>
      <c r="D212" s="49">
        <v>42921</v>
      </c>
      <c r="E212" s="20">
        <v>9.7558279999999993</v>
      </c>
      <c r="F212" s="20">
        <v>49.725133</v>
      </c>
      <c r="K212" s="20" t="s">
        <v>2600</v>
      </c>
      <c r="L212" s="20"/>
      <c r="M212" s="172" t="s">
        <v>3578</v>
      </c>
      <c r="N212" s="20" t="s">
        <v>2713</v>
      </c>
      <c r="O212" s="28">
        <v>1.1000000000000001E-3</v>
      </c>
      <c r="P212" s="20">
        <v>0</v>
      </c>
      <c r="Q212" s="65">
        <f t="shared" si="17"/>
        <v>1.1000000000000001E-3</v>
      </c>
      <c r="R212" s="20">
        <v>1.569</v>
      </c>
      <c r="S212" s="20">
        <f>4.531+1.492+1.839</f>
        <v>7.8620000000000001</v>
      </c>
      <c r="T212" s="20">
        <f t="shared" si="15"/>
        <v>12.335478</v>
      </c>
      <c r="W212" s="20" t="s">
        <v>890</v>
      </c>
      <c r="X212" s="20" t="s">
        <v>889</v>
      </c>
      <c r="Y212" s="49">
        <v>42972</v>
      </c>
      <c r="Z212" s="20">
        <f t="shared" si="16"/>
        <v>51</v>
      </c>
    </row>
    <row r="213" spans="1:26">
      <c r="A213" s="20" t="s">
        <v>1111</v>
      </c>
      <c r="B213" s="20" t="s">
        <v>2115</v>
      </c>
      <c r="C213" s="31" t="s">
        <v>2226</v>
      </c>
      <c r="D213" s="49">
        <v>42921</v>
      </c>
      <c r="E213" s="20">
        <v>9.7558279999999993</v>
      </c>
      <c r="F213" s="20">
        <v>49.725133</v>
      </c>
      <c r="K213" s="20" t="s">
        <v>2600</v>
      </c>
      <c r="L213" s="20"/>
      <c r="M213" s="172" t="s">
        <v>3579</v>
      </c>
      <c r="N213" s="20" t="s">
        <v>2713</v>
      </c>
      <c r="O213" s="28">
        <v>2.2000000000000001E-3</v>
      </c>
      <c r="P213" s="20">
        <v>0</v>
      </c>
      <c r="Q213" s="65">
        <f t="shared" si="17"/>
        <v>2.2000000000000001E-3</v>
      </c>
      <c r="R213" s="20">
        <v>1.696</v>
      </c>
      <c r="S213" s="20">
        <f>4.364+1.649+3.463</f>
        <v>9.4759999999999991</v>
      </c>
      <c r="T213" s="20">
        <f t="shared" si="15"/>
        <v>16.071295999999997</v>
      </c>
      <c r="W213" s="20" t="s">
        <v>890</v>
      </c>
      <c r="X213" s="20" t="s">
        <v>889</v>
      </c>
      <c r="Y213" s="49">
        <v>42972</v>
      </c>
      <c r="Z213" s="20">
        <f t="shared" si="16"/>
        <v>51</v>
      </c>
    </row>
    <row r="214" spans="1:26">
      <c r="A214" s="20" t="s">
        <v>1110</v>
      </c>
      <c r="B214" s="20" t="s">
        <v>2115</v>
      </c>
      <c r="C214" s="31" t="s">
        <v>2226</v>
      </c>
      <c r="D214" s="49">
        <v>42921</v>
      </c>
      <c r="E214" s="20">
        <v>9.7558279999999993</v>
      </c>
      <c r="F214" s="20">
        <v>49.725133</v>
      </c>
      <c r="K214" s="20" t="s">
        <v>2600</v>
      </c>
      <c r="L214" s="20"/>
      <c r="M214" s="172" t="s">
        <v>3579</v>
      </c>
      <c r="N214" s="20" t="s">
        <v>2713</v>
      </c>
      <c r="O214" s="28">
        <v>1.9E-3</v>
      </c>
      <c r="P214" s="20">
        <v>0</v>
      </c>
      <c r="Q214" s="65">
        <f t="shared" si="17"/>
        <v>1.9E-3</v>
      </c>
      <c r="R214" s="20">
        <v>1.8440000000000001</v>
      </c>
      <c r="S214" s="20">
        <f>4.702+0.738+0.946+1.268+2.228</f>
        <v>9.8819999999999997</v>
      </c>
      <c r="T214" s="20">
        <f t="shared" si="15"/>
        <v>18.222408000000001</v>
      </c>
      <c r="W214" s="20" t="s">
        <v>890</v>
      </c>
      <c r="X214" s="20" t="s">
        <v>889</v>
      </c>
      <c r="Y214" s="49">
        <v>42972</v>
      </c>
      <c r="Z214" s="20">
        <f t="shared" si="16"/>
        <v>51</v>
      </c>
    </row>
    <row r="215" spans="1:26">
      <c r="A215" s="20" t="s">
        <v>1109</v>
      </c>
      <c r="B215" s="20" t="s">
        <v>2115</v>
      </c>
      <c r="C215" s="31" t="s">
        <v>2226</v>
      </c>
      <c r="D215" s="49">
        <v>42921</v>
      </c>
      <c r="E215" s="20">
        <v>9.7558279999999993</v>
      </c>
      <c r="F215" s="20">
        <v>49.725133</v>
      </c>
      <c r="K215" s="20" t="s">
        <v>2600</v>
      </c>
      <c r="L215" s="20"/>
      <c r="M215" s="172" t="s">
        <v>3578</v>
      </c>
      <c r="N215" s="20" t="s">
        <v>2713</v>
      </c>
      <c r="O215" s="28">
        <v>8.0000000000000004E-4</v>
      </c>
      <c r="P215" s="20">
        <v>0</v>
      </c>
      <c r="Q215" s="65">
        <f t="shared" si="17"/>
        <v>8.0000000000000004E-4</v>
      </c>
      <c r="R215" s="20">
        <v>1.3580000000000001</v>
      </c>
      <c r="S215" s="20">
        <f>1.266+0.989+1.656+3.259</f>
        <v>7.17</v>
      </c>
      <c r="T215" s="20">
        <f t="shared" si="15"/>
        <v>9.7368600000000001</v>
      </c>
      <c r="W215" s="20" t="s">
        <v>890</v>
      </c>
      <c r="X215" s="20" t="s">
        <v>889</v>
      </c>
      <c r="Y215" s="49">
        <v>42972</v>
      </c>
      <c r="Z215" s="20">
        <f t="shared" si="16"/>
        <v>51</v>
      </c>
    </row>
    <row r="216" spans="1:26">
      <c r="A216" s="20" t="s">
        <v>1108</v>
      </c>
      <c r="B216" s="20" t="s">
        <v>2115</v>
      </c>
      <c r="C216" s="31" t="s">
        <v>2226</v>
      </c>
      <c r="D216" s="49">
        <v>42921</v>
      </c>
      <c r="E216" s="20">
        <v>9.7558279999999993</v>
      </c>
      <c r="F216" s="20">
        <v>49.725133</v>
      </c>
      <c r="K216" s="20" t="s">
        <v>2600</v>
      </c>
      <c r="L216" s="20"/>
      <c r="M216" s="172" t="s">
        <v>3584</v>
      </c>
      <c r="N216" s="20" t="s">
        <v>2713</v>
      </c>
      <c r="O216" s="28">
        <v>1.1000000000000001E-3</v>
      </c>
      <c r="P216" s="20">
        <v>0</v>
      </c>
      <c r="Q216" s="65">
        <f t="shared" si="17"/>
        <v>1.1000000000000001E-3</v>
      </c>
      <c r="R216" s="20">
        <v>1.504</v>
      </c>
      <c r="S216" s="20">
        <f>3.458+0.705+3.209</f>
        <v>7.3719999999999999</v>
      </c>
      <c r="T216" s="20">
        <f t="shared" si="15"/>
        <v>11.087488</v>
      </c>
      <c r="W216" s="20" t="s">
        <v>890</v>
      </c>
      <c r="X216" s="20" t="s">
        <v>889</v>
      </c>
      <c r="Y216" s="49">
        <v>42972</v>
      </c>
      <c r="Z216" s="20">
        <f t="shared" si="16"/>
        <v>51</v>
      </c>
    </row>
    <row r="217" spans="1:26">
      <c r="A217" s="20" t="s">
        <v>1107</v>
      </c>
      <c r="B217" s="20" t="s">
        <v>2115</v>
      </c>
      <c r="C217" s="31" t="s">
        <v>2226</v>
      </c>
      <c r="D217" s="49">
        <v>42921</v>
      </c>
      <c r="E217" s="20">
        <v>9.7558279999999993</v>
      </c>
      <c r="F217" s="20">
        <v>49.725133</v>
      </c>
      <c r="K217" s="20" t="s">
        <v>892</v>
      </c>
      <c r="L217" s="20"/>
      <c r="M217" s="172" t="s">
        <v>3574</v>
      </c>
      <c r="N217" s="20" t="s">
        <v>2713</v>
      </c>
      <c r="O217" s="28">
        <v>4.1999999999999997E-3</v>
      </c>
      <c r="P217" s="20">
        <v>0</v>
      </c>
      <c r="Q217" s="65">
        <f t="shared" si="17"/>
        <v>4.1999999999999997E-3</v>
      </c>
      <c r="R217" s="20">
        <v>2.1579999999999999</v>
      </c>
      <c r="S217" s="20">
        <f>2.503+1.669+1.355+1.157+4.368</f>
        <v>11.052000000000001</v>
      </c>
      <c r="T217" s="20">
        <f t="shared" si="15"/>
        <v>23.850216000000003</v>
      </c>
      <c r="W217" s="20" t="s">
        <v>890</v>
      </c>
      <c r="X217" s="20" t="s">
        <v>889</v>
      </c>
      <c r="Y217" s="49">
        <v>42972</v>
      </c>
      <c r="Z217" s="20">
        <f t="shared" si="16"/>
        <v>51</v>
      </c>
    </row>
    <row r="218" spans="1:26">
      <c r="A218" s="20" t="s">
        <v>1106</v>
      </c>
      <c r="B218" s="20" t="s">
        <v>2115</v>
      </c>
      <c r="C218" s="31" t="s">
        <v>2226</v>
      </c>
      <c r="D218" s="49">
        <v>42921</v>
      </c>
      <c r="E218" s="20">
        <v>9.7558279999999993</v>
      </c>
      <c r="F218" s="20">
        <v>49.725133</v>
      </c>
      <c r="K218" s="20" t="s">
        <v>2600</v>
      </c>
      <c r="L218" s="20"/>
      <c r="M218" s="172" t="s">
        <v>3579</v>
      </c>
      <c r="N218" s="20" t="s">
        <v>2713</v>
      </c>
      <c r="O218" s="28">
        <v>1.6000000000000001E-3</v>
      </c>
      <c r="P218" s="20">
        <v>0</v>
      </c>
      <c r="Q218" s="65">
        <f t="shared" si="17"/>
        <v>1.6000000000000001E-3</v>
      </c>
      <c r="R218" s="20">
        <v>1.6830000000000001</v>
      </c>
      <c r="S218" s="20">
        <f>4.043+0.957+3.342</f>
        <v>8.3420000000000005</v>
      </c>
      <c r="T218" s="20">
        <f t="shared" si="15"/>
        <v>14.039586000000002</v>
      </c>
      <c r="W218" s="20" t="s">
        <v>890</v>
      </c>
      <c r="X218" s="20" t="s">
        <v>889</v>
      </c>
      <c r="Y218" s="49">
        <v>42972</v>
      </c>
      <c r="Z218" s="20">
        <f t="shared" si="16"/>
        <v>51</v>
      </c>
    </row>
    <row r="219" spans="1:26">
      <c r="A219" s="20" t="s">
        <v>1105</v>
      </c>
      <c r="B219" s="20" t="s">
        <v>2115</v>
      </c>
      <c r="C219" s="31" t="s">
        <v>2226</v>
      </c>
      <c r="D219" s="49">
        <v>42921</v>
      </c>
      <c r="E219" s="20">
        <v>9.7558279999999993</v>
      </c>
      <c r="F219" s="20">
        <v>49.725133</v>
      </c>
      <c r="K219" s="20" t="s">
        <v>2600</v>
      </c>
      <c r="L219" s="20"/>
      <c r="M219" s="172" t="s">
        <v>3579</v>
      </c>
      <c r="N219" s="20" t="s">
        <v>2713</v>
      </c>
      <c r="O219" s="28">
        <v>1.1000000000000001E-3</v>
      </c>
      <c r="P219" s="20">
        <v>0</v>
      </c>
      <c r="Q219" s="65">
        <f t="shared" si="17"/>
        <v>1.1000000000000001E-3</v>
      </c>
      <c r="R219" s="20">
        <v>1.665</v>
      </c>
      <c r="S219" s="20">
        <f>4.262+0.865+3.597</f>
        <v>8.7240000000000002</v>
      </c>
      <c r="T219" s="20">
        <f t="shared" si="15"/>
        <v>14.525460000000001</v>
      </c>
      <c r="W219" s="20" t="s">
        <v>890</v>
      </c>
      <c r="X219" s="20" t="s">
        <v>889</v>
      </c>
      <c r="Y219" s="49">
        <v>42972</v>
      </c>
      <c r="Z219" s="20">
        <f t="shared" si="16"/>
        <v>51</v>
      </c>
    </row>
    <row r="220" spans="1:26">
      <c r="A220" s="20" t="s">
        <v>1104</v>
      </c>
      <c r="B220" s="20" t="s">
        <v>2115</v>
      </c>
      <c r="C220" s="31" t="s">
        <v>2226</v>
      </c>
      <c r="D220" s="49">
        <v>42921</v>
      </c>
      <c r="E220" s="20">
        <v>9.7558279999999993</v>
      </c>
      <c r="F220" s="20">
        <v>49.725133</v>
      </c>
      <c r="K220" s="20" t="s">
        <v>2600</v>
      </c>
      <c r="L220" s="20"/>
      <c r="M220" s="172" t="s">
        <v>3578</v>
      </c>
      <c r="N220" s="20" t="s">
        <v>2713</v>
      </c>
      <c r="O220" s="28">
        <v>6.9999999999999999E-4</v>
      </c>
      <c r="P220" s="20">
        <v>0</v>
      </c>
      <c r="Q220" s="65">
        <f t="shared" si="17"/>
        <v>6.9999999999999999E-4</v>
      </c>
      <c r="R220" s="20">
        <v>1.2929999999999999</v>
      </c>
      <c r="S220" s="20">
        <f>3.006+3.597</f>
        <v>6.6029999999999998</v>
      </c>
      <c r="T220" s="20">
        <f t="shared" si="15"/>
        <v>8.5376789999999989</v>
      </c>
      <c r="W220" s="20" t="s">
        <v>890</v>
      </c>
      <c r="X220" s="20" t="s">
        <v>889</v>
      </c>
      <c r="Y220" s="49">
        <v>42972</v>
      </c>
      <c r="Z220" s="20">
        <f t="shared" si="16"/>
        <v>51</v>
      </c>
    </row>
    <row r="221" spans="1:26">
      <c r="A221" s="20" t="s">
        <v>1103</v>
      </c>
      <c r="B221" s="20" t="s">
        <v>2115</v>
      </c>
      <c r="C221" s="31" t="s">
        <v>2226</v>
      </c>
      <c r="D221" s="49">
        <v>42921</v>
      </c>
      <c r="E221" s="20">
        <v>9.7558279999999993</v>
      </c>
      <c r="F221" s="20">
        <v>49.725133</v>
      </c>
      <c r="K221" s="20" t="s">
        <v>2600</v>
      </c>
      <c r="L221" s="20"/>
      <c r="M221" s="172" t="s">
        <v>3579</v>
      </c>
      <c r="N221" s="20" t="s">
        <v>2713</v>
      </c>
      <c r="O221" s="28">
        <v>1.9E-3</v>
      </c>
      <c r="P221" s="20">
        <v>0</v>
      </c>
      <c r="Q221" s="65">
        <f t="shared" si="17"/>
        <v>1.9E-3</v>
      </c>
      <c r="R221" s="20">
        <v>1.6779999999999999</v>
      </c>
      <c r="S221" s="20">
        <f>3.683+0.979+3.349</f>
        <v>8.0109999999999992</v>
      </c>
      <c r="T221" s="20">
        <f t="shared" si="15"/>
        <v>13.442457999999998</v>
      </c>
      <c r="W221" s="20" t="s">
        <v>890</v>
      </c>
      <c r="X221" s="20" t="s">
        <v>889</v>
      </c>
      <c r="Y221" s="49">
        <v>42972</v>
      </c>
      <c r="Z221" s="20">
        <f t="shared" si="16"/>
        <v>51</v>
      </c>
    </row>
    <row r="222" spans="1:26">
      <c r="A222" s="20" t="s">
        <v>1101</v>
      </c>
      <c r="B222" s="20" t="s">
        <v>2115</v>
      </c>
      <c r="C222" s="31" t="s">
        <v>2226</v>
      </c>
      <c r="D222" s="49">
        <v>42921</v>
      </c>
      <c r="E222" s="20">
        <v>9.7558279999999993</v>
      </c>
      <c r="F222" s="20">
        <v>49.725133</v>
      </c>
      <c r="K222" s="20" t="s">
        <v>2600</v>
      </c>
      <c r="L222" s="20"/>
      <c r="M222" s="172" t="s">
        <v>3579</v>
      </c>
      <c r="N222" s="20" t="s">
        <v>2713</v>
      </c>
      <c r="O222" s="28">
        <v>2E-3</v>
      </c>
      <c r="P222" s="20">
        <v>0</v>
      </c>
      <c r="Q222" s="65">
        <f t="shared" si="17"/>
        <v>2E-3</v>
      </c>
      <c r="R222" s="20">
        <v>1.74</v>
      </c>
      <c r="S222" s="20">
        <f>4.105+1.385+2.674</f>
        <v>8.1639999999999997</v>
      </c>
      <c r="T222" s="20">
        <f t="shared" si="15"/>
        <v>14.205359999999999</v>
      </c>
      <c r="W222" s="20" t="s">
        <v>890</v>
      </c>
      <c r="X222" s="20" t="s">
        <v>889</v>
      </c>
      <c r="Y222" s="49">
        <v>42972</v>
      </c>
      <c r="Z222" s="20">
        <f t="shared" si="16"/>
        <v>51</v>
      </c>
    </row>
    <row r="223" spans="1:26">
      <c r="A223" s="20" t="s">
        <v>1100</v>
      </c>
      <c r="B223" s="20" t="s">
        <v>2115</v>
      </c>
      <c r="C223" s="31" t="s">
        <v>2226</v>
      </c>
      <c r="D223" s="49">
        <v>42921</v>
      </c>
      <c r="E223" s="20">
        <v>9.7558279999999993</v>
      </c>
      <c r="F223" s="20">
        <v>49.725133</v>
      </c>
      <c r="K223" s="20" t="s">
        <v>2600</v>
      </c>
      <c r="L223" s="20"/>
      <c r="M223" s="172" t="s">
        <v>3579</v>
      </c>
      <c r="N223" s="20" t="s">
        <v>2713</v>
      </c>
      <c r="O223" s="28">
        <v>1.1999999999999999E-3</v>
      </c>
      <c r="P223" s="20">
        <v>0</v>
      </c>
      <c r="Q223" s="65">
        <f t="shared" si="17"/>
        <v>1.1999999999999999E-3</v>
      </c>
      <c r="R223" s="20">
        <v>1.659</v>
      </c>
      <c r="S223" s="20">
        <f>4.268+1.237+2.742</f>
        <v>8.2469999999999999</v>
      </c>
      <c r="T223" s="20">
        <f t="shared" si="15"/>
        <v>13.681773</v>
      </c>
      <c r="W223" s="20" t="s">
        <v>890</v>
      </c>
      <c r="X223" s="20" t="s">
        <v>889</v>
      </c>
      <c r="Y223" s="49">
        <v>42972</v>
      </c>
      <c r="Z223" s="20">
        <f t="shared" si="16"/>
        <v>51</v>
      </c>
    </row>
    <row r="224" spans="1:26">
      <c r="A224" s="20" t="s">
        <v>1099</v>
      </c>
      <c r="B224" s="20" t="s">
        <v>2115</v>
      </c>
      <c r="C224" s="31" t="s">
        <v>2226</v>
      </c>
      <c r="D224" s="49">
        <v>42921</v>
      </c>
      <c r="E224" s="20">
        <v>9.7558279999999993</v>
      </c>
      <c r="F224" s="20">
        <v>49.725133</v>
      </c>
      <c r="K224" s="20" t="s">
        <v>2600</v>
      </c>
      <c r="L224" s="20"/>
      <c r="M224" s="172" t="s">
        <v>3579</v>
      </c>
      <c r="N224" s="20" t="s">
        <v>2713</v>
      </c>
      <c r="O224" s="28">
        <v>1.8E-3</v>
      </c>
      <c r="P224" s="20">
        <v>0</v>
      </c>
      <c r="Q224" s="65">
        <f t="shared" si="17"/>
        <v>1.8E-3</v>
      </c>
      <c r="R224" s="20">
        <v>1.679</v>
      </c>
      <c r="S224" s="20">
        <f>3.62+0.746+3.468</f>
        <v>7.8339999999999996</v>
      </c>
      <c r="T224" s="20">
        <f t="shared" si="15"/>
        <v>13.153286</v>
      </c>
      <c r="W224" s="20" t="s">
        <v>890</v>
      </c>
      <c r="X224" s="20" t="s">
        <v>889</v>
      </c>
      <c r="Y224" s="49">
        <v>42972</v>
      </c>
      <c r="Z224" s="20">
        <f t="shared" si="16"/>
        <v>51</v>
      </c>
    </row>
    <row r="225" spans="1:26">
      <c r="A225" s="20" t="s">
        <v>1098</v>
      </c>
      <c r="B225" s="20" t="s">
        <v>2115</v>
      </c>
      <c r="C225" s="31" t="s">
        <v>2226</v>
      </c>
      <c r="D225" s="49">
        <v>42921</v>
      </c>
      <c r="E225" s="20">
        <v>9.7558279999999993</v>
      </c>
      <c r="F225" s="20">
        <v>49.725133</v>
      </c>
      <c r="K225" s="20" t="s">
        <v>2600</v>
      </c>
      <c r="L225" s="20"/>
      <c r="M225" s="172" t="s">
        <v>3579</v>
      </c>
      <c r="N225" s="20" t="s">
        <v>2713</v>
      </c>
      <c r="O225" s="28">
        <v>1.6000000000000001E-3</v>
      </c>
      <c r="P225" s="20">
        <v>0</v>
      </c>
      <c r="Q225" s="65">
        <f t="shared" si="17"/>
        <v>1.6000000000000001E-3</v>
      </c>
      <c r="R225" s="20">
        <v>1.629</v>
      </c>
      <c r="S225" s="20">
        <f>5.068+3.62</f>
        <v>8.6879999999999988</v>
      </c>
      <c r="T225" s="20">
        <f t="shared" si="15"/>
        <v>14.152751999999998</v>
      </c>
      <c r="W225" s="20" t="s">
        <v>890</v>
      </c>
      <c r="X225" s="20" t="s">
        <v>889</v>
      </c>
      <c r="Y225" s="49">
        <v>42972</v>
      </c>
      <c r="Z225" s="20">
        <f t="shared" si="16"/>
        <v>51</v>
      </c>
    </row>
    <row r="226" spans="1:26">
      <c r="A226" s="20" t="s">
        <v>1096</v>
      </c>
      <c r="B226" s="20" t="s">
        <v>2115</v>
      </c>
      <c r="C226" s="31" t="s">
        <v>2233</v>
      </c>
      <c r="D226" s="49">
        <v>42856</v>
      </c>
      <c r="E226" s="9">
        <v>10.086428</v>
      </c>
      <c r="F226" s="9">
        <v>49.909314000000002</v>
      </c>
      <c r="G226" t="s">
        <v>1687</v>
      </c>
      <c r="H226" t="s">
        <v>2563</v>
      </c>
      <c r="I226" t="s">
        <v>2814</v>
      </c>
      <c r="K226" s="20" t="s">
        <v>907</v>
      </c>
      <c r="L226" s="20"/>
      <c r="M226" s="172" t="s">
        <v>1710</v>
      </c>
      <c r="N226" s="20" t="s">
        <v>2713</v>
      </c>
      <c r="O226" s="50">
        <v>0.16700000000000001</v>
      </c>
      <c r="P226" s="28">
        <v>3.6903999999999992E-2</v>
      </c>
      <c r="Q226" s="65">
        <f t="shared" ref="Q226:Q289" si="18">O226-P226</f>
        <v>0.13009600000000002</v>
      </c>
      <c r="R226" s="20">
        <v>7.9530000000000003</v>
      </c>
      <c r="S226" s="20">
        <f>11.973+5.364+7.756</f>
        <v>25.093</v>
      </c>
      <c r="T226" s="20">
        <f t="shared" si="15"/>
        <v>199.564629</v>
      </c>
      <c r="W226" s="20" t="s">
        <v>887</v>
      </c>
      <c r="X226" s="20" t="s">
        <v>886</v>
      </c>
      <c r="Y226" s="20" t="s">
        <v>36</v>
      </c>
      <c r="Z226" s="20" t="s">
        <v>36</v>
      </c>
    </row>
    <row r="227" spans="1:26">
      <c r="A227" s="20" t="s">
        <v>1095</v>
      </c>
      <c r="B227" s="20" t="s">
        <v>2115</v>
      </c>
      <c r="C227" s="31" t="s">
        <v>2232</v>
      </c>
      <c r="D227" s="49">
        <v>42888</v>
      </c>
      <c r="E227" s="9">
        <v>10.065003000000001</v>
      </c>
      <c r="F227" s="9">
        <v>49.916336000000001</v>
      </c>
      <c r="G227" t="s">
        <v>1687</v>
      </c>
      <c r="H227" t="s">
        <v>2563</v>
      </c>
      <c r="I227" t="s">
        <v>2814</v>
      </c>
      <c r="K227" s="20" t="s">
        <v>907</v>
      </c>
      <c r="L227" s="20"/>
      <c r="M227" s="172" t="s">
        <v>2582</v>
      </c>
      <c r="N227" s="20" t="s">
        <v>2713</v>
      </c>
      <c r="O227" s="28">
        <v>0.1024</v>
      </c>
      <c r="P227" s="28">
        <v>3.6903999999999992E-2</v>
      </c>
      <c r="Q227" s="65">
        <f t="shared" si="18"/>
        <v>6.5496000000000013E-2</v>
      </c>
      <c r="R227" s="20">
        <v>6.3550000000000004</v>
      </c>
      <c r="S227" s="20">
        <f>9.735+9.724</f>
        <v>19.459</v>
      </c>
      <c r="T227" s="20">
        <f t="shared" si="15"/>
        <v>123.661945</v>
      </c>
      <c r="W227" s="20" t="s">
        <v>887</v>
      </c>
      <c r="X227" s="20" t="s">
        <v>886</v>
      </c>
      <c r="Y227" s="20" t="s">
        <v>36</v>
      </c>
      <c r="Z227" s="20" t="s">
        <v>36</v>
      </c>
    </row>
    <row r="228" spans="1:26">
      <c r="A228" s="20" t="s">
        <v>1094</v>
      </c>
      <c r="B228" s="20" t="s">
        <v>2115</v>
      </c>
      <c r="C228" s="31" t="s">
        <v>2230</v>
      </c>
      <c r="D228" s="49">
        <v>42902</v>
      </c>
      <c r="E228" s="9">
        <v>10.124091999999999</v>
      </c>
      <c r="F228" s="9">
        <v>49.906236</v>
      </c>
      <c r="G228" t="s">
        <v>1687</v>
      </c>
      <c r="H228" t="s">
        <v>2563</v>
      </c>
      <c r="I228" t="s">
        <v>2814</v>
      </c>
      <c r="K228" s="20" t="s">
        <v>907</v>
      </c>
      <c r="L228" s="20"/>
      <c r="M228" s="172" t="s">
        <v>1705</v>
      </c>
      <c r="N228" s="20" t="s">
        <v>3620</v>
      </c>
      <c r="O228" s="28">
        <v>9.4200000000000006E-2</v>
      </c>
      <c r="P228" s="28">
        <v>3.6903999999999992E-2</v>
      </c>
      <c r="Q228" s="65">
        <f t="shared" si="18"/>
        <v>5.7296000000000014E-2</v>
      </c>
      <c r="R228" s="20">
        <v>5.7080000000000002</v>
      </c>
      <c r="S228" s="20">
        <f>9.39+9.313</f>
        <v>18.703000000000003</v>
      </c>
      <c r="T228" s="20">
        <f t="shared" si="15"/>
        <v>106.75672400000002</v>
      </c>
      <c r="W228" s="20" t="s">
        <v>887</v>
      </c>
      <c r="X228" s="20" t="s">
        <v>886</v>
      </c>
      <c r="Y228" s="20" t="s">
        <v>36</v>
      </c>
      <c r="Z228" s="20" t="s">
        <v>36</v>
      </c>
    </row>
    <row r="229" spans="1:26">
      <c r="A229" s="20" t="s">
        <v>1093</v>
      </c>
      <c r="B229" s="20" t="s">
        <v>2115</v>
      </c>
      <c r="C229" s="31" t="s">
        <v>2244</v>
      </c>
      <c r="D229" s="49">
        <v>42872</v>
      </c>
      <c r="E229" s="9">
        <v>10.017931000000001</v>
      </c>
      <c r="F229" s="9">
        <v>49.935696999999998</v>
      </c>
      <c r="G229" t="s">
        <v>1687</v>
      </c>
      <c r="H229" t="s">
        <v>2563</v>
      </c>
      <c r="I229" t="s">
        <v>2814</v>
      </c>
      <c r="K229" s="20" t="s">
        <v>907</v>
      </c>
      <c r="L229" s="20"/>
      <c r="M229" s="172" t="s">
        <v>1722</v>
      </c>
      <c r="N229" s="20" t="s">
        <v>2713</v>
      </c>
      <c r="O229" s="28">
        <v>0.2495</v>
      </c>
      <c r="P229" s="28">
        <v>3.6903999999999992E-2</v>
      </c>
      <c r="Q229" s="65">
        <f t="shared" si="18"/>
        <v>0.21259600000000001</v>
      </c>
      <c r="R229" s="20">
        <v>8.9879999999999995</v>
      </c>
      <c r="S229" s="20">
        <f>15.65+8.988+6.849</f>
        <v>31.486999999999998</v>
      </c>
      <c r="T229" s="20">
        <f t="shared" si="15"/>
        <v>283.00515599999994</v>
      </c>
      <c r="W229" s="20" t="s">
        <v>887</v>
      </c>
      <c r="X229" s="20" t="s">
        <v>886</v>
      </c>
      <c r="Y229" s="20" t="s">
        <v>36</v>
      </c>
      <c r="Z229" s="20" t="s">
        <v>36</v>
      </c>
    </row>
    <row r="230" spans="1:26" s="57" customFormat="1">
      <c r="A230" s="20" t="s">
        <v>1092</v>
      </c>
      <c r="B230" s="20" t="s">
        <v>2115</v>
      </c>
      <c r="C230" s="31" t="s">
        <v>2228</v>
      </c>
      <c r="D230" s="49">
        <v>42872</v>
      </c>
      <c r="E230" s="9">
        <v>10.050008</v>
      </c>
      <c r="F230" s="9">
        <v>49.941994000000001</v>
      </c>
      <c r="G230" t="s">
        <v>1687</v>
      </c>
      <c r="H230" t="s">
        <v>2563</v>
      </c>
      <c r="I230" t="s">
        <v>2814</v>
      </c>
      <c r="J230" s="20"/>
      <c r="K230" s="20" t="s">
        <v>907</v>
      </c>
      <c r="L230" s="20"/>
      <c r="M230" s="172" t="s">
        <v>1710</v>
      </c>
      <c r="N230" s="20" t="s">
        <v>2713</v>
      </c>
      <c r="O230" s="28">
        <v>0.14749999999999999</v>
      </c>
      <c r="P230" s="28">
        <v>3.6903999999999992E-2</v>
      </c>
      <c r="Q230" s="65">
        <f t="shared" si="18"/>
        <v>0.110596</v>
      </c>
      <c r="R230" s="20">
        <v>7.4219999999999997</v>
      </c>
      <c r="S230" s="20">
        <f>12.344+12.386</f>
        <v>24.729999999999997</v>
      </c>
      <c r="T230" s="20">
        <f t="shared" si="15"/>
        <v>183.54605999999998</v>
      </c>
      <c r="U230" s="20"/>
      <c r="V230" s="20"/>
      <c r="W230" s="20" t="s">
        <v>887</v>
      </c>
      <c r="X230" s="20" t="s">
        <v>886</v>
      </c>
      <c r="Y230" s="20" t="s">
        <v>36</v>
      </c>
      <c r="Z230" s="20" t="s">
        <v>36</v>
      </c>
    </row>
    <row r="231" spans="1:26">
      <c r="A231" s="20" t="s">
        <v>1091</v>
      </c>
      <c r="B231" s="20" t="s">
        <v>2115</v>
      </c>
      <c r="C231" s="31" t="s">
        <v>2235</v>
      </c>
      <c r="D231" s="49">
        <v>42902</v>
      </c>
      <c r="E231" s="9">
        <v>10.057294000000001</v>
      </c>
      <c r="F231" s="9">
        <v>49.902307999999998</v>
      </c>
      <c r="G231" t="s">
        <v>1687</v>
      </c>
      <c r="H231" t="s">
        <v>2563</v>
      </c>
      <c r="I231" t="s">
        <v>2814</v>
      </c>
      <c r="K231" s="20" t="s">
        <v>907</v>
      </c>
      <c r="L231" s="20"/>
      <c r="M231" s="172" t="s">
        <v>1705</v>
      </c>
      <c r="N231" s="20" t="s">
        <v>3620</v>
      </c>
      <c r="O231" s="28">
        <v>0.1134</v>
      </c>
      <c r="P231" s="28">
        <v>3.6903999999999992E-2</v>
      </c>
      <c r="Q231" s="65">
        <f t="shared" si="18"/>
        <v>7.6496000000000008E-2</v>
      </c>
      <c r="R231" s="20">
        <v>6.2160000000000002</v>
      </c>
      <c r="S231" s="20">
        <f>10.125+9.16</f>
        <v>19.285</v>
      </c>
      <c r="T231" s="20">
        <f t="shared" si="15"/>
        <v>119.87556000000001</v>
      </c>
      <c r="W231" s="20" t="s">
        <v>887</v>
      </c>
      <c r="X231" s="20" t="s">
        <v>886</v>
      </c>
      <c r="Y231" s="20" t="s">
        <v>36</v>
      </c>
      <c r="Z231" s="20" t="s">
        <v>36</v>
      </c>
    </row>
    <row r="232" spans="1:26">
      <c r="A232" s="20" t="s">
        <v>1090</v>
      </c>
      <c r="B232" s="20" t="s">
        <v>2115</v>
      </c>
      <c r="C232" s="31" t="s">
        <v>2233</v>
      </c>
      <c r="D232" s="49">
        <v>42856</v>
      </c>
      <c r="E232" s="9">
        <v>10.086428</v>
      </c>
      <c r="F232" s="9">
        <v>49.909314000000002</v>
      </c>
      <c r="G232" t="s">
        <v>1687</v>
      </c>
      <c r="H232" t="s">
        <v>2563</v>
      </c>
      <c r="I232" t="s">
        <v>2814</v>
      </c>
      <c r="K232" s="20" t="s">
        <v>907</v>
      </c>
      <c r="L232" s="20"/>
      <c r="M232" s="172" t="s">
        <v>1710</v>
      </c>
      <c r="N232" s="20" t="s">
        <v>2713</v>
      </c>
      <c r="O232" s="28">
        <v>0.15559999999999999</v>
      </c>
      <c r="P232" s="28">
        <v>3.6903999999999992E-2</v>
      </c>
      <c r="Q232" s="65">
        <f t="shared" si="18"/>
        <v>0.118696</v>
      </c>
      <c r="R232" s="20">
        <v>7.8810000000000002</v>
      </c>
      <c r="S232" s="20">
        <f>13.006+5.212+5.796</f>
        <v>24.013999999999999</v>
      </c>
      <c r="T232" s="20">
        <f t="shared" si="15"/>
        <v>189.254334</v>
      </c>
      <c r="W232" s="20" t="s">
        <v>887</v>
      </c>
      <c r="X232" s="20" t="s">
        <v>886</v>
      </c>
      <c r="Y232" s="20" t="s">
        <v>36</v>
      </c>
      <c r="Z232" s="20" t="s">
        <v>36</v>
      </c>
    </row>
    <row r="233" spans="1:26">
      <c r="A233" s="20" t="s">
        <v>1089</v>
      </c>
      <c r="B233" s="20" t="s">
        <v>2115</v>
      </c>
      <c r="C233" s="31" t="s">
        <v>2228</v>
      </c>
      <c r="D233" s="49">
        <v>42902</v>
      </c>
      <c r="E233" s="9">
        <v>10.050008</v>
      </c>
      <c r="F233" s="9">
        <v>49.941994000000001</v>
      </c>
      <c r="G233" t="s">
        <v>1687</v>
      </c>
      <c r="H233" t="s">
        <v>2563</v>
      </c>
      <c r="I233" t="s">
        <v>2814</v>
      </c>
      <c r="K233" s="20" t="s">
        <v>907</v>
      </c>
      <c r="L233" s="20"/>
      <c r="M233" s="172" t="s">
        <v>1705</v>
      </c>
      <c r="N233" s="20" t="s">
        <v>3620</v>
      </c>
      <c r="O233" s="28">
        <v>0.1079</v>
      </c>
      <c r="P233" s="28">
        <v>3.6903999999999992E-2</v>
      </c>
      <c r="Q233" s="65">
        <f t="shared" si="18"/>
        <v>7.0996000000000004E-2</v>
      </c>
      <c r="R233" s="20">
        <v>6.5030000000000001</v>
      </c>
      <c r="S233" s="20">
        <f>10.792+11.687</f>
        <v>22.478999999999999</v>
      </c>
      <c r="T233" s="20">
        <f t="shared" si="15"/>
        <v>146.180937</v>
      </c>
      <c r="W233" s="20" t="s">
        <v>887</v>
      </c>
      <c r="X233" s="20" t="s">
        <v>886</v>
      </c>
      <c r="Y233" s="20" t="s">
        <v>36</v>
      </c>
      <c r="Z233" s="20" t="s">
        <v>36</v>
      </c>
    </row>
    <row r="234" spans="1:26">
      <c r="A234" s="20" t="s">
        <v>1088</v>
      </c>
      <c r="B234" s="20" t="s">
        <v>2115</v>
      </c>
      <c r="C234" s="31" t="s">
        <v>2236</v>
      </c>
      <c r="D234" s="49">
        <v>42888</v>
      </c>
      <c r="E234" s="9">
        <v>10.022767</v>
      </c>
      <c r="F234" s="9">
        <v>49.938633000000003</v>
      </c>
      <c r="G234" t="s">
        <v>1687</v>
      </c>
      <c r="H234" t="s">
        <v>2563</v>
      </c>
      <c r="I234" t="s">
        <v>2814</v>
      </c>
      <c r="K234" s="20" t="s">
        <v>907</v>
      </c>
      <c r="L234" s="20"/>
      <c r="M234" s="172" t="s">
        <v>1705</v>
      </c>
      <c r="N234" s="20" t="s">
        <v>3620</v>
      </c>
      <c r="O234" s="28">
        <v>8.7900000000000006E-2</v>
      </c>
      <c r="P234" s="28">
        <v>3.6903999999999992E-2</v>
      </c>
      <c r="Q234" s="65">
        <f t="shared" si="18"/>
        <v>5.0996000000000014E-2</v>
      </c>
      <c r="R234" s="20">
        <v>5.9560000000000004</v>
      </c>
      <c r="S234" s="20">
        <f>4.887+3.017+4.978+6.01</f>
        <v>18.891999999999999</v>
      </c>
      <c r="T234" s="20">
        <f t="shared" si="15"/>
        <v>112.520752</v>
      </c>
      <c r="W234" s="20" t="s">
        <v>887</v>
      </c>
      <c r="X234" s="20" t="s">
        <v>886</v>
      </c>
      <c r="Y234" s="20" t="s">
        <v>36</v>
      </c>
      <c r="Z234" s="20" t="s">
        <v>36</v>
      </c>
    </row>
    <row r="235" spans="1:26">
      <c r="A235" s="20" t="s">
        <v>1087</v>
      </c>
      <c r="B235" s="20" t="s">
        <v>2115</v>
      </c>
      <c r="C235" s="31" t="s">
        <v>2230</v>
      </c>
      <c r="D235" s="49">
        <v>42902</v>
      </c>
      <c r="E235" s="9">
        <v>10.124091999999999</v>
      </c>
      <c r="F235" s="9">
        <v>49.906236</v>
      </c>
      <c r="G235" t="s">
        <v>1687</v>
      </c>
      <c r="H235" t="s">
        <v>2563</v>
      </c>
      <c r="I235" t="s">
        <v>2814</v>
      </c>
      <c r="K235" s="20" t="s">
        <v>907</v>
      </c>
      <c r="L235" s="20"/>
      <c r="M235" s="172" t="s">
        <v>2582</v>
      </c>
      <c r="N235" s="20" t="s">
        <v>3620</v>
      </c>
      <c r="O235" s="28">
        <v>8.3000000000000004E-2</v>
      </c>
      <c r="P235" s="28">
        <v>3.6903999999999992E-2</v>
      </c>
      <c r="Q235" s="65">
        <f t="shared" si="18"/>
        <v>4.6096000000000012E-2</v>
      </c>
      <c r="R235" s="20">
        <v>5.6609999999999996</v>
      </c>
      <c r="S235" s="20">
        <f>7.709+8.231</f>
        <v>15.94</v>
      </c>
      <c r="T235" s="20">
        <f t="shared" si="15"/>
        <v>90.236339999999984</v>
      </c>
      <c r="W235" s="20" t="s">
        <v>887</v>
      </c>
      <c r="X235" s="20" t="s">
        <v>886</v>
      </c>
      <c r="Y235" s="20" t="s">
        <v>36</v>
      </c>
      <c r="Z235" s="20" t="s">
        <v>36</v>
      </c>
    </row>
    <row r="236" spans="1:26">
      <c r="A236" s="20" t="s">
        <v>1086</v>
      </c>
      <c r="B236" s="20" t="s">
        <v>2115</v>
      </c>
      <c r="C236" s="31" t="s">
        <v>2233</v>
      </c>
      <c r="D236" s="49">
        <v>42856</v>
      </c>
      <c r="E236" s="9">
        <v>10.086428</v>
      </c>
      <c r="F236" s="9">
        <v>49.909314000000002</v>
      </c>
      <c r="G236" t="s">
        <v>1687</v>
      </c>
      <c r="H236" t="s">
        <v>2563</v>
      </c>
      <c r="I236" t="s">
        <v>2814</v>
      </c>
      <c r="K236" s="20" t="s">
        <v>907</v>
      </c>
      <c r="L236" s="20"/>
      <c r="M236" s="172" t="s">
        <v>1710</v>
      </c>
      <c r="N236" s="20" t="s">
        <v>2713</v>
      </c>
      <c r="O236" s="28">
        <v>0.15870000000000001</v>
      </c>
      <c r="P236" s="28">
        <v>3.6903999999999992E-2</v>
      </c>
      <c r="Q236" s="65">
        <f t="shared" si="18"/>
        <v>0.12179600000000002</v>
      </c>
      <c r="R236" s="20">
        <v>7.5149999999999997</v>
      </c>
      <c r="S236" s="20">
        <f>11.19+4.963+6.617</f>
        <v>22.77</v>
      </c>
      <c r="T236" s="20">
        <f t="shared" si="15"/>
        <v>171.11654999999999</v>
      </c>
      <c r="W236" s="20" t="s">
        <v>887</v>
      </c>
      <c r="X236" s="20" t="s">
        <v>886</v>
      </c>
      <c r="Y236" s="20" t="s">
        <v>36</v>
      </c>
      <c r="Z236" s="20" t="s">
        <v>36</v>
      </c>
    </row>
    <row r="237" spans="1:26">
      <c r="A237" s="20" t="s">
        <v>1085</v>
      </c>
      <c r="B237" s="20" t="s">
        <v>2115</v>
      </c>
      <c r="C237" s="31" t="s">
        <v>2237</v>
      </c>
      <c r="D237" s="49">
        <v>42902</v>
      </c>
      <c r="E237" s="9">
        <v>10.045693999999999</v>
      </c>
      <c r="F237" s="9">
        <v>49.896189</v>
      </c>
      <c r="G237" t="s">
        <v>1687</v>
      </c>
      <c r="H237" t="s">
        <v>2563</v>
      </c>
      <c r="I237" t="s">
        <v>2814</v>
      </c>
      <c r="K237" s="20" t="s">
        <v>907</v>
      </c>
      <c r="L237" s="20"/>
      <c r="M237" s="172" t="s">
        <v>1705</v>
      </c>
      <c r="N237" s="20" t="s">
        <v>3620</v>
      </c>
      <c r="O237" s="28">
        <v>0.1143</v>
      </c>
      <c r="P237" s="28">
        <v>3.6903999999999992E-2</v>
      </c>
      <c r="Q237" s="65">
        <f t="shared" si="18"/>
        <v>7.7396000000000006E-2</v>
      </c>
      <c r="R237" s="20">
        <v>5.8150000000000004</v>
      </c>
      <c r="S237" s="20">
        <f>11.074+12.38</f>
        <v>23.454000000000001</v>
      </c>
      <c r="T237" s="20">
        <f t="shared" si="15"/>
        <v>136.38501000000002</v>
      </c>
      <c r="W237" s="20" t="s">
        <v>887</v>
      </c>
      <c r="X237" s="20" t="s">
        <v>886</v>
      </c>
      <c r="Y237" s="20" t="s">
        <v>36</v>
      </c>
      <c r="Z237" s="20" t="s">
        <v>36</v>
      </c>
    </row>
    <row r="238" spans="1:26">
      <c r="A238" s="20" t="s">
        <v>1084</v>
      </c>
      <c r="B238" s="20" t="s">
        <v>2115</v>
      </c>
      <c r="C238" s="31" t="s">
        <v>2233</v>
      </c>
      <c r="D238" s="49">
        <v>42872</v>
      </c>
      <c r="E238" s="9">
        <v>10.086428</v>
      </c>
      <c r="F238" s="9">
        <v>49.909314000000002</v>
      </c>
      <c r="G238" t="s">
        <v>1687</v>
      </c>
      <c r="H238" t="s">
        <v>2563</v>
      </c>
      <c r="I238" t="s">
        <v>2814</v>
      </c>
      <c r="K238" s="20" t="s">
        <v>907</v>
      </c>
      <c r="L238" s="20"/>
      <c r="M238" s="172" t="s">
        <v>1705</v>
      </c>
      <c r="N238" s="20" t="s">
        <v>3620</v>
      </c>
      <c r="O238" s="28">
        <v>9.9299999999999999E-2</v>
      </c>
      <c r="P238" s="28">
        <v>3.6903999999999992E-2</v>
      </c>
      <c r="Q238" s="65">
        <f t="shared" si="18"/>
        <v>6.2396000000000007E-2</v>
      </c>
      <c r="R238" s="20">
        <v>6.2880000000000003</v>
      </c>
      <c r="S238" s="20">
        <f>13.523+8.665</f>
        <v>22.187999999999999</v>
      </c>
      <c r="T238" s="20">
        <f t="shared" si="15"/>
        <v>139.51814400000001</v>
      </c>
      <c r="W238" s="20" t="s">
        <v>887</v>
      </c>
      <c r="X238" s="20" t="s">
        <v>886</v>
      </c>
      <c r="Y238" s="20" t="s">
        <v>36</v>
      </c>
      <c r="Z238" s="20" t="s">
        <v>36</v>
      </c>
    </row>
    <row r="239" spans="1:26">
      <c r="A239" s="20" t="s">
        <v>1083</v>
      </c>
      <c r="B239" s="20" t="s">
        <v>2115</v>
      </c>
      <c r="C239" s="31" t="s">
        <v>2236</v>
      </c>
      <c r="D239" s="49">
        <v>42902</v>
      </c>
      <c r="E239" s="9">
        <v>10.022767</v>
      </c>
      <c r="F239" s="9">
        <v>49.938633000000003</v>
      </c>
      <c r="G239" t="s">
        <v>1687</v>
      </c>
      <c r="H239" t="s">
        <v>2563</v>
      </c>
      <c r="I239" t="s">
        <v>2814</v>
      </c>
      <c r="K239" s="20" t="s">
        <v>907</v>
      </c>
      <c r="L239" s="20"/>
      <c r="M239" s="172" t="s">
        <v>1722</v>
      </c>
      <c r="N239" s="20" t="s">
        <v>3620</v>
      </c>
      <c r="O239" s="28">
        <v>8.3199999999999996E-2</v>
      </c>
      <c r="P239" s="28">
        <v>3.6903999999999992E-2</v>
      </c>
      <c r="Q239" s="65">
        <f t="shared" si="18"/>
        <v>4.6296000000000004E-2</v>
      </c>
      <c r="R239" s="20">
        <v>5.7850000000000001</v>
      </c>
      <c r="S239" s="20">
        <f>9.602+3.472+2.369+2.674</f>
        <v>18.117000000000001</v>
      </c>
      <c r="T239" s="20">
        <f t="shared" si="15"/>
        <v>104.80684500000001</v>
      </c>
      <c r="W239" s="20" t="s">
        <v>887</v>
      </c>
      <c r="X239" s="20" t="s">
        <v>886</v>
      </c>
      <c r="Y239" s="20" t="s">
        <v>36</v>
      </c>
      <c r="Z239" s="20" t="s">
        <v>36</v>
      </c>
    </row>
    <row r="240" spans="1:26">
      <c r="A240" s="20" t="s">
        <v>1082</v>
      </c>
      <c r="B240" s="20" t="s">
        <v>2115</v>
      </c>
      <c r="C240" s="31" t="s">
        <v>2228</v>
      </c>
      <c r="D240" s="49">
        <v>42902</v>
      </c>
      <c r="E240" s="9">
        <v>10.050008</v>
      </c>
      <c r="F240" s="9">
        <v>49.941994000000001</v>
      </c>
      <c r="G240" t="s">
        <v>1687</v>
      </c>
      <c r="H240" t="s">
        <v>2563</v>
      </c>
      <c r="I240" t="s">
        <v>2814</v>
      </c>
      <c r="K240" s="20" t="s">
        <v>907</v>
      </c>
      <c r="L240" s="20"/>
      <c r="M240" s="172" t="s">
        <v>1705</v>
      </c>
      <c r="N240" s="20" t="s">
        <v>3620</v>
      </c>
      <c r="O240" s="28">
        <v>0.1128</v>
      </c>
      <c r="P240" s="28">
        <v>3.6903999999999992E-2</v>
      </c>
      <c r="Q240" s="65">
        <f t="shared" si="18"/>
        <v>7.5896000000000005E-2</v>
      </c>
      <c r="R240" s="20">
        <v>5.9089999999999998</v>
      </c>
      <c r="S240" s="20">
        <f>9.441+10.882</f>
        <v>20.323</v>
      </c>
      <c r="T240" s="20">
        <f t="shared" si="15"/>
        <v>120.088607</v>
      </c>
      <c r="W240" s="20" t="s">
        <v>887</v>
      </c>
      <c r="X240" s="20" t="s">
        <v>886</v>
      </c>
      <c r="Y240" s="20" t="s">
        <v>36</v>
      </c>
      <c r="Z240" s="20" t="s">
        <v>36</v>
      </c>
    </row>
    <row r="241" spans="1:26">
      <c r="A241" s="20" t="s">
        <v>1081</v>
      </c>
      <c r="B241" s="20" t="s">
        <v>2115</v>
      </c>
      <c r="C241" s="31" t="s">
        <v>2228</v>
      </c>
      <c r="D241" s="49">
        <v>42902</v>
      </c>
      <c r="E241" s="9">
        <v>10.050008</v>
      </c>
      <c r="F241" s="9">
        <v>49.941994000000001</v>
      </c>
      <c r="G241" t="s">
        <v>1687</v>
      </c>
      <c r="H241" t="s">
        <v>2563</v>
      </c>
      <c r="I241" t="s">
        <v>2814</v>
      </c>
      <c r="K241" s="20" t="s">
        <v>907</v>
      </c>
      <c r="L241" s="20"/>
      <c r="M241" s="172" t="s">
        <v>1705</v>
      </c>
      <c r="N241" s="20" t="s">
        <v>3620</v>
      </c>
      <c r="O241" s="28">
        <v>0.12939999999999999</v>
      </c>
      <c r="P241" s="28">
        <v>3.6903999999999992E-2</v>
      </c>
      <c r="Q241" s="65">
        <f t="shared" si="18"/>
        <v>9.2495999999999995E-2</v>
      </c>
      <c r="R241" s="31">
        <v>5.7949999999999999</v>
      </c>
      <c r="S241" s="20">
        <f>10.96+13.692</f>
        <v>24.652000000000001</v>
      </c>
      <c r="T241" s="20">
        <f t="shared" si="15"/>
        <v>142.85834</v>
      </c>
      <c r="W241" s="20" t="s">
        <v>887</v>
      </c>
      <c r="X241" s="20" t="s">
        <v>886</v>
      </c>
      <c r="Y241" s="20" t="s">
        <v>36</v>
      </c>
      <c r="Z241" s="20" t="s">
        <v>36</v>
      </c>
    </row>
    <row r="242" spans="1:26">
      <c r="A242" s="20" t="s">
        <v>1080</v>
      </c>
      <c r="B242" s="20" t="s">
        <v>2115</v>
      </c>
      <c r="C242" s="31" t="s">
        <v>2233</v>
      </c>
      <c r="D242" s="49">
        <v>42856</v>
      </c>
      <c r="E242" s="9">
        <v>10.086428</v>
      </c>
      <c r="F242" s="9">
        <v>49.909314000000002</v>
      </c>
      <c r="G242" t="s">
        <v>1687</v>
      </c>
      <c r="H242" t="s">
        <v>2563</v>
      </c>
      <c r="I242" t="s">
        <v>2814</v>
      </c>
      <c r="K242" s="20" t="s">
        <v>907</v>
      </c>
      <c r="L242" s="20"/>
      <c r="M242" s="172" t="s">
        <v>1710</v>
      </c>
      <c r="N242" s="20" t="s">
        <v>2713</v>
      </c>
      <c r="O242" s="28">
        <v>0.1719</v>
      </c>
      <c r="P242" s="28">
        <v>3.6903999999999992E-2</v>
      </c>
      <c r="Q242" s="65">
        <f t="shared" si="18"/>
        <v>0.134996</v>
      </c>
      <c r="R242" s="31">
        <v>7.9930000000000003</v>
      </c>
      <c r="S242" s="20">
        <f>13.133+2.282+3.394+6.334</f>
        <v>25.142999999999997</v>
      </c>
      <c r="T242" s="20">
        <f t="shared" si="15"/>
        <v>200.96799899999999</v>
      </c>
      <c r="W242" s="20" t="s">
        <v>887</v>
      </c>
      <c r="X242" s="20" t="s">
        <v>886</v>
      </c>
      <c r="Y242" s="20" t="s">
        <v>36</v>
      </c>
      <c r="Z242" s="20" t="s">
        <v>36</v>
      </c>
    </row>
    <row r="243" spans="1:26">
      <c r="A243" s="20" t="s">
        <v>1079</v>
      </c>
      <c r="B243" s="20" t="s">
        <v>2115</v>
      </c>
      <c r="C243" s="31" t="s">
        <v>2233</v>
      </c>
      <c r="D243" s="49">
        <v>42872</v>
      </c>
      <c r="E243" s="9">
        <v>10.086428</v>
      </c>
      <c r="F243" s="9">
        <v>49.909314000000002</v>
      </c>
      <c r="G243" t="s">
        <v>1687</v>
      </c>
      <c r="H243" t="s">
        <v>2563</v>
      </c>
      <c r="I243" t="s">
        <v>2814</v>
      </c>
      <c r="K243" s="20" t="s">
        <v>907</v>
      </c>
      <c r="L243" s="20"/>
      <c r="M243" s="172" t="s">
        <v>1710</v>
      </c>
      <c r="N243" s="20" t="s">
        <v>2713</v>
      </c>
      <c r="O243" s="28">
        <v>0.16300000000000001</v>
      </c>
      <c r="P243" s="28">
        <v>3.6903999999999992E-2</v>
      </c>
      <c r="Q243" s="65">
        <f t="shared" si="18"/>
        <v>0.12609600000000001</v>
      </c>
      <c r="R243" s="20">
        <v>7.9050000000000002</v>
      </c>
      <c r="S243" s="20">
        <f>12.448+3.802+4.113+6.145</f>
        <v>26.507999999999999</v>
      </c>
      <c r="T243" s="20">
        <f t="shared" si="15"/>
        <v>209.54574</v>
      </c>
      <c r="W243" s="20" t="s">
        <v>887</v>
      </c>
      <c r="X243" s="20" t="s">
        <v>886</v>
      </c>
      <c r="Y243" s="20" t="s">
        <v>36</v>
      </c>
      <c r="Z243" s="20" t="s">
        <v>36</v>
      </c>
    </row>
    <row r="244" spans="1:26">
      <c r="A244" s="20" t="s">
        <v>1078</v>
      </c>
      <c r="B244" s="20" t="s">
        <v>2115</v>
      </c>
      <c r="C244" s="31" t="s">
        <v>2244</v>
      </c>
      <c r="D244" s="49">
        <v>42902</v>
      </c>
      <c r="E244" s="9">
        <v>10.017931000000001</v>
      </c>
      <c r="F244" s="9">
        <v>49.935696999999998</v>
      </c>
      <c r="G244" t="s">
        <v>1687</v>
      </c>
      <c r="H244" t="s">
        <v>2563</v>
      </c>
      <c r="I244" t="s">
        <v>2814</v>
      </c>
      <c r="K244" s="20" t="s">
        <v>907</v>
      </c>
      <c r="L244" s="20"/>
      <c r="M244" s="172" t="s">
        <v>1705</v>
      </c>
      <c r="N244" s="20" t="s">
        <v>3620</v>
      </c>
      <c r="O244" s="28">
        <v>9.4799999999999995E-2</v>
      </c>
      <c r="P244" s="28">
        <v>3.6903999999999992E-2</v>
      </c>
      <c r="Q244" s="65">
        <f t="shared" si="18"/>
        <v>5.7896000000000003E-2</v>
      </c>
      <c r="R244" s="20">
        <v>6.58</v>
      </c>
      <c r="S244" s="20">
        <f>9.993+10.353</f>
        <v>20.346</v>
      </c>
      <c r="T244" s="20">
        <f t="shared" si="15"/>
        <v>133.87667999999999</v>
      </c>
      <c r="W244" s="20" t="s">
        <v>887</v>
      </c>
      <c r="X244" s="20" t="s">
        <v>886</v>
      </c>
      <c r="Y244" s="20" t="s">
        <v>36</v>
      </c>
      <c r="Z244" s="20" t="s">
        <v>36</v>
      </c>
    </row>
    <row r="245" spans="1:26">
      <c r="A245" s="20" t="s">
        <v>1077</v>
      </c>
      <c r="B245" s="20" t="s">
        <v>2115</v>
      </c>
      <c r="C245" s="31" t="s">
        <v>2238</v>
      </c>
      <c r="D245" s="49">
        <v>42902</v>
      </c>
      <c r="E245" s="9">
        <v>10.135947</v>
      </c>
      <c r="F245" s="9">
        <v>49.868039000000003</v>
      </c>
      <c r="G245" t="s">
        <v>1687</v>
      </c>
      <c r="H245" t="s">
        <v>2563</v>
      </c>
      <c r="I245" t="s">
        <v>2814</v>
      </c>
      <c r="K245" s="20" t="s">
        <v>907</v>
      </c>
      <c r="L245" s="20"/>
      <c r="M245" s="172" t="s">
        <v>1705</v>
      </c>
      <c r="N245" s="20" t="s">
        <v>3620</v>
      </c>
      <c r="O245" s="28">
        <v>0.1142</v>
      </c>
      <c r="P245" s="28">
        <v>3.6903999999999992E-2</v>
      </c>
      <c r="Q245" s="65">
        <f t="shared" si="18"/>
        <v>7.7296000000000004E-2</v>
      </c>
      <c r="R245" s="20">
        <v>6.6550000000000002</v>
      </c>
      <c r="S245" s="20">
        <f>10.988+10.455</f>
        <v>21.442999999999998</v>
      </c>
      <c r="T245" s="20">
        <f t="shared" si="15"/>
        <v>142.70316499999998</v>
      </c>
      <c r="W245" s="20" t="s">
        <v>887</v>
      </c>
      <c r="X245" s="20" t="s">
        <v>886</v>
      </c>
      <c r="Y245" s="20" t="s">
        <v>36</v>
      </c>
      <c r="Z245" s="20" t="s">
        <v>36</v>
      </c>
    </row>
    <row r="246" spans="1:26">
      <c r="A246" s="20" t="s">
        <v>1076</v>
      </c>
      <c r="B246" s="20" t="s">
        <v>2115</v>
      </c>
      <c r="C246" s="31" t="s">
        <v>2233</v>
      </c>
      <c r="D246" s="49">
        <v>42888</v>
      </c>
      <c r="E246" s="9">
        <v>10.086428</v>
      </c>
      <c r="F246" s="9">
        <v>49.909314000000002</v>
      </c>
      <c r="G246" t="s">
        <v>1687</v>
      </c>
      <c r="H246" t="s">
        <v>2563</v>
      </c>
      <c r="I246" t="s">
        <v>2814</v>
      </c>
      <c r="K246" s="20" t="s">
        <v>907</v>
      </c>
      <c r="L246" s="20"/>
      <c r="M246" s="172" t="s">
        <v>1710</v>
      </c>
      <c r="N246" s="20" t="s">
        <v>3620</v>
      </c>
      <c r="O246" s="28">
        <v>6.4899999999999999E-2</v>
      </c>
      <c r="P246" s="28">
        <v>3.6903999999999992E-2</v>
      </c>
      <c r="Q246" s="65">
        <f t="shared" si="18"/>
        <v>2.7996000000000007E-2</v>
      </c>
      <c r="R246" s="20">
        <v>5.2119999999999997</v>
      </c>
      <c r="S246" s="20">
        <f>7.384+8.368</f>
        <v>15.752000000000001</v>
      </c>
      <c r="T246" s="20">
        <f t="shared" si="15"/>
        <v>82.099423999999999</v>
      </c>
      <c r="W246" s="20" t="s">
        <v>887</v>
      </c>
      <c r="X246" s="20" t="s">
        <v>886</v>
      </c>
      <c r="Y246" s="20" t="s">
        <v>36</v>
      </c>
      <c r="Z246" s="20" t="s">
        <v>36</v>
      </c>
    </row>
    <row r="247" spans="1:26">
      <c r="A247" s="20" t="s">
        <v>1075</v>
      </c>
      <c r="B247" s="20" t="s">
        <v>2115</v>
      </c>
      <c r="C247" s="31" t="s">
        <v>2243</v>
      </c>
      <c r="D247" s="49">
        <v>42856</v>
      </c>
      <c r="E247" s="9">
        <v>10.069680999999999</v>
      </c>
      <c r="F247" s="9">
        <v>49.368496999999998</v>
      </c>
      <c r="G247" t="s">
        <v>1687</v>
      </c>
      <c r="H247" t="s">
        <v>2563</v>
      </c>
      <c r="I247" t="s">
        <v>2814</v>
      </c>
      <c r="K247" s="20" t="s">
        <v>907</v>
      </c>
      <c r="L247" s="20"/>
      <c r="M247" s="172" t="s">
        <v>1710</v>
      </c>
      <c r="N247" s="20" t="s">
        <v>2713</v>
      </c>
      <c r="O247" s="28">
        <v>0.17910000000000001</v>
      </c>
      <c r="P247" s="28">
        <v>3.6903999999999992E-2</v>
      </c>
      <c r="Q247" s="65">
        <f t="shared" si="18"/>
        <v>0.14219600000000002</v>
      </c>
      <c r="R247" s="20">
        <v>7.9349999999999996</v>
      </c>
      <c r="S247" s="20">
        <f>13.735+13.678</f>
        <v>27.413</v>
      </c>
      <c r="T247" s="20">
        <f t="shared" si="15"/>
        <v>217.522155</v>
      </c>
      <c r="W247" s="20" t="s">
        <v>887</v>
      </c>
      <c r="X247" s="20" t="s">
        <v>886</v>
      </c>
      <c r="Y247" s="20" t="s">
        <v>36</v>
      </c>
      <c r="Z247" s="20" t="s">
        <v>36</v>
      </c>
    </row>
    <row r="248" spans="1:26">
      <c r="A248" s="20" t="s">
        <v>1074</v>
      </c>
      <c r="B248" s="20" t="s">
        <v>2115</v>
      </c>
      <c r="C248" s="31" t="s">
        <v>2229</v>
      </c>
      <c r="D248" s="49">
        <v>42902</v>
      </c>
      <c r="E248" s="9">
        <v>10.057994000000001</v>
      </c>
      <c r="F248" s="9">
        <v>49.937230999999997</v>
      </c>
      <c r="G248" t="s">
        <v>1687</v>
      </c>
      <c r="H248" t="s">
        <v>2563</v>
      </c>
      <c r="I248" t="s">
        <v>2814</v>
      </c>
      <c r="K248" s="20" t="s">
        <v>907</v>
      </c>
      <c r="L248" s="20"/>
      <c r="M248" s="172" t="s">
        <v>1710</v>
      </c>
      <c r="N248" s="20" t="s">
        <v>3620</v>
      </c>
      <c r="O248" s="28">
        <v>7.6799999999999993E-2</v>
      </c>
      <c r="P248" s="28">
        <v>3.6903999999999992E-2</v>
      </c>
      <c r="Q248" s="65">
        <f t="shared" si="18"/>
        <v>3.9896000000000001E-2</v>
      </c>
      <c r="R248" s="20">
        <v>5.992</v>
      </c>
      <c r="S248" s="20">
        <f>8.491+7.378</f>
        <v>15.869</v>
      </c>
      <c r="T248" s="20">
        <f t="shared" ref="T248:T311" si="19">R248*S248</f>
        <v>95.087047999999996</v>
      </c>
      <c r="W248" s="20" t="s">
        <v>887</v>
      </c>
      <c r="X248" s="20" t="s">
        <v>886</v>
      </c>
      <c r="Y248" s="20" t="s">
        <v>36</v>
      </c>
      <c r="Z248" s="20" t="s">
        <v>36</v>
      </c>
    </row>
    <row r="249" spans="1:26">
      <c r="A249" s="20" t="s">
        <v>1073</v>
      </c>
      <c r="B249" s="20" t="s">
        <v>2115</v>
      </c>
      <c r="C249" s="31" t="s">
        <v>2232</v>
      </c>
      <c r="D249" s="49">
        <v>42902</v>
      </c>
      <c r="E249" s="9">
        <v>10.065003000000001</v>
      </c>
      <c r="F249" s="9">
        <v>49.916336000000001</v>
      </c>
      <c r="G249" t="s">
        <v>1687</v>
      </c>
      <c r="H249" t="s">
        <v>2563</v>
      </c>
      <c r="I249" t="s">
        <v>2814</v>
      </c>
      <c r="K249" s="20" t="s">
        <v>907</v>
      </c>
      <c r="L249" s="20"/>
      <c r="M249" s="172" t="s">
        <v>1710</v>
      </c>
      <c r="N249" s="20" t="s">
        <v>3620</v>
      </c>
      <c r="O249" s="28">
        <v>6.5199999999999994E-2</v>
      </c>
      <c r="P249" s="28">
        <v>3.6903999999999992E-2</v>
      </c>
      <c r="Q249" s="65">
        <f t="shared" si="18"/>
        <v>2.8296000000000002E-2</v>
      </c>
      <c r="R249" s="20">
        <v>4.99</v>
      </c>
      <c r="S249" s="20">
        <f>8.247+2.458+2.132+2.617</f>
        <v>15.454000000000001</v>
      </c>
      <c r="T249" s="20">
        <f t="shared" si="19"/>
        <v>77.115460000000013</v>
      </c>
      <c r="W249" s="20" t="s">
        <v>887</v>
      </c>
      <c r="X249" s="20" t="s">
        <v>886</v>
      </c>
      <c r="Y249" s="20" t="s">
        <v>36</v>
      </c>
      <c r="Z249" s="20" t="s">
        <v>36</v>
      </c>
    </row>
    <row r="250" spans="1:26">
      <c r="A250" s="20" t="s">
        <v>1072</v>
      </c>
      <c r="B250" s="20" t="s">
        <v>2115</v>
      </c>
      <c r="C250" s="31" t="s">
        <v>2239</v>
      </c>
      <c r="D250" s="49">
        <v>42902</v>
      </c>
      <c r="E250" s="9">
        <v>10.067944000000001</v>
      </c>
      <c r="F250" s="9">
        <v>49.912992000000003</v>
      </c>
      <c r="G250" t="s">
        <v>1687</v>
      </c>
      <c r="H250" t="s">
        <v>2563</v>
      </c>
      <c r="I250" t="s">
        <v>2814</v>
      </c>
      <c r="K250" s="20" t="s">
        <v>907</v>
      </c>
      <c r="L250" s="20"/>
      <c r="M250" s="172" t="s">
        <v>1722</v>
      </c>
      <c r="N250" s="20" t="s">
        <v>3620</v>
      </c>
      <c r="O250" s="28">
        <v>0.1091</v>
      </c>
      <c r="P250" s="28">
        <v>3.6903999999999992E-2</v>
      </c>
      <c r="Q250" s="65">
        <f t="shared" si="18"/>
        <v>7.219600000000001E-2</v>
      </c>
      <c r="R250" s="20">
        <v>5.8170000000000002</v>
      </c>
      <c r="S250" s="20">
        <f>11.378+9.663</f>
        <v>21.041</v>
      </c>
      <c r="T250" s="20">
        <f t="shared" si="19"/>
        <v>122.39549700000001</v>
      </c>
      <c r="W250" s="20" t="s">
        <v>887</v>
      </c>
      <c r="X250" s="20" t="s">
        <v>886</v>
      </c>
      <c r="Y250" s="20" t="s">
        <v>36</v>
      </c>
      <c r="Z250" s="20" t="s">
        <v>36</v>
      </c>
    </row>
    <row r="251" spans="1:26">
      <c r="A251" s="20" t="s">
        <v>1071</v>
      </c>
      <c r="B251" s="20" t="s">
        <v>2115</v>
      </c>
      <c r="C251" s="31" t="s">
        <v>2241</v>
      </c>
      <c r="D251" s="49">
        <v>42902</v>
      </c>
      <c r="E251" s="20">
        <v>10.109500000000001</v>
      </c>
      <c r="F251" s="9">
        <v>49.861344000000003</v>
      </c>
      <c r="G251" t="s">
        <v>1687</v>
      </c>
      <c r="H251" t="s">
        <v>2563</v>
      </c>
      <c r="I251" t="s">
        <v>2814</v>
      </c>
      <c r="K251" s="20" t="s">
        <v>907</v>
      </c>
      <c r="L251" s="20"/>
      <c r="M251" s="172" t="s">
        <v>1705</v>
      </c>
      <c r="N251" s="20" t="s">
        <v>3620</v>
      </c>
      <c r="O251" s="28">
        <v>0.1149</v>
      </c>
      <c r="P251" s="28">
        <v>3.6903999999999992E-2</v>
      </c>
      <c r="Q251" s="65">
        <f t="shared" si="18"/>
        <v>7.799600000000001E-2</v>
      </c>
      <c r="R251" s="20">
        <v>6.2110000000000003</v>
      </c>
      <c r="S251" s="20">
        <f>10.623+14.743</f>
        <v>25.366</v>
      </c>
      <c r="T251" s="20">
        <f t="shared" si="19"/>
        <v>157.548226</v>
      </c>
      <c r="W251" s="20" t="s">
        <v>887</v>
      </c>
      <c r="X251" s="20" t="s">
        <v>886</v>
      </c>
      <c r="Y251" s="20" t="s">
        <v>36</v>
      </c>
      <c r="Z251" s="20" t="s">
        <v>36</v>
      </c>
    </row>
    <row r="252" spans="1:26">
      <c r="A252" s="20" t="s">
        <v>1070</v>
      </c>
      <c r="B252" s="20" t="s">
        <v>2115</v>
      </c>
      <c r="C252" s="31" t="s">
        <v>2230</v>
      </c>
      <c r="D252" s="49">
        <v>42902</v>
      </c>
      <c r="E252" s="9">
        <v>10.124091999999999</v>
      </c>
      <c r="F252" s="9">
        <v>49.906236</v>
      </c>
      <c r="G252" t="s">
        <v>1687</v>
      </c>
      <c r="H252" t="s">
        <v>2563</v>
      </c>
      <c r="I252" t="s">
        <v>2814</v>
      </c>
      <c r="K252" s="20" t="s">
        <v>907</v>
      </c>
      <c r="L252" s="20"/>
      <c r="M252" s="172" t="s">
        <v>1705</v>
      </c>
      <c r="N252" s="20" t="s">
        <v>3620</v>
      </c>
      <c r="O252" s="28">
        <v>7.7499999999999999E-2</v>
      </c>
      <c r="P252" s="28">
        <v>3.6903999999999992E-2</v>
      </c>
      <c r="Q252" s="65">
        <f t="shared" si="18"/>
        <v>4.0596000000000007E-2</v>
      </c>
      <c r="R252" s="20">
        <v>5.7039999999999997</v>
      </c>
      <c r="S252" s="20">
        <f>7.285+9.559</f>
        <v>16.844000000000001</v>
      </c>
      <c r="T252" s="20">
        <f t="shared" si="19"/>
        <v>96.078175999999999</v>
      </c>
      <c r="W252" s="20" t="s">
        <v>887</v>
      </c>
      <c r="X252" s="20" t="s">
        <v>886</v>
      </c>
      <c r="Y252" s="20" t="s">
        <v>36</v>
      </c>
      <c r="Z252" s="20" t="s">
        <v>36</v>
      </c>
    </row>
    <row r="253" spans="1:26">
      <c r="A253" s="20" t="s">
        <v>1069</v>
      </c>
      <c r="B253" s="20" t="s">
        <v>2115</v>
      </c>
      <c r="C253" s="31" t="s">
        <v>2229</v>
      </c>
      <c r="D253" s="49">
        <v>42902</v>
      </c>
      <c r="E253" s="9">
        <v>10.057994000000001</v>
      </c>
      <c r="F253" s="9">
        <v>49.937230999999997</v>
      </c>
      <c r="G253" t="s">
        <v>1687</v>
      </c>
      <c r="H253" t="s">
        <v>2563</v>
      </c>
      <c r="I253" t="s">
        <v>2814</v>
      </c>
      <c r="K253" s="20" t="s">
        <v>907</v>
      </c>
      <c r="L253" s="20"/>
      <c r="M253" s="172" t="s">
        <v>1705</v>
      </c>
      <c r="N253" s="20" t="s">
        <v>3620</v>
      </c>
      <c r="O253" s="28">
        <v>8.5999999999999993E-2</v>
      </c>
      <c r="P253" s="28">
        <v>3.6903999999999992E-2</v>
      </c>
      <c r="Q253" s="65">
        <f t="shared" si="18"/>
        <v>4.9096000000000001E-2</v>
      </c>
      <c r="R253" s="20">
        <v>5.5940000000000003</v>
      </c>
      <c r="S253" s="20">
        <f>9.627+4.366+9.114</f>
        <v>23.106999999999999</v>
      </c>
      <c r="T253" s="20">
        <f t="shared" si="19"/>
        <v>129.260558</v>
      </c>
      <c r="W253" s="20" t="s">
        <v>887</v>
      </c>
      <c r="X253" s="20" t="s">
        <v>886</v>
      </c>
      <c r="Y253" s="20" t="s">
        <v>36</v>
      </c>
      <c r="Z253" s="20" t="s">
        <v>36</v>
      </c>
    </row>
    <row r="254" spans="1:26">
      <c r="A254" s="20" t="s">
        <v>1068</v>
      </c>
      <c r="B254" s="20" t="s">
        <v>2115</v>
      </c>
      <c r="C254" s="31" t="s">
        <v>2230</v>
      </c>
      <c r="D254" s="49">
        <v>42902</v>
      </c>
      <c r="E254" s="9">
        <v>10.124091999999999</v>
      </c>
      <c r="F254" s="9">
        <v>49.906236</v>
      </c>
      <c r="G254" t="s">
        <v>1687</v>
      </c>
      <c r="H254" t="s">
        <v>2563</v>
      </c>
      <c r="I254" t="s">
        <v>2814</v>
      </c>
      <c r="K254" s="20" t="s">
        <v>907</v>
      </c>
      <c r="L254" s="20"/>
      <c r="M254" s="172" t="s">
        <v>1705</v>
      </c>
      <c r="N254" s="20" t="s">
        <v>3620</v>
      </c>
      <c r="O254" s="28">
        <v>0.1022</v>
      </c>
      <c r="P254" s="28">
        <v>3.6903999999999992E-2</v>
      </c>
      <c r="Q254" s="65">
        <f t="shared" si="18"/>
        <v>6.5296000000000007E-2</v>
      </c>
      <c r="R254" s="20">
        <v>6.633</v>
      </c>
      <c r="S254" s="20">
        <f>9.997+9.527</f>
        <v>19.524000000000001</v>
      </c>
      <c r="T254" s="20">
        <f t="shared" si="19"/>
        <v>129.502692</v>
      </c>
      <c r="W254" s="20" t="s">
        <v>887</v>
      </c>
      <c r="X254" s="20" t="s">
        <v>886</v>
      </c>
      <c r="Y254" s="20" t="s">
        <v>36</v>
      </c>
      <c r="Z254" s="20" t="s">
        <v>36</v>
      </c>
    </row>
    <row r="255" spans="1:26">
      <c r="A255" s="20" t="s">
        <v>1067</v>
      </c>
      <c r="B255" s="20" t="s">
        <v>2115</v>
      </c>
      <c r="C255" s="31" t="s">
        <v>2243</v>
      </c>
      <c r="D255" s="49">
        <v>42902</v>
      </c>
      <c r="E255" s="9">
        <v>10.069680999999999</v>
      </c>
      <c r="F255" s="9">
        <v>49.368496999999998</v>
      </c>
      <c r="G255" t="s">
        <v>1687</v>
      </c>
      <c r="H255" t="s">
        <v>2563</v>
      </c>
      <c r="I255" t="s">
        <v>2814</v>
      </c>
      <c r="K255" s="20" t="s">
        <v>907</v>
      </c>
      <c r="L255" s="20"/>
      <c r="M255" s="172" t="s">
        <v>1705</v>
      </c>
      <c r="N255" s="20" t="s">
        <v>3620</v>
      </c>
      <c r="O255" s="28">
        <v>9.74E-2</v>
      </c>
      <c r="P255" s="28">
        <v>3.6903999999999992E-2</v>
      </c>
      <c r="Q255" s="65">
        <f t="shared" si="18"/>
        <v>6.0496000000000008E-2</v>
      </c>
      <c r="R255" s="20">
        <v>6.4080000000000004</v>
      </c>
      <c r="S255" s="20">
        <f>10.641+2.805+2.783+2.452+2.133</f>
        <v>20.813999999999997</v>
      </c>
      <c r="T255" s="20">
        <f t="shared" si="19"/>
        <v>133.37611199999998</v>
      </c>
      <c r="W255" s="20" t="s">
        <v>887</v>
      </c>
      <c r="X255" s="20" t="s">
        <v>886</v>
      </c>
      <c r="Y255" s="20" t="s">
        <v>36</v>
      </c>
      <c r="Z255" s="20" t="s">
        <v>36</v>
      </c>
    </row>
    <row r="256" spans="1:26">
      <c r="A256" s="20" t="s">
        <v>1066</v>
      </c>
      <c r="B256" s="20" t="s">
        <v>2115</v>
      </c>
      <c r="C256" s="31" t="s">
        <v>2228</v>
      </c>
      <c r="D256" s="49">
        <v>42902</v>
      </c>
      <c r="E256" s="9">
        <v>10.050008</v>
      </c>
      <c r="F256" s="9">
        <v>49.941994000000001</v>
      </c>
      <c r="G256" t="s">
        <v>1687</v>
      </c>
      <c r="H256" t="s">
        <v>2563</v>
      </c>
      <c r="I256" t="s">
        <v>2814</v>
      </c>
      <c r="K256" s="20" t="s">
        <v>907</v>
      </c>
      <c r="L256" s="20"/>
      <c r="M256" s="172" t="s">
        <v>2582</v>
      </c>
      <c r="N256" s="20" t="s">
        <v>3620</v>
      </c>
      <c r="O256" s="28">
        <v>7.7299999999999994E-2</v>
      </c>
      <c r="P256" s="28">
        <v>3.6903999999999992E-2</v>
      </c>
      <c r="Q256" s="65">
        <f t="shared" si="18"/>
        <v>4.0396000000000001E-2</v>
      </c>
      <c r="R256" s="20">
        <v>5.0229999999999997</v>
      </c>
      <c r="S256" s="20">
        <f>8.182+7.196</f>
        <v>15.378</v>
      </c>
      <c r="T256" s="20">
        <f t="shared" si="19"/>
        <v>77.243693999999991</v>
      </c>
      <c r="W256" s="20" t="s">
        <v>887</v>
      </c>
      <c r="X256" s="20" t="s">
        <v>886</v>
      </c>
      <c r="Y256" s="20" t="s">
        <v>36</v>
      </c>
      <c r="Z256" s="20" t="s">
        <v>36</v>
      </c>
    </row>
    <row r="257" spans="1:26">
      <c r="A257" s="20" t="s">
        <v>1065</v>
      </c>
      <c r="B257" s="20" t="s">
        <v>2115</v>
      </c>
      <c r="C257" s="31" t="s">
        <v>2244</v>
      </c>
      <c r="D257" s="49">
        <v>42902</v>
      </c>
      <c r="E257" s="9">
        <v>10.017931000000001</v>
      </c>
      <c r="F257" s="9">
        <v>49.935696999999998</v>
      </c>
      <c r="G257" t="s">
        <v>1687</v>
      </c>
      <c r="H257" t="s">
        <v>2563</v>
      </c>
      <c r="I257" t="s">
        <v>2814</v>
      </c>
      <c r="K257" s="20" t="s">
        <v>907</v>
      </c>
      <c r="L257" s="20"/>
      <c r="M257" s="172" t="s">
        <v>1705</v>
      </c>
      <c r="N257" s="20" t="s">
        <v>3620</v>
      </c>
      <c r="O257" s="28">
        <v>0.1012</v>
      </c>
      <c r="P257" s="28">
        <v>3.6903999999999992E-2</v>
      </c>
      <c r="Q257" s="65">
        <f t="shared" si="18"/>
        <v>6.4296000000000006E-2</v>
      </c>
      <c r="R257" s="20">
        <v>6.5609999999999999</v>
      </c>
      <c r="S257" s="20">
        <f>10.846+9.32</f>
        <v>20.166</v>
      </c>
      <c r="T257" s="20">
        <f t="shared" si="19"/>
        <v>132.30912599999999</v>
      </c>
      <c r="W257" s="20" t="s">
        <v>887</v>
      </c>
      <c r="X257" s="20" t="s">
        <v>886</v>
      </c>
      <c r="Y257" s="20" t="s">
        <v>36</v>
      </c>
      <c r="Z257" s="20" t="s">
        <v>36</v>
      </c>
    </row>
    <row r="258" spans="1:26">
      <c r="A258" s="20" t="s">
        <v>1064</v>
      </c>
      <c r="B258" s="20" t="s">
        <v>2115</v>
      </c>
      <c r="C258" s="31" t="s">
        <v>2232</v>
      </c>
      <c r="D258" s="49">
        <v>42902</v>
      </c>
      <c r="E258" s="9">
        <v>10.065003000000001</v>
      </c>
      <c r="F258" s="9">
        <v>49.916336000000001</v>
      </c>
      <c r="G258" t="s">
        <v>1687</v>
      </c>
      <c r="H258" t="s">
        <v>2563</v>
      </c>
      <c r="I258" t="s">
        <v>2814</v>
      </c>
      <c r="K258" s="20" t="s">
        <v>907</v>
      </c>
      <c r="L258" s="20"/>
      <c r="M258" s="172" t="s">
        <v>1710</v>
      </c>
      <c r="N258" s="20" t="s">
        <v>3620</v>
      </c>
      <c r="O258" s="28">
        <v>8.2600000000000007E-2</v>
      </c>
      <c r="P258" s="28">
        <v>3.6903999999999992E-2</v>
      </c>
      <c r="Q258" s="65">
        <f t="shared" si="18"/>
        <v>4.5696000000000014E-2</v>
      </c>
      <c r="R258" s="20">
        <v>4.9969999999999999</v>
      </c>
      <c r="S258" s="20">
        <f>10.143+8.922</f>
        <v>19.065000000000001</v>
      </c>
      <c r="T258" s="20">
        <f t="shared" si="19"/>
        <v>95.26780500000001</v>
      </c>
      <c r="W258" s="20" t="s">
        <v>887</v>
      </c>
      <c r="X258" s="20" t="s">
        <v>886</v>
      </c>
      <c r="Y258" s="20" t="s">
        <v>36</v>
      </c>
      <c r="Z258" s="20" t="s">
        <v>36</v>
      </c>
    </row>
    <row r="259" spans="1:26">
      <c r="A259" s="20" t="s">
        <v>1063</v>
      </c>
      <c r="B259" s="20" t="s">
        <v>2115</v>
      </c>
      <c r="C259" s="31" t="s">
        <v>2233</v>
      </c>
      <c r="D259" s="49">
        <v>42856</v>
      </c>
      <c r="E259" s="9">
        <v>10.086428</v>
      </c>
      <c r="F259" s="9">
        <v>49.909314000000002</v>
      </c>
      <c r="G259" t="s">
        <v>1687</v>
      </c>
      <c r="H259" t="s">
        <v>2563</v>
      </c>
      <c r="I259" t="s">
        <v>2814</v>
      </c>
      <c r="K259" s="20" t="s">
        <v>907</v>
      </c>
      <c r="L259" s="20"/>
      <c r="M259" s="172" t="s">
        <v>1705</v>
      </c>
      <c r="N259" s="20" t="s">
        <v>3620</v>
      </c>
      <c r="O259" s="28">
        <v>9.64E-2</v>
      </c>
      <c r="P259" s="28">
        <v>3.6903999999999992E-2</v>
      </c>
      <c r="Q259" s="65">
        <f t="shared" si="18"/>
        <v>5.9496000000000007E-2</v>
      </c>
      <c r="R259" s="20">
        <v>6.43</v>
      </c>
      <c r="S259" s="20">
        <f>10.106+7.512</f>
        <v>17.617999999999999</v>
      </c>
      <c r="T259" s="20">
        <f t="shared" si="19"/>
        <v>113.28373999999998</v>
      </c>
      <c r="W259" s="20" t="s">
        <v>887</v>
      </c>
      <c r="X259" s="20" t="s">
        <v>886</v>
      </c>
      <c r="Y259" s="20" t="s">
        <v>36</v>
      </c>
      <c r="Z259" s="20" t="s">
        <v>36</v>
      </c>
    </row>
    <row r="260" spans="1:26">
      <c r="A260" s="20" t="s">
        <v>1062</v>
      </c>
      <c r="B260" s="20" t="s">
        <v>2115</v>
      </c>
      <c r="C260" s="31" t="s">
        <v>2228</v>
      </c>
      <c r="D260" s="49">
        <v>42902</v>
      </c>
      <c r="E260" s="9">
        <v>10.050008</v>
      </c>
      <c r="F260" s="9">
        <v>49.941994000000001</v>
      </c>
      <c r="G260" t="s">
        <v>1687</v>
      </c>
      <c r="H260" t="s">
        <v>2563</v>
      </c>
      <c r="I260" t="s">
        <v>2814</v>
      </c>
      <c r="K260" s="20" t="s">
        <v>907</v>
      </c>
      <c r="L260" s="20"/>
      <c r="M260" s="172" t="s">
        <v>1705</v>
      </c>
      <c r="N260" s="20" t="s">
        <v>3620</v>
      </c>
      <c r="O260" s="28">
        <v>0.1042</v>
      </c>
      <c r="P260" s="28">
        <v>3.6903999999999992E-2</v>
      </c>
      <c r="Q260" s="65">
        <f t="shared" si="18"/>
        <v>6.7296000000000009E-2</v>
      </c>
      <c r="R260" s="20">
        <v>5.6509999999999998</v>
      </c>
      <c r="S260" s="20">
        <f>10.437+10.478</f>
        <v>20.914999999999999</v>
      </c>
      <c r="T260" s="20">
        <f t="shared" si="19"/>
        <v>118.190665</v>
      </c>
      <c r="W260" s="20" t="s">
        <v>887</v>
      </c>
      <c r="X260" s="20" t="s">
        <v>886</v>
      </c>
      <c r="Y260" s="20" t="s">
        <v>36</v>
      </c>
      <c r="Z260" s="20" t="s">
        <v>36</v>
      </c>
    </row>
    <row r="261" spans="1:26">
      <c r="A261" s="20" t="s">
        <v>1061</v>
      </c>
      <c r="B261" s="20" t="s">
        <v>2115</v>
      </c>
      <c r="C261" s="31" t="s">
        <v>2236</v>
      </c>
      <c r="D261" s="49">
        <v>42902</v>
      </c>
      <c r="E261" s="9">
        <v>10.022767</v>
      </c>
      <c r="F261" s="9">
        <v>49.938633000000003</v>
      </c>
      <c r="G261" t="s">
        <v>1687</v>
      </c>
      <c r="H261" t="s">
        <v>2563</v>
      </c>
      <c r="I261" t="s">
        <v>2814</v>
      </c>
      <c r="K261" s="20" t="s">
        <v>907</v>
      </c>
      <c r="L261" s="20"/>
      <c r="M261" s="172" t="s">
        <v>1722</v>
      </c>
      <c r="N261" s="20" t="s">
        <v>3620</v>
      </c>
      <c r="O261" s="28">
        <v>0.11020000000000001</v>
      </c>
      <c r="P261" s="28">
        <v>3.6903999999999992E-2</v>
      </c>
      <c r="Q261" s="65">
        <f t="shared" si="18"/>
        <v>7.3296000000000014E-2</v>
      </c>
      <c r="R261" s="20">
        <v>6.28</v>
      </c>
      <c r="S261" s="20">
        <f>10.225+10.054</f>
        <v>20.279</v>
      </c>
      <c r="T261" s="20">
        <f t="shared" si="19"/>
        <v>127.35212</v>
      </c>
      <c r="W261" s="20" t="s">
        <v>887</v>
      </c>
      <c r="X261" s="20" t="s">
        <v>886</v>
      </c>
      <c r="Y261" s="20" t="s">
        <v>36</v>
      </c>
      <c r="Z261" s="20" t="s">
        <v>36</v>
      </c>
    </row>
    <row r="262" spans="1:26">
      <c r="A262" s="20" t="s">
        <v>1060</v>
      </c>
      <c r="B262" s="20" t="s">
        <v>2115</v>
      </c>
      <c r="C262" s="31" t="s">
        <v>2232</v>
      </c>
      <c r="D262" s="49">
        <v>42902</v>
      </c>
      <c r="E262" s="9">
        <v>10.065003000000001</v>
      </c>
      <c r="F262" s="9">
        <v>49.916336000000001</v>
      </c>
      <c r="G262" t="s">
        <v>1687</v>
      </c>
      <c r="H262" t="s">
        <v>2563</v>
      </c>
      <c r="I262" t="s">
        <v>2814</v>
      </c>
      <c r="K262" s="20" t="s">
        <v>907</v>
      </c>
      <c r="L262" s="20"/>
      <c r="M262" s="172" t="s">
        <v>1705</v>
      </c>
      <c r="N262" s="20" t="s">
        <v>3620</v>
      </c>
      <c r="O262" s="28">
        <v>9.9299999999999999E-2</v>
      </c>
      <c r="P262" s="28">
        <v>3.6903999999999992E-2</v>
      </c>
      <c r="Q262" s="65">
        <f t="shared" si="18"/>
        <v>6.2396000000000007E-2</v>
      </c>
      <c r="R262" s="20">
        <v>5.9820000000000002</v>
      </c>
      <c r="S262" s="20">
        <f>11.51+11.078</f>
        <v>22.588000000000001</v>
      </c>
      <c r="T262" s="20">
        <f t="shared" si="19"/>
        <v>135.12141600000001</v>
      </c>
      <c r="W262" s="20" t="s">
        <v>887</v>
      </c>
      <c r="X262" s="20" t="s">
        <v>886</v>
      </c>
      <c r="Y262" s="20" t="s">
        <v>36</v>
      </c>
      <c r="Z262" s="20" t="s">
        <v>36</v>
      </c>
    </row>
    <row r="263" spans="1:26">
      <c r="A263" s="20" t="s">
        <v>1059</v>
      </c>
      <c r="B263" s="20" t="s">
        <v>2115</v>
      </c>
      <c r="C263" s="31" t="s">
        <v>2228</v>
      </c>
      <c r="D263" s="49">
        <v>42902</v>
      </c>
      <c r="E263" s="9">
        <v>10.050008</v>
      </c>
      <c r="F263" s="9">
        <v>49.941994000000001</v>
      </c>
      <c r="G263" t="s">
        <v>1687</v>
      </c>
      <c r="H263" t="s">
        <v>2563</v>
      </c>
      <c r="I263" t="s">
        <v>2814</v>
      </c>
      <c r="K263" s="20" t="s">
        <v>907</v>
      </c>
      <c r="L263" s="20"/>
      <c r="M263" s="172" t="s">
        <v>2582</v>
      </c>
      <c r="N263" s="20" t="s">
        <v>2713</v>
      </c>
      <c r="O263" s="28">
        <v>0.1033</v>
      </c>
      <c r="P263" s="28">
        <v>3.6903999999999992E-2</v>
      </c>
      <c r="Q263" s="65">
        <f t="shared" si="18"/>
        <v>6.6396000000000011E-2</v>
      </c>
      <c r="R263" s="20">
        <v>6.09</v>
      </c>
      <c r="S263" s="20">
        <f>10.331+9.647</f>
        <v>19.978000000000002</v>
      </c>
      <c r="T263" s="20">
        <f t="shared" si="19"/>
        <v>121.66602</v>
      </c>
      <c r="W263" s="20" t="s">
        <v>887</v>
      </c>
      <c r="X263" s="20" t="s">
        <v>886</v>
      </c>
      <c r="Y263" s="20" t="s">
        <v>36</v>
      </c>
      <c r="Z263" s="20" t="s">
        <v>36</v>
      </c>
    </row>
    <row r="264" spans="1:26">
      <c r="A264" s="20" t="s">
        <v>1058</v>
      </c>
      <c r="B264" s="20" t="s">
        <v>2115</v>
      </c>
      <c r="C264" s="31" t="s">
        <v>2235</v>
      </c>
      <c r="D264" s="49">
        <v>42902</v>
      </c>
      <c r="E264" s="9">
        <v>10.057294000000001</v>
      </c>
      <c r="F264" s="9">
        <v>49.902307999999998</v>
      </c>
      <c r="G264" t="s">
        <v>1687</v>
      </c>
      <c r="H264" t="s">
        <v>2563</v>
      </c>
      <c r="I264" t="s">
        <v>2814</v>
      </c>
      <c r="K264" s="20" t="s">
        <v>907</v>
      </c>
      <c r="L264" s="20"/>
      <c r="M264" s="172" t="s">
        <v>1710</v>
      </c>
      <c r="N264" s="20" t="s">
        <v>3620</v>
      </c>
      <c r="O264" s="28">
        <v>7.5999999999999998E-2</v>
      </c>
      <c r="P264" s="28">
        <v>3.6903999999999992E-2</v>
      </c>
      <c r="Q264" s="65">
        <f t="shared" si="18"/>
        <v>3.9096000000000006E-2</v>
      </c>
      <c r="R264" s="20">
        <v>5.1710000000000003</v>
      </c>
      <c r="S264" s="20">
        <f>6.854+8.295</f>
        <v>15.149000000000001</v>
      </c>
      <c r="T264" s="20">
        <f t="shared" si="19"/>
        <v>78.335479000000007</v>
      </c>
      <c r="W264" s="20" t="s">
        <v>887</v>
      </c>
      <c r="X264" s="20" t="s">
        <v>886</v>
      </c>
      <c r="Y264" s="20" t="s">
        <v>36</v>
      </c>
      <c r="Z264" s="20" t="s">
        <v>36</v>
      </c>
    </row>
    <row r="265" spans="1:26">
      <c r="A265" s="20" t="s">
        <v>1057</v>
      </c>
      <c r="B265" s="20" t="s">
        <v>2115</v>
      </c>
      <c r="C265" s="31" t="s">
        <v>2234</v>
      </c>
      <c r="D265" s="49">
        <v>42856</v>
      </c>
      <c r="E265" s="9">
        <v>10.053630999999999</v>
      </c>
      <c r="F265" s="9">
        <v>49.900486000000001</v>
      </c>
      <c r="G265" t="s">
        <v>1687</v>
      </c>
      <c r="H265" t="s">
        <v>2563</v>
      </c>
      <c r="I265" t="s">
        <v>2814</v>
      </c>
      <c r="K265" s="20" t="s">
        <v>907</v>
      </c>
      <c r="L265" s="20"/>
      <c r="M265" s="172" t="s">
        <v>1705</v>
      </c>
      <c r="N265" s="20" t="s">
        <v>3620</v>
      </c>
      <c r="O265" s="28">
        <v>0.1096</v>
      </c>
      <c r="P265" s="28">
        <v>3.6903999999999992E-2</v>
      </c>
      <c r="Q265" s="65">
        <f t="shared" si="18"/>
        <v>7.2696000000000011E-2</v>
      </c>
      <c r="R265" s="20">
        <v>6.673</v>
      </c>
      <c r="S265" s="20">
        <f>8.256+9.917</f>
        <v>18.173000000000002</v>
      </c>
      <c r="T265" s="20">
        <f t="shared" si="19"/>
        <v>121.26842900000001</v>
      </c>
      <c r="W265" s="20" t="s">
        <v>887</v>
      </c>
      <c r="X265" s="20" t="s">
        <v>886</v>
      </c>
      <c r="Y265" s="20" t="s">
        <v>36</v>
      </c>
      <c r="Z265" s="20" t="s">
        <v>36</v>
      </c>
    </row>
    <row r="266" spans="1:26">
      <c r="A266" s="20" t="s">
        <v>1056</v>
      </c>
      <c r="B266" s="20" t="s">
        <v>2115</v>
      </c>
      <c r="C266" s="31" t="s">
        <v>2234</v>
      </c>
      <c r="D266" s="49">
        <v>42902</v>
      </c>
      <c r="E266" s="9">
        <v>10.053630999999999</v>
      </c>
      <c r="F266" s="9">
        <v>49.900486000000001</v>
      </c>
      <c r="G266" t="s">
        <v>1687</v>
      </c>
      <c r="H266" t="s">
        <v>2563</v>
      </c>
      <c r="I266" t="s">
        <v>2814</v>
      </c>
      <c r="K266" s="20" t="s">
        <v>907</v>
      </c>
      <c r="L266" s="20"/>
      <c r="M266" s="172" t="s">
        <v>1722</v>
      </c>
      <c r="N266" s="20" t="s">
        <v>3620</v>
      </c>
      <c r="O266" s="28">
        <v>0.1046</v>
      </c>
      <c r="P266" s="28">
        <v>3.6903999999999992E-2</v>
      </c>
      <c r="Q266" s="65">
        <f t="shared" si="18"/>
        <v>6.7696000000000006E-2</v>
      </c>
      <c r="R266" s="20">
        <v>6.1619999999999999</v>
      </c>
      <c r="S266" s="20">
        <f>14.908+8.83</f>
        <v>23.738</v>
      </c>
      <c r="T266" s="20">
        <f t="shared" si="19"/>
        <v>146.27355599999999</v>
      </c>
      <c r="W266" s="20" t="s">
        <v>887</v>
      </c>
      <c r="X266" s="20" t="s">
        <v>886</v>
      </c>
      <c r="Y266" s="20" t="s">
        <v>36</v>
      </c>
      <c r="Z266" s="20" t="s">
        <v>36</v>
      </c>
    </row>
    <row r="267" spans="1:26">
      <c r="A267" s="20" t="s">
        <v>1055</v>
      </c>
      <c r="B267" s="20" t="s">
        <v>2115</v>
      </c>
      <c r="C267" s="31" t="s">
        <v>2228</v>
      </c>
      <c r="D267" s="49">
        <v>42902</v>
      </c>
      <c r="E267" s="9">
        <v>10.050008</v>
      </c>
      <c r="F267" s="9">
        <v>49.941994000000001</v>
      </c>
      <c r="G267" t="s">
        <v>1687</v>
      </c>
      <c r="H267" t="s">
        <v>2563</v>
      </c>
      <c r="I267" t="s">
        <v>2814</v>
      </c>
      <c r="K267" s="20" t="s">
        <v>907</v>
      </c>
      <c r="L267" s="20"/>
      <c r="M267" s="172" t="s">
        <v>1705</v>
      </c>
      <c r="N267" s="20" t="s">
        <v>3620</v>
      </c>
      <c r="O267" s="28">
        <v>9.2100000000000001E-2</v>
      </c>
      <c r="P267" s="28">
        <v>3.6903999999999992E-2</v>
      </c>
      <c r="Q267" s="65">
        <f t="shared" si="18"/>
        <v>5.5196000000000009E-2</v>
      </c>
      <c r="R267" s="20">
        <v>5.82</v>
      </c>
      <c r="S267" s="20">
        <f>9.618+8.968</f>
        <v>18.585999999999999</v>
      </c>
      <c r="T267" s="20">
        <f t="shared" si="19"/>
        <v>108.17052</v>
      </c>
      <c r="W267" s="20" t="s">
        <v>887</v>
      </c>
      <c r="X267" s="20" t="s">
        <v>886</v>
      </c>
      <c r="Y267" s="20" t="s">
        <v>36</v>
      </c>
      <c r="Z267" s="20" t="s">
        <v>36</v>
      </c>
    </row>
    <row r="268" spans="1:26">
      <c r="A268" s="20" t="s">
        <v>1054</v>
      </c>
      <c r="B268" s="20" t="s">
        <v>2115</v>
      </c>
      <c r="C268" s="31" t="s">
        <v>2228</v>
      </c>
      <c r="D268" s="49">
        <v>42888</v>
      </c>
      <c r="E268" s="9">
        <v>10.050008</v>
      </c>
      <c r="F268" s="9">
        <v>49.941994000000001</v>
      </c>
      <c r="G268" t="s">
        <v>1687</v>
      </c>
      <c r="H268" t="s">
        <v>2563</v>
      </c>
      <c r="I268" t="s">
        <v>2814</v>
      </c>
      <c r="K268" s="20" t="s">
        <v>907</v>
      </c>
      <c r="L268" s="20"/>
      <c r="M268" s="172" t="s">
        <v>1705</v>
      </c>
      <c r="N268" s="20" t="s">
        <v>3620</v>
      </c>
      <c r="O268" s="35">
        <v>9.1899999999999996E-2</v>
      </c>
      <c r="P268" s="28">
        <v>3.6903999999999992E-2</v>
      </c>
      <c r="Q268" s="65">
        <f t="shared" si="18"/>
        <v>5.4996000000000003E-2</v>
      </c>
      <c r="R268" s="20">
        <v>6.0220000000000002</v>
      </c>
      <c r="S268" s="20">
        <f>10.188+4.168+5.03</f>
        <v>19.386000000000003</v>
      </c>
      <c r="T268" s="20">
        <f t="shared" si="19"/>
        <v>116.74249200000003</v>
      </c>
      <c r="W268" s="20" t="s">
        <v>887</v>
      </c>
      <c r="X268" s="20" t="s">
        <v>886</v>
      </c>
      <c r="Y268" s="20" t="s">
        <v>36</v>
      </c>
      <c r="Z268" s="20" t="s">
        <v>36</v>
      </c>
    </row>
    <row r="269" spans="1:26">
      <c r="A269" s="20" t="s">
        <v>1053</v>
      </c>
      <c r="B269" s="20" t="s">
        <v>2115</v>
      </c>
      <c r="C269" s="31" t="s">
        <v>2236</v>
      </c>
      <c r="D269" s="49">
        <v>42902</v>
      </c>
      <c r="E269" s="9">
        <v>10.022767</v>
      </c>
      <c r="F269" s="9">
        <v>49.938633000000003</v>
      </c>
      <c r="G269" t="s">
        <v>1687</v>
      </c>
      <c r="H269" t="s">
        <v>2563</v>
      </c>
      <c r="I269" t="s">
        <v>2814</v>
      </c>
      <c r="K269" s="20" t="s">
        <v>907</v>
      </c>
      <c r="L269" s="20"/>
      <c r="M269" s="172" t="s">
        <v>1722</v>
      </c>
      <c r="N269" s="20" t="s">
        <v>3620</v>
      </c>
      <c r="O269" s="28">
        <v>0.1042</v>
      </c>
      <c r="P269" s="28">
        <v>3.6903999999999992E-2</v>
      </c>
      <c r="Q269" s="65">
        <f t="shared" si="18"/>
        <v>6.7296000000000009E-2</v>
      </c>
      <c r="R269" s="20">
        <v>6.1689999999999996</v>
      </c>
      <c r="S269" s="20">
        <f>9.264+9.5</f>
        <v>18.763999999999999</v>
      </c>
      <c r="T269" s="20">
        <f t="shared" si="19"/>
        <v>115.75511599999999</v>
      </c>
      <c r="W269" s="20" t="s">
        <v>887</v>
      </c>
      <c r="X269" s="20" t="s">
        <v>886</v>
      </c>
      <c r="Y269" s="20" t="s">
        <v>36</v>
      </c>
      <c r="Z269" s="20" t="s">
        <v>36</v>
      </c>
    </row>
    <row r="270" spans="1:26">
      <c r="A270" s="20" t="s">
        <v>1052</v>
      </c>
      <c r="B270" s="20" t="s">
        <v>2115</v>
      </c>
      <c r="C270" s="31" t="s">
        <v>2230</v>
      </c>
      <c r="D270" s="49">
        <v>42902</v>
      </c>
      <c r="E270" s="9">
        <v>10.124091999999999</v>
      </c>
      <c r="F270" s="9">
        <v>49.906236</v>
      </c>
      <c r="G270" t="s">
        <v>1687</v>
      </c>
      <c r="H270" t="s">
        <v>2563</v>
      </c>
      <c r="I270" t="s">
        <v>2814</v>
      </c>
      <c r="K270" s="20" t="s">
        <v>907</v>
      </c>
      <c r="L270" s="20"/>
      <c r="M270" s="172" t="s">
        <v>2582</v>
      </c>
      <c r="N270" s="20" t="s">
        <v>3620</v>
      </c>
      <c r="O270" s="28">
        <v>6.9000000000000006E-2</v>
      </c>
      <c r="P270" s="28">
        <v>3.6903999999999992E-2</v>
      </c>
      <c r="Q270" s="65">
        <f t="shared" si="18"/>
        <v>3.2096000000000013E-2</v>
      </c>
      <c r="R270" s="20">
        <v>5.4349999999999996</v>
      </c>
      <c r="S270" s="20">
        <f>7.86+9.528</f>
        <v>17.388000000000002</v>
      </c>
      <c r="T270" s="20">
        <f t="shared" si="19"/>
        <v>94.503780000000006</v>
      </c>
      <c r="W270" s="20" t="s">
        <v>887</v>
      </c>
      <c r="X270" s="20" t="s">
        <v>886</v>
      </c>
      <c r="Y270" s="20" t="s">
        <v>36</v>
      </c>
      <c r="Z270" s="20" t="s">
        <v>36</v>
      </c>
    </row>
    <row r="271" spans="1:26">
      <c r="A271" s="20" t="s">
        <v>1051</v>
      </c>
      <c r="B271" s="20" t="s">
        <v>2115</v>
      </c>
      <c r="C271" s="31" t="s">
        <v>2232</v>
      </c>
      <c r="D271" s="49">
        <v>42902</v>
      </c>
      <c r="E271" s="9">
        <v>10.065003000000001</v>
      </c>
      <c r="F271" s="9">
        <v>49.916336000000001</v>
      </c>
      <c r="G271" t="s">
        <v>1687</v>
      </c>
      <c r="H271" t="s">
        <v>2563</v>
      </c>
      <c r="I271" t="s">
        <v>2814</v>
      </c>
      <c r="K271" s="20" t="s">
        <v>907</v>
      </c>
      <c r="L271" s="20"/>
      <c r="M271" s="172" t="s">
        <v>1722</v>
      </c>
      <c r="N271" s="20" t="s">
        <v>3620</v>
      </c>
      <c r="O271" s="28">
        <v>0.1188</v>
      </c>
      <c r="P271" s="28">
        <v>3.6903999999999992E-2</v>
      </c>
      <c r="Q271" s="65">
        <f t="shared" si="18"/>
        <v>8.189600000000001E-2</v>
      </c>
      <c r="R271" s="20">
        <v>6.7080000000000002</v>
      </c>
      <c r="S271" s="20">
        <f>10.441+3.608+4.57+4.139</f>
        <v>22.757999999999999</v>
      </c>
      <c r="T271" s="20">
        <f t="shared" si="19"/>
        <v>152.660664</v>
      </c>
      <c r="W271" s="20" t="s">
        <v>887</v>
      </c>
      <c r="X271" s="20" t="s">
        <v>886</v>
      </c>
      <c r="Y271" s="20" t="s">
        <v>36</v>
      </c>
      <c r="Z271" s="20" t="s">
        <v>36</v>
      </c>
    </row>
    <row r="272" spans="1:26">
      <c r="A272" s="20" t="s">
        <v>1050</v>
      </c>
      <c r="B272" s="20" t="s">
        <v>2115</v>
      </c>
      <c r="C272" s="31" t="s">
        <v>2243</v>
      </c>
      <c r="D272" s="49">
        <v>42902</v>
      </c>
      <c r="E272" s="9">
        <v>10.069680999999999</v>
      </c>
      <c r="F272" s="9">
        <v>49.368496999999998</v>
      </c>
      <c r="G272" t="s">
        <v>1687</v>
      </c>
      <c r="H272" t="s">
        <v>2563</v>
      </c>
      <c r="I272" t="s">
        <v>2814</v>
      </c>
      <c r="K272" s="20" t="s">
        <v>907</v>
      </c>
      <c r="L272" s="20"/>
      <c r="M272" s="172" t="s">
        <v>1705</v>
      </c>
      <c r="N272" s="20" t="s">
        <v>3620</v>
      </c>
      <c r="O272" s="28">
        <v>0.1118</v>
      </c>
      <c r="P272" s="28">
        <v>3.6903999999999992E-2</v>
      </c>
      <c r="Q272" s="65">
        <f t="shared" si="18"/>
        <v>7.4896000000000004E-2</v>
      </c>
      <c r="R272" s="20">
        <v>5.5039999999999996</v>
      </c>
      <c r="S272" s="20">
        <f>9.916+4.138+5.403</f>
        <v>19.457000000000001</v>
      </c>
      <c r="T272" s="20">
        <f t="shared" si="19"/>
        <v>107.09132799999999</v>
      </c>
      <c r="W272" s="20" t="s">
        <v>887</v>
      </c>
      <c r="X272" s="20" t="s">
        <v>886</v>
      </c>
      <c r="Y272" s="20" t="s">
        <v>36</v>
      </c>
      <c r="Z272" s="20" t="s">
        <v>36</v>
      </c>
    </row>
    <row r="273" spans="1:26">
      <c r="A273" s="20" t="s">
        <v>1049</v>
      </c>
      <c r="B273" s="20" t="s">
        <v>2115</v>
      </c>
      <c r="C273" s="31" t="s">
        <v>2230</v>
      </c>
      <c r="D273" s="49">
        <v>42902</v>
      </c>
      <c r="E273" s="9">
        <v>10.124091999999999</v>
      </c>
      <c r="F273" s="9">
        <v>49.906236</v>
      </c>
      <c r="G273" t="s">
        <v>1687</v>
      </c>
      <c r="H273" t="s">
        <v>2563</v>
      </c>
      <c r="I273" t="s">
        <v>2814</v>
      </c>
      <c r="K273" s="20" t="s">
        <v>907</v>
      </c>
      <c r="L273" s="20"/>
      <c r="M273" s="172" t="s">
        <v>1705</v>
      </c>
      <c r="N273" s="20" t="s">
        <v>3620</v>
      </c>
      <c r="O273" s="28">
        <v>8.5300000000000001E-2</v>
      </c>
      <c r="P273" s="28">
        <v>3.6903999999999992E-2</v>
      </c>
      <c r="Q273" s="65">
        <f t="shared" si="18"/>
        <v>4.8396000000000008E-2</v>
      </c>
      <c r="R273" s="20">
        <v>6.0439999999999996</v>
      </c>
      <c r="S273" s="20">
        <f>10.837+9.756</f>
        <v>20.593</v>
      </c>
      <c r="T273" s="20">
        <f t="shared" si="19"/>
        <v>124.46409199999999</v>
      </c>
      <c r="W273" s="20" t="s">
        <v>887</v>
      </c>
      <c r="X273" s="20" t="s">
        <v>886</v>
      </c>
      <c r="Y273" s="20" t="s">
        <v>36</v>
      </c>
      <c r="Z273" s="20" t="s">
        <v>36</v>
      </c>
    </row>
    <row r="274" spans="1:26">
      <c r="A274" s="20" t="s">
        <v>1048</v>
      </c>
      <c r="B274" s="20" t="s">
        <v>2115</v>
      </c>
      <c r="C274" s="31" t="s">
        <v>2232</v>
      </c>
      <c r="D274" s="49">
        <v>42902</v>
      </c>
      <c r="E274" s="9">
        <v>10.065003000000001</v>
      </c>
      <c r="F274" s="9">
        <v>49.916336000000001</v>
      </c>
      <c r="G274" t="s">
        <v>1687</v>
      </c>
      <c r="H274" t="s">
        <v>2563</v>
      </c>
      <c r="I274" t="s">
        <v>2814</v>
      </c>
      <c r="K274" s="20" t="s">
        <v>907</v>
      </c>
      <c r="L274" s="20"/>
      <c r="M274" s="172" t="s">
        <v>1722</v>
      </c>
      <c r="N274" s="20" t="s">
        <v>3620</v>
      </c>
      <c r="O274" s="28">
        <v>0.1033</v>
      </c>
      <c r="P274" s="28">
        <v>3.6903999999999992E-2</v>
      </c>
      <c r="Q274" s="65">
        <f t="shared" si="18"/>
        <v>6.6396000000000011E-2</v>
      </c>
      <c r="R274" s="20">
        <v>6.3739999999999997</v>
      </c>
      <c r="S274" s="20">
        <f>9.068+9.768</f>
        <v>18.835999999999999</v>
      </c>
      <c r="T274" s="20">
        <f t="shared" si="19"/>
        <v>120.06066399999999</v>
      </c>
      <c r="W274" s="20" t="s">
        <v>887</v>
      </c>
      <c r="X274" s="20" t="s">
        <v>886</v>
      </c>
      <c r="Y274" s="20" t="s">
        <v>36</v>
      </c>
      <c r="Z274" s="20" t="s">
        <v>36</v>
      </c>
    </row>
    <row r="275" spans="1:26">
      <c r="A275" s="20" t="s">
        <v>1047</v>
      </c>
      <c r="B275" s="20" t="s">
        <v>2115</v>
      </c>
      <c r="C275" s="31" t="s">
        <v>2230</v>
      </c>
      <c r="D275" s="49">
        <v>42902</v>
      </c>
      <c r="E275" s="9">
        <v>10.124091999999999</v>
      </c>
      <c r="F275" s="9">
        <v>49.906236</v>
      </c>
      <c r="G275" t="s">
        <v>1687</v>
      </c>
      <c r="H275" t="s">
        <v>2563</v>
      </c>
      <c r="I275" t="s">
        <v>2814</v>
      </c>
      <c r="K275" s="20" t="s">
        <v>907</v>
      </c>
      <c r="L275" s="20"/>
      <c r="M275" s="172" t="s">
        <v>1705</v>
      </c>
      <c r="N275" s="20" t="s">
        <v>3620</v>
      </c>
      <c r="O275" s="28">
        <v>9.8500000000000004E-2</v>
      </c>
      <c r="P275" s="28">
        <v>3.6903999999999992E-2</v>
      </c>
      <c r="Q275" s="65">
        <f t="shared" si="18"/>
        <v>6.1596000000000012E-2</v>
      </c>
      <c r="R275" s="20">
        <v>5.44</v>
      </c>
      <c r="S275" s="20">
        <f>9.653+11.686</f>
        <v>21.338999999999999</v>
      </c>
      <c r="T275" s="20">
        <f t="shared" si="19"/>
        <v>116.08416</v>
      </c>
      <c r="W275" s="20" t="s">
        <v>887</v>
      </c>
      <c r="X275" s="20" t="s">
        <v>886</v>
      </c>
      <c r="Y275" s="20" t="s">
        <v>36</v>
      </c>
      <c r="Z275" s="20" t="s">
        <v>36</v>
      </c>
    </row>
    <row r="276" spans="1:26">
      <c r="A276" s="20" t="s">
        <v>1046</v>
      </c>
      <c r="B276" s="20" t="s">
        <v>2115</v>
      </c>
      <c r="C276" s="31" t="s">
        <v>2237</v>
      </c>
      <c r="D276" s="49">
        <v>42902</v>
      </c>
      <c r="E276" s="9">
        <v>10.045693999999999</v>
      </c>
      <c r="F276" s="9">
        <v>49.896189</v>
      </c>
      <c r="G276" t="s">
        <v>1687</v>
      </c>
      <c r="H276" t="s">
        <v>2563</v>
      </c>
      <c r="I276" t="s">
        <v>2814</v>
      </c>
      <c r="K276" s="20" t="s">
        <v>907</v>
      </c>
      <c r="L276" s="20"/>
      <c r="M276" s="172" t="s">
        <v>1722</v>
      </c>
      <c r="N276" s="20" t="s">
        <v>3620</v>
      </c>
      <c r="O276" s="28">
        <v>0.12520000000000001</v>
      </c>
      <c r="P276" s="28">
        <v>3.6903999999999992E-2</v>
      </c>
      <c r="Q276" s="65">
        <f t="shared" si="18"/>
        <v>8.8296000000000013E-2</v>
      </c>
      <c r="R276" s="20">
        <v>6.26</v>
      </c>
      <c r="S276" s="20">
        <f>10.8+13.098</f>
        <v>23.898000000000003</v>
      </c>
      <c r="T276" s="20">
        <f t="shared" si="19"/>
        <v>149.60148000000001</v>
      </c>
      <c r="W276" s="20" t="s">
        <v>887</v>
      </c>
      <c r="X276" s="20" t="s">
        <v>886</v>
      </c>
      <c r="Y276" s="20" t="s">
        <v>36</v>
      </c>
      <c r="Z276" s="20" t="s">
        <v>36</v>
      </c>
    </row>
    <row r="277" spans="1:26">
      <c r="A277" s="20" t="s">
        <v>1045</v>
      </c>
      <c r="B277" s="20" t="s">
        <v>2115</v>
      </c>
      <c r="C277" s="31" t="s">
        <v>2228</v>
      </c>
      <c r="D277" s="49">
        <v>42902</v>
      </c>
      <c r="E277" s="9">
        <v>10.050008</v>
      </c>
      <c r="F277" s="9">
        <v>49.941994000000001</v>
      </c>
      <c r="G277" t="s">
        <v>1687</v>
      </c>
      <c r="H277" t="s">
        <v>2563</v>
      </c>
      <c r="I277" t="s">
        <v>2814</v>
      </c>
      <c r="K277" s="20" t="s">
        <v>907</v>
      </c>
      <c r="L277" s="20"/>
      <c r="M277" s="172" t="s">
        <v>1710</v>
      </c>
      <c r="N277" s="20" t="s">
        <v>3620</v>
      </c>
      <c r="O277" s="28">
        <v>9.3799999999999994E-2</v>
      </c>
      <c r="P277" s="28">
        <v>3.6903999999999992E-2</v>
      </c>
      <c r="Q277" s="65">
        <f t="shared" si="18"/>
        <v>5.6896000000000002E-2</v>
      </c>
      <c r="R277" s="20">
        <v>6.5330000000000004</v>
      </c>
      <c r="S277" s="20">
        <f>11.573+9.477</f>
        <v>21.05</v>
      </c>
      <c r="T277" s="20">
        <f t="shared" si="19"/>
        <v>137.51965000000001</v>
      </c>
      <c r="W277" s="20" t="s">
        <v>887</v>
      </c>
      <c r="X277" s="20" t="s">
        <v>886</v>
      </c>
      <c r="Y277" s="20" t="s">
        <v>36</v>
      </c>
      <c r="Z277" s="20" t="s">
        <v>36</v>
      </c>
    </row>
    <row r="278" spans="1:26">
      <c r="A278" s="20" t="s">
        <v>1044</v>
      </c>
      <c r="B278" s="20" t="s">
        <v>2115</v>
      </c>
      <c r="C278" s="31" t="s">
        <v>2244</v>
      </c>
      <c r="D278" s="49">
        <v>42888</v>
      </c>
      <c r="E278" s="9">
        <v>10.017931000000001</v>
      </c>
      <c r="F278" s="9">
        <v>49.935696999999998</v>
      </c>
      <c r="G278" t="s">
        <v>1687</v>
      </c>
      <c r="H278" t="s">
        <v>2563</v>
      </c>
      <c r="I278" t="s">
        <v>2814</v>
      </c>
      <c r="K278" s="20" t="s">
        <v>907</v>
      </c>
      <c r="L278" s="20"/>
      <c r="M278" s="172" t="s">
        <v>1705</v>
      </c>
      <c r="N278" s="20" t="s">
        <v>3620</v>
      </c>
      <c r="O278" s="28">
        <v>9.6100000000000005E-2</v>
      </c>
      <c r="P278" s="28">
        <v>3.6903999999999992E-2</v>
      </c>
      <c r="Q278" s="65">
        <f t="shared" si="18"/>
        <v>5.9196000000000012E-2</v>
      </c>
      <c r="R278" s="20">
        <v>6.4249999999999998</v>
      </c>
      <c r="S278" s="20">
        <f>10.048+4.518+7.14</f>
        <v>21.706</v>
      </c>
      <c r="T278" s="20">
        <f t="shared" si="19"/>
        <v>139.46105</v>
      </c>
      <c r="W278" s="20" t="s">
        <v>887</v>
      </c>
      <c r="X278" s="20" t="s">
        <v>886</v>
      </c>
      <c r="Y278" s="20" t="s">
        <v>36</v>
      </c>
      <c r="Z278" s="20" t="s">
        <v>36</v>
      </c>
    </row>
    <row r="279" spans="1:26">
      <c r="A279" s="20" t="s">
        <v>1043</v>
      </c>
      <c r="B279" s="20" t="s">
        <v>2115</v>
      </c>
      <c r="C279" s="31" t="s">
        <v>2244</v>
      </c>
      <c r="D279" s="49">
        <v>42902</v>
      </c>
      <c r="E279" s="9">
        <v>10.017931000000001</v>
      </c>
      <c r="F279" s="9">
        <v>49.935696999999998</v>
      </c>
      <c r="G279" t="s">
        <v>1687</v>
      </c>
      <c r="H279" t="s">
        <v>2563</v>
      </c>
      <c r="I279" t="s">
        <v>2814</v>
      </c>
      <c r="K279" s="20" t="s">
        <v>907</v>
      </c>
      <c r="L279" s="20"/>
      <c r="M279" s="172" t="s">
        <v>1705</v>
      </c>
      <c r="N279" s="20" t="s">
        <v>3620</v>
      </c>
      <c r="O279" s="28">
        <v>0.1134</v>
      </c>
      <c r="P279" s="28">
        <v>3.6903999999999992E-2</v>
      </c>
      <c r="Q279" s="65">
        <f t="shared" si="18"/>
        <v>7.6496000000000008E-2</v>
      </c>
      <c r="R279" s="20">
        <v>6.1289999999999996</v>
      </c>
      <c r="S279" s="20">
        <f>9.86+5.684+4.487</f>
        <v>20.030999999999999</v>
      </c>
      <c r="T279" s="20">
        <f t="shared" si="19"/>
        <v>122.76999899999998</v>
      </c>
      <c r="W279" s="20" t="s">
        <v>887</v>
      </c>
      <c r="X279" s="20" t="s">
        <v>886</v>
      </c>
      <c r="Y279" s="20" t="s">
        <v>36</v>
      </c>
      <c r="Z279" s="20" t="s">
        <v>36</v>
      </c>
    </row>
    <row r="280" spans="1:26">
      <c r="A280" s="20" t="s">
        <v>1042</v>
      </c>
      <c r="B280" s="20" t="s">
        <v>2115</v>
      </c>
      <c r="C280" s="31" t="s">
        <v>2228</v>
      </c>
      <c r="D280" s="49">
        <v>42902</v>
      </c>
      <c r="E280" s="9">
        <v>10.050008</v>
      </c>
      <c r="F280" s="9">
        <v>49.941994000000001</v>
      </c>
      <c r="G280" t="s">
        <v>1687</v>
      </c>
      <c r="H280" t="s">
        <v>2563</v>
      </c>
      <c r="I280" t="s">
        <v>2814</v>
      </c>
      <c r="K280" s="20" t="s">
        <v>907</v>
      </c>
      <c r="L280" s="20"/>
      <c r="M280" s="172" t="s">
        <v>1722</v>
      </c>
      <c r="N280" s="20" t="s">
        <v>3620</v>
      </c>
      <c r="O280" s="28">
        <v>0.11799999999999999</v>
      </c>
      <c r="P280" s="28">
        <v>3.6903999999999992E-2</v>
      </c>
      <c r="Q280" s="65">
        <f t="shared" si="18"/>
        <v>8.1096000000000001E-2</v>
      </c>
      <c r="R280" s="20">
        <v>5.66</v>
      </c>
      <c r="S280" s="20">
        <f>10.879+4.548+6.466</f>
        <v>21.893000000000001</v>
      </c>
      <c r="T280" s="20">
        <f t="shared" si="19"/>
        <v>123.91438000000001</v>
      </c>
      <c r="W280" s="20" t="s">
        <v>887</v>
      </c>
      <c r="X280" s="20" t="s">
        <v>886</v>
      </c>
      <c r="Y280" s="20" t="s">
        <v>36</v>
      </c>
      <c r="Z280" s="20" t="s">
        <v>36</v>
      </c>
    </row>
    <row r="281" spans="1:26">
      <c r="A281" s="20" t="s">
        <v>1041</v>
      </c>
      <c r="B281" s="20" t="s">
        <v>2115</v>
      </c>
      <c r="C281" s="31" t="s">
        <v>2235</v>
      </c>
      <c r="D281" s="49">
        <v>42888</v>
      </c>
      <c r="E281" s="9">
        <v>10.057294000000001</v>
      </c>
      <c r="F281" s="9">
        <v>49.902307999999998</v>
      </c>
      <c r="G281" t="s">
        <v>1687</v>
      </c>
      <c r="H281" t="s">
        <v>2563</v>
      </c>
      <c r="I281" t="s">
        <v>2814</v>
      </c>
      <c r="K281" s="20" t="s">
        <v>907</v>
      </c>
      <c r="L281" s="20"/>
      <c r="M281" s="172" t="s">
        <v>1705</v>
      </c>
      <c r="N281" s="20" t="s">
        <v>3620</v>
      </c>
      <c r="O281" s="28">
        <v>0.11890000000000001</v>
      </c>
      <c r="P281" s="28">
        <v>3.6903999999999992E-2</v>
      </c>
      <c r="Q281" s="65">
        <f t="shared" si="18"/>
        <v>8.1996000000000013E-2</v>
      </c>
      <c r="R281" s="20">
        <v>6.1890000000000001</v>
      </c>
      <c r="S281" s="20">
        <f>10.158+4.301+4.794</f>
        <v>19.253</v>
      </c>
      <c r="T281" s="20">
        <f t="shared" si="19"/>
        <v>119.156817</v>
      </c>
      <c r="W281" s="20" t="s">
        <v>887</v>
      </c>
      <c r="X281" s="20" t="s">
        <v>886</v>
      </c>
      <c r="Y281" s="20" t="s">
        <v>36</v>
      </c>
      <c r="Z281" s="20" t="s">
        <v>36</v>
      </c>
    </row>
    <row r="282" spans="1:26">
      <c r="A282" s="20" t="s">
        <v>1040</v>
      </c>
      <c r="B282" s="20" t="s">
        <v>2115</v>
      </c>
      <c r="C282" s="31" t="s">
        <v>2231</v>
      </c>
      <c r="D282" s="49">
        <v>42872</v>
      </c>
      <c r="E282" s="9">
        <v>10.113375</v>
      </c>
      <c r="F282" s="9">
        <v>49.850391999999999</v>
      </c>
      <c r="G282" t="s">
        <v>1687</v>
      </c>
      <c r="H282" t="s">
        <v>2563</v>
      </c>
      <c r="I282" t="s">
        <v>2814</v>
      </c>
      <c r="K282" s="20" t="s">
        <v>907</v>
      </c>
      <c r="L282" s="20"/>
      <c r="M282" s="172" t="s">
        <v>1705</v>
      </c>
      <c r="N282" s="20" t="s">
        <v>3620</v>
      </c>
      <c r="O282" s="28">
        <v>6.6400000000000001E-2</v>
      </c>
      <c r="P282" s="28">
        <v>3.6903999999999992E-2</v>
      </c>
      <c r="Q282" s="65">
        <f t="shared" si="18"/>
        <v>2.9496000000000008E-2</v>
      </c>
      <c r="R282" s="20">
        <v>4.5389999999999997</v>
      </c>
      <c r="S282" s="20">
        <f>8.526+3.437+4.585</f>
        <v>16.547999999999998</v>
      </c>
      <c r="T282" s="20">
        <f t="shared" si="19"/>
        <v>75.111371999999989</v>
      </c>
      <c r="W282" s="20" t="s">
        <v>887</v>
      </c>
      <c r="X282" s="20" t="s">
        <v>886</v>
      </c>
      <c r="Y282" s="20" t="s">
        <v>36</v>
      </c>
      <c r="Z282" s="20" t="s">
        <v>36</v>
      </c>
    </row>
    <row r="283" spans="1:26">
      <c r="A283" s="20" t="s">
        <v>1039</v>
      </c>
      <c r="B283" s="20" t="s">
        <v>2115</v>
      </c>
      <c r="C283" s="31" t="s">
        <v>2231</v>
      </c>
      <c r="D283" s="49">
        <v>42902</v>
      </c>
      <c r="E283" s="9">
        <v>10.113375</v>
      </c>
      <c r="F283" s="9">
        <v>49.850391999999999</v>
      </c>
      <c r="G283" t="s">
        <v>1687</v>
      </c>
      <c r="H283" t="s">
        <v>2563</v>
      </c>
      <c r="I283" t="s">
        <v>2814</v>
      </c>
      <c r="K283" s="20" t="s">
        <v>907</v>
      </c>
      <c r="L283" s="20"/>
      <c r="M283" s="172" t="s">
        <v>1722</v>
      </c>
      <c r="N283" s="20" t="s">
        <v>3620</v>
      </c>
      <c r="O283" s="28">
        <v>9.9299999999999999E-2</v>
      </c>
      <c r="P283" s="28">
        <v>3.6903999999999992E-2</v>
      </c>
      <c r="Q283" s="65">
        <f t="shared" si="18"/>
        <v>6.2396000000000007E-2</v>
      </c>
      <c r="R283" s="20">
        <v>5.617</v>
      </c>
      <c r="S283" s="20">
        <f>12.832+10.751</f>
        <v>23.582999999999998</v>
      </c>
      <c r="T283" s="20">
        <f t="shared" si="19"/>
        <v>132.465711</v>
      </c>
      <c r="W283" s="20" t="s">
        <v>887</v>
      </c>
      <c r="X283" s="20" t="s">
        <v>886</v>
      </c>
      <c r="Y283" s="20" t="s">
        <v>36</v>
      </c>
      <c r="Z283" s="20" t="s">
        <v>36</v>
      </c>
    </row>
    <row r="284" spans="1:26">
      <c r="A284" s="20" t="s">
        <v>1038</v>
      </c>
      <c r="B284" s="20" t="s">
        <v>2115</v>
      </c>
      <c r="C284" s="31" t="s">
        <v>2230</v>
      </c>
      <c r="D284" s="49">
        <v>42902</v>
      </c>
      <c r="E284" s="9">
        <v>10.124091999999999</v>
      </c>
      <c r="F284" s="9">
        <v>49.906236</v>
      </c>
      <c r="G284" t="s">
        <v>1687</v>
      </c>
      <c r="H284" t="s">
        <v>2563</v>
      </c>
      <c r="I284" t="s">
        <v>2814</v>
      </c>
      <c r="K284" s="20" t="s">
        <v>907</v>
      </c>
      <c r="L284" s="20"/>
      <c r="M284" s="172" t="s">
        <v>1722</v>
      </c>
      <c r="N284" s="20" t="s">
        <v>3620</v>
      </c>
      <c r="O284" s="28">
        <v>8.0600000000000005E-2</v>
      </c>
      <c r="P284" s="28">
        <v>3.6903999999999992E-2</v>
      </c>
      <c r="Q284" s="65">
        <f t="shared" si="18"/>
        <v>4.3696000000000013E-2</v>
      </c>
      <c r="R284" s="20">
        <v>5.2009999999999996</v>
      </c>
      <c r="S284" s="20">
        <f>8.529+9.403</f>
        <v>17.932000000000002</v>
      </c>
      <c r="T284" s="20">
        <f t="shared" si="19"/>
        <v>93.26433200000001</v>
      </c>
      <c r="W284" s="20" t="s">
        <v>887</v>
      </c>
      <c r="X284" s="20" t="s">
        <v>886</v>
      </c>
      <c r="Y284" s="20" t="s">
        <v>36</v>
      </c>
      <c r="Z284" s="20" t="s">
        <v>36</v>
      </c>
    </row>
    <row r="285" spans="1:26">
      <c r="A285" s="20" t="s">
        <v>1037</v>
      </c>
      <c r="B285" s="20" t="s">
        <v>2115</v>
      </c>
      <c r="C285" s="31" t="s">
        <v>2239</v>
      </c>
      <c r="D285" s="49">
        <v>42902</v>
      </c>
      <c r="E285" s="9">
        <v>10.067944000000001</v>
      </c>
      <c r="F285" s="9">
        <v>49.912992000000003</v>
      </c>
      <c r="G285" t="s">
        <v>1687</v>
      </c>
      <c r="H285" t="s">
        <v>2563</v>
      </c>
      <c r="I285" t="s">
        <v>2814</v>
      </c>
      <c r="K285" s="20" t="s">
        <v>907</v>
      </c>
      <c r="L285" s="20"/>
      <c r="M285" s="172" t="s">
        <v>1722</v>
      </c>
      <c r="N285" s="20" t="s">
        <v>3620</v>
      </c>
      <c r="O285" s="28">
        <v>0.10390000000000001</v>
      </c>
      <c r="P285" s="28">
        <v>3.6903999999999992E-2</v>
      </c>
      <c r="Q285" s="65">
        <f t="shared" si="18"/>
        <v>6.6996000000000014E-2</v>
      </c>
      <c r="R285" s="20">
        <v>5.8360000000000003</v>
      </c>
      <c r="S285" s="20">
        <f>10.004+11.163</f>
        <v>21.167000000000002</v>
      </c>
      <c r="T285" s="20">
        <f t="shared" si="19"/>
        <v>123.53061200000002</v>
      </c>
      <c r="W285" s="20" t="s">
        <v>887</v>
      </c>
      <c r="X285" s="20" t="s">
        <v>886</v>
      </c>
      <c r="Y285" s="20" t="s">
        <v>36</v>
      </c>
      <c r="Z285" s="20" t="s">
        <v>36</v>
      </c>
    </row>
    <row r="286" spans="1:26">
      <c r="A286" s="20" t="s">
        <v>1036</v>
      </c>
      <c r="B286" s="20" t="s">
        <v>2115</v>
      </c>
      <c r="C286" s="31" t="s">
        <v>2228</v>
      </c>
      <c r="D286" s="49">
        <v>42902</v>
      </c>
      <c r="E286" s="9">
        <v>10.050008</v>
      </c>
      <c r="F286" s="9">
        <v>49.941994000000001</v>
      </c>
      <c r="G286" t="s">
        <v>1687</v>
      </c>
      <c r="H286" t="s">
        <v>2563</v>
      </c>
      <c r="I286" t="s">
        <v>2814</v>
      </c>
      <c r="K286" s="20" t="s">
        <v>907</v>
      </c>
      <c r="L286" s="20"/>
      <c r="M286" s="172" t="s">
        <v>1705</v>
      </c>
      <c r="N286" s="20" t="s">
        <v>3620</v>
      </c>
      <c r="O286" s="28">
        <v>9.74E-2</v>
      </c>
      <c r="P286" s="28">
        <v>3.6903999999999992E-2</v>
      </c>
      <c r="Q286" s="65">
        <f t="shared" si="18"/>
        <v>6.0496000000000008E-2</v>
      </c>
      <c r="R286" s="20">
        <v>6.4459999999999997</v>
      </c>
      <c r="S286" s="20">
        <f>9.783+4.348+4.771+2.701</f>
        <v>21.603000000000002</v>
      </c>
      <c r="T286" s="20">
        <f t="shared" si="19"/>
        <v>139.252938</v>
      </c>
      <c r="W286" s="20" t="s">
        <v>887</v>
      </c>
      <c r="X286" s="20" t="s">
        <v>886</v>
      </c>
      <c r="Y286" s="20" t="s">
        <v>36</v>
      </c>
      <c r="Z286" s="20" t="s">
        <v>36</v>
      </c>
    </row>
    <row r="287" spans="1:26">
      <c r="A287" s="20" t="s">
        <v>1035</v>
      </c>
      <c r="B287" s="20" t="s">
        <v>2115</v>
      </c>
      <c r="C287" s="31" t="s">
        <v>2230</v>
      </c>
      <c r="D287" s="49">
        <v>42856</v>
      </c>
      <c r="E287" s="9">
        <v>10.124091999999999</v>
      </c>
      <c r="F287" s="9">
        <v>49.906236</v>
      </c>
      <c r="G287" t="s">
        <v>1687</v>
      </c>
      <c r="H287" t="s">
        <v>2563</v>
      </c>
      <c r="I287" t="s">
        <v>2814</v>
      </c>
      <c r="K287" s="20" t="s">
        <v>907</v>
      </c>
      <c r="L287" s="20"/>
      <c r="M287" s="172" t="s">
        <v>1705</v>
      </c>
      <c r="N287" s="20" t="s">
        <v>3620</v>
      </c>
      <c r="O287" s="28">
        <v>0.1051</v>
      </c>
      <c r="P287" s="28">
        <v>3.6903999999999992E-2</v>
      </c>
      <c r="Q287" s="65">
        <f t="shared" si="18"/>
        <v>6.8196000000000007E-2</v>
      </c>
      <c r="R287" s="20">
        <v>6.7569999999999997</v>
      </c>
      <c r="S287" s="20">
        <f>10.944+9.321</f>
        <v>20.265000000000001</v>
      </c>
      <c r="T287" s="20">
        <f t="shared" si="19"/>
        <v>136.93060499999999</v>
      </c>
      <c r="W287" s="20" t="s">
        <v>887</v>
      </c>
      <c r="X287" s="20" t="s">
        <v>886</v>
      </c>
      <c r="Y287" s="20" t="s">
        <v>36</v>
      </c>
      <c r="Z287" s="20" t="s">
        <v>36</v>
      </c>
    </row>
    <row r="288" spans="1:26">
      <c r="A288" s="20" t="s">
        <v>1034</v>
      </c>
      <c r="B288" s="20" t="s">
        <v>2115</v>
      </c>
      <c r="C288" s="31" t="s">
        <v>2244</v>
      </c>
      <c r="D288" s="49">
        <v>42902</v>
      </c>
      <c r="E288" s="9">
        <v>10.017931000000001</v>
      </c>
      <c r="F288" s="9">
        <v>49.935696999999998</v>
      </c>
      <c r="G288" t="s">
        <v>1687</v>
      </c>
      <c r="H288" t="s">
        <v>2563</v>
      </c>
      <c r="I288" t="s">
        <v>2814</v>
      </c>
      <c r="K288" s="20" t="s">
        <v>907</v>
      </c>
      <c r="L288" s="20"/>
      <c r="M288" s="172" t="s">
        <v>1705</v>
      </c>
      <c r="N288" s="20" t="s">
        <v>3620</v>
      </c>
      <c r="O288" s="28">
        <v>8.5599999999999996E-2</v>
      </c>
      <c r="P288" s="28">
        <v>3.6903999999999992E-2</v>
      </c>
      <c r="Q288" s="65">
        <f t="shared" si="18"/>
        <v>4.8696000000000003E-2</v>
      </c>
      <c r="R288" s="20">
        <v>5.4290000000000003</v>
      </c>
      <c r="S288" s="20">
        <f>10.294+9.907</f>
        <v>20.201000000000001</v>
      </c>
      <c r="T288" s="20">
        <f t="shared" si="19"/>
        <v>109.67122900000001</v>
      </c>
      <c r="W288" s="20" t="s">
        <v>887</v>
      </c>
      <c r="X288" s="20" t="s">
        <v>886</v>
      </c>
      <c r="Y288" s="20" t="s">
        <v>36</v>
      </c>
      <c r="Z288" s="20" t="s">
        <v>36</v>
      </c>
    </row>
    <row r="289" spans="1:26">
      <c r="A289" s="20" t="s">
        <v>1033</v>
      </c>
      <c r="B289" s="20" t="s">
        <v>2115</v>
      </c>
      <c r="C289" s="31" t="s">
        <v>2239</v>
      </c>
      <c r="D289" s="49">
        <v>42888</v>
      </c>
      <c r="E289" s="9">
        <v>10.067944000000001</v>
      </c>
      <c r="F289" s="9">
        <v>49.912992000000003</v>
      </c>
      <c r="G289" t="s">
        <v>1687</v>
      </c>
      <c r="H289" t="s">
        <v>2563</v>
      </c>
      <c r="I289" t="s">
        <v>2814</v>
      </c>
      <c r="K289" s="20" t="s">
        <v>907</v>
      </c>
      <c r="L289" s="20"/>
      <c r="M289" s="172" t="s">
        <v>2582</v>
      </c>
      <c r="N289" s="20" t="s">
        <v>3620</v>
      </c>
      <c r="O289" s="28">
        <v>7.7200000000000005E-2</v>
      </c>
      <c r="P289" s="28">
        <v>3.6903999999999992E-2</v>
      </c>
      <c r="Q289" s="65">
        <f t="shared" si="18"/>
        <v>4.0296000000000012E-2</v>
      </c>
      <c r="R289" s="20">
        <v>5.5910000000000002</v>
      </c>
      <c r="S289" s="20">
        <f>9.169+7.855</f>
        <v>17.024000000000001</v>
      </c>
      <c r="T289" s="20">
        <f t="shared" si="19"/>
        <v>95.181184000000002</v>
      </c>
      <c r="W289" s="20" t="s">
        <v>887</v>
      </c>
      <c r="X289" s="20" t="s">
        <v>886</v>
      </c>
      <c r="Y289" s="20" t="s">
        <v>36</v>
      </c>
      <c r="Z289" s="20" t="s">
        <v>36</v>
      </c>
    </row>
    <row r="290" spans="1:26">
      <c r="A290" s="20" t="s">
        <v>1032</v>
      </c>
      <c r="B290" s="20" t="s">
        <v>2115</v>
      </c>
      <c r="C290" s="31" t="s">
        <v>2244</v>
      </c>
      <c r="D290" s="49">
        <v>42888</v>
      </c>
      <c r="E290" s="9">
        <v>10.017931000000001</v>
      </c>
      <c r="F290" s="9">
        <v>49.935696999999998</v>
      </c>
      <c r="G290" t="s">
        <v>1687</v>
      </c>
      <c r="H290" t="s">
        <v>2563</v>
      </c>
      <c r="I290" t="s">
        <v>2814</v>
      </c>
      <c r="K290" s="20" t="s">
        <v>907</v>
      </c>
      <c r="L290" s="20"/>
      <c r="M290" s="172" t="s">
        <v>1722</v>
      </c>
      <c r="N290" s="20" t="s">
        <v>2713</v>
      </c>
      <c r="O290" s="28">
        <v>0.27829999999999999</v>
      </c>
      <c r="P290" s="28">
        <v>3.6903999999999992E-2</v>
      </c>
      <c r="Q290" s="65">
        <f t="shared" ref="Q290:Q353" si="20">O290-P290</f>
        <v>0.241396</v>
      </c>
      <c r="R290" s="20">
        <v>9.6</v>
      </c>
      <c r="S290" s="20">
        <f>20.285+16.339</f>
        <v>36.623999999999995</v>
      </c>
      <c r="T290" s="20">
        <f t="shared" si="19"/>
        <v>351.59039999999993</v>
      </c>
      <c r="W290" s="20" t="s">
        <v>887</v>
      </c>
      <c r="X290" s="20" t="s">
        <v>886</v>
      </c>
      <c r="Y290" s="20" t="s">
        <v>36</v>
      </c>
      <c r="Z290" s="20" t="s">
        <v>36</v>
      </c>
    </row>
    <row r="291" spans="1:26">
      <c r="A291" s="20" t="s">
        <v>1031</v>
      </c>
      <c r="B291" s="20" t="s">
        <v>2115</v>
      </c>
      <c r="C291" s="31" t="s">
        <v>2230</v>
      </c>
      <c r="D291" s="49">
        <v>42902</v>
      </c>
      <c r="E291" s="9">
        <v>10.124091999999999</v>
      </c>
      <c r="F291" s="9">
        <v>49.906236</v>
      </c>
      <c r="G291" t="s">
        <v>1687</v>
      </c>
      <c r="H291" t="s">
        <v>2563</v>
      </c>
      <c r="I291" t="s">
        <v>2814</v>
      </c>
      <c r="K291" s="20" t="s">
        <v>907</v>
      </c>
      <c r="L291" s="20"/>
      <c r="M291" s="172" t="s">
        <v>1705</v>
      </c>
      <c r="N291" s="20" t="s">
        <v>3620</v>
      </c>
      <c r="O291" s="28">
        <v>5.8299999999999998E-2</v>
      </c>
      <c r="P291" s="28">
        <v>3.6903999999999992E-2</v>
      </c>
      <c r="Q291" s="65">
        <f t="shared" si="20"/>
        <v>2.1396000000000005E-2</v>
      </c>
      <c r="R291" s="20">
        <v>4.6980000000000004</v>
      </c>
      <c r="S291" s="20">
        <f>5.288+4.698</f>
        <v>9.9860000000000007</v>
      </c>
      <c r="T291" s="20">
        <f t="shared" si="19"/>
        <v>46.914228000000008</v>
      </c>
      <c r="W291" s="20" t="s">
        <v>887</v>
      </c>
      <c r="X291" s="20" t="s">
        <v>886</v>
      </c>
      <c r="Y291" s="20" t="s">
        <v>36</v>
      </c>
      <c r="Z291" s="20" t="s">
        <v>36</v>
      </c>
    </row>
    <row r="292" spans="1:26">
      <c r="A292" s="20" t="s">
        <v>1030</v>
      </c>
      <c r="B292" s="20" t="s">
        <v>2115</v>
      </c>
      <c r="C292" s="31" t="s">
        <v>2239</v>
      </c>
      <c r="D292" s="49">
        <v>42902</v>
      </c>
      <c r="E292" s="9">
        <v>10.067944000000001</v>
      </c>
      <c r="F292" s="9">
        <v>49.912992000000003</v>
      </c>
      <c r="G292" t="s">
        <v>1687</v>
      </c>
      <c r="H292" t="s">
        <v>2563</v>
      </c>
      <c r="I292" t="s">
        <v>2814</v>
      </c>
      <c r="K292" s="20" t="s">
        <v>907</v>
      </c>
      <c r="L292" s="20"/>
      <c r="M292" s="172" t="s">
        <v>1705</v>
      </c>
      <c r="N292" s="20" t="s">
        <v>3620</v>
      </c>
      <c r="O292" s="28">
        <v>8.9399999999999993E-2</v>
      </c>
      <c r="P292" s="28">
        <v>3.6903999999999992E-2</v>
      </c>
      <c r="Q292" s="65">
        <f t="shared" si="20"/>
        <v>5.2496000000000001E-2</v>
      </c>
      <c r="R292" s="20">
        <v>5.7220000000000004</v>
      </c>
      <c r="S292" s="20">
        <f>9.793+3.102+2.548+3.632</f>
        <v>19.074999999999999</v>
      </c>
      <c r="T292" s="20">
        <f t="shared" si="19"/>
        <v>109.14715000000001</v>
      </c>
      <c r="W292" s="20" t="s">
        <v>887</v>
      </c>
      <c r="X292" s="20" t="s">
        <v>886</v>
      </c>
      <c r="Y292" s="20" t="s">
        <v>36</v>
      </c>
      <c r="Z292" s="20" t="s">
        <v>36</v>
      </c>
    </row>
    <row r="293" spans="1:26">
      <c r="A293" s="20" t="s">
        <v>1029</v>
      </c>
      <c r="B293" s="20" t="s">
        <v>2115</v>
      </c>
      <c r="C293" s="31" t="s">
        <v>2235</v>
      </c>
      <c r="D293" s="49">
        <v>42902</v>
      </c>
      <c r="E293" s="9">
        <v>10.057294000000001</v>
      </c>
      <c r="F293" s="9">
        <v>49.902307999999998</v>
      </c>
      <c r="G293" t="s">
        <v>1687</v>
      </c>
      <c r="H293" t="s">
        <v>2563</v>
      </c>
      <c r="I293" t="s">
        <v>2814</v>
      </c>
      <c r="K293" s="20" t="s">
        <v>907</v>
      </c>
      <c r="L293" s="20"/>
      <c r="M293" s="172" t="s">
        <v>1705</v>
      </c>
      <c r="N293" s="20" t="s">
        <v>3620</v>
      </c>
      <c r="O293" s="28">
        <v>9.4100000000000003E-2</v>
      </c>
      <c r="P293" s="28">
        <v>3.6903999999999992E-2</v>
      </c>
      <c r="Q293" s="65">
        <f t="shared" si="20"/>
        <v>5.7196000000000011E-2</v>
      </c>
      <c r="R293" s="20">
        <v>5.4089999999999998</v>
      </c>
      <c r="S293" s="20">
        <f>9.151+6.375+2.986</f>
        <v>18.512</v>
      </c>
      <c r="T293" s="20">
        <f t="shared" si="19"/>
        <v>100.13140799999999</v>
      </c>
      <c r="W293" s="20" t="s">
        <v>887</v>
      </c>
      <c r="X293" s="20" t="s">
        <v>886</v>
      </c>
      <c r="Y293" s="20" t="s">
        <v>36</v>
      </c>
      <c r="Z293" s="20" t="s">
        <v>36</v>
      </c>
    </row>
    <row r="294" spans="1:26">
      <c r="A294" s="20" t="s">
        <v>1028</v>
      </c>
      <c r="B294" s="20" t="s">
        <v>2115</v>
      </c>
      <c r="C294" s="31" t="s">
        <v>2230</v>
      </c>
      <c r="D294" s="49">
        <v>42902</v>
      </c>
      <c r="E294" s="9">
        <v>10.124091999999999</v>
      </c>
      <c r="F294" s="9">
        <v>49.906236</v>
      </c>
      <c r="G294" t="s">
        <v>1687</v>
      </c>
      <c r="H294" t="s">
        <v>2563</v>
      </c>
      <c r="I294" t="s">
        <v>2814</v>
      </c>
      <c r="K294" s="20" t="s">
        <v>907</v>
      </c>
      <c r="L294" s="20"/>
      <c r="M294" s="172" t="s">
        <v>1705</v>
      </c>
      <c r="N294" s="20" t="s">
        <v>3620</v>
      </c>
      <c r="O294" s="28">
        <v>7.6999999999999999E-2</v>
      </c>
      <c r="P294" s="28">
        <v>3.6903999999999992E-2</v>
      </c>
      <c r="Q294" s="65">
        <f t="shared" si="20"/>
        <v>4.0096000000000007E-2</v>
      </c>
      <c r="R294" s="20">
        <v>5.1859999999999999</v>
      </c>
      <c r="S294" s="20">
        <f>9.225+13.627</f>
        <v>22.852</v>
      </c>
      <c r="T294" s="20">
        <f t="shared" si="19"/>
        <v>118.51047200000001</v>
      </c>
      <c r="W294" s="20" t="s">
        <v>887</v>
      </c>
      <c r="X294" s="20" t="s">
        <v>886</v>
      </c>
      <c r="Y294" s="20" t="s">
        <v>36</v>
      </c>
      <c r="Z294" s="20" t="s">
        <v>36</v>
      </c>
    </row>
    <row r="295" spans="1:26">
      <c r="A295" s="20" t="s">
        <v>1027</v>
      </c>
      <c r="B295" s="20" t="s">
        <v>2115</v>
      </c>
      <c r="C295" s="31" t="s">
        <v>2227</v>
      </c>
      <c r="D295" s="49">
        <v>42902</v>
      </c>
      <c r="E295" s="9">
        <v>10.040881000000001</v>
      </c>
      <c r="F295" s="9">
        <v>49.937356000000001</v>
      </c>
      <c r="G295" t="s">
        <v>1687</v>
      </c>
      <c r="H295" t="s">
        <v>2563</v>
      </c>
      <c r="I295" t="s">
        <v>2814</v>
      </c>
      <c r="K295" s="20" t="s">
        <v>907</v>
      </c>
      <c r="L295" s="20"/>
      <c r="M295" s="172" t="s">
        <v>1705</v>
      </c>
      <c r="N295" s="20" t="s">
        <v>3620</v>
      </c>
      <c r="O295" s="28">
        <v>0.1115</v>
      </c>
      <c r="P295" s="28">
        <v>3.6903999999999992E-2</v>
      </c>
      <c r="Q295" s="65">
        <f t="shared" si="20"/>
        <v>7.459600000000001E-2</v>
      </c>
      <c r="R295" s="20">
        <v>6.0570000000000004</v>
      </c>
      <c r="S295" s="20">
        <f>10.247+12.785</f>
        <v>23.032</v>
      </c>
      <c r="T295" s="20">
        <f t="shared" si="19"/>
        <v>139.50482400000001</v>
      </c>
      <c r="W295" s="20" t="s">
        <v>887</v>
      </c>
      <c r="X295" s="20" t="s">
        <v>886</v>
      </c>
      <c r="Y295" s="20" t="s">
        <v>36</v>
      </c>
      <c r="Z295" s="20" t="s">
        <v>36</v>
      </c>
    </row>
    <row r="296" spans="1:26">
      <c r="A296" s="20" t="s">
        <v>1026</v>
      </c>
      <c r="B296" s="20" t="s">
        <v>2115</v>
      </c>
      <c r="C296" s="31" t="s">
        <v>2230</v>
      </c>
      <c r="D296" s="49">
        <v>42902</v>
      </c>
      <c r="E296" s="9">
        <v>10.124091999999999</v>
      </c>
      <c r="F296" s="9">
        <v>49.906236</v>
      </c>
      <c r="G296" t="s">
        <v>1687</v>
      </c>
      <c r="H296" t="s">
        <v>2563</v>
      </c>
      <c r="I296" t="s">
        <v>2814</v>
      </c>
      <c r="K296" s="20" t="s">
        <v>907</v>
      </c>
      <c r="L296" s="20"/>
      <c r="M296" s="172" t="s">
        <v>1722</v>
      </c>
      <c r="N296" s="20" t="s">
        <v>3620</v>
      </c>
      <c r="O296" s="28">
        <v>7.9500000000000001E-2</v>
      </c>
      <c r="P296" s="28">
        <v>3.6903999999999992E-2</v>
      </c>
      <c r="Q296" s="65">
        <f t="shared" si="20"/>
        <v>4.2596000000000009E-2</v>
      </c>
      <c r="R296" s="20">
        <v>5.9029999999999996</v>
      </c>
      <c r="S296" s="20">
        <f>9.552+2.886+2.887+4.532</f>
        <v>19.856999999999999</v>
      </c>
      <c r="T296" s="20">
        <f t="shared" si="19"/>
        <v>117.21587099999999</v>
      </c>
      <c r="W296" s="20" t="s">
        <v>887</v>
      </c>
      <c r="X296" s="20" t="s">
        <v>886</v>
      </c>
      <c r="Y296" s="20" t="s">
        <v>36</v>
      </c>
      <c r="Z296" s="20" t="s">
        <v>36</v>
      </c>
    </row>
    <row r="297" spans="1:26">
      <c r="A297" s="20" t="s">
        <v>1025</v>
      </c>
      <c r="B297" s="20" t="s">
        <v>2115</v>
      </c>
      <c r="C297" s="31" t="s">
        <v>2233</v>
      </c>
      <c r="D297" s="49">
        <v>42856</v>
      </c>
      <c r="E297" s="9">
        <v>10.086428</v>
      </c>
      <c r="F297" s="9">
        <v>49.909314000000002</v>
      </c>
      <c r="G297" t="s">
        <v>1687</v>
      </c>
      <c r="H297" t="s">
        <v>2563</v>
      </c>
      <c r="I297" t="s">
        <v>2814</v>
      </c>
      <c r="K297" s="20" t="s">
        <v>907</v>
      </c>
      <c r="L297" s="20"/>
      <c r="M297" s="172" t="s">
        <v>1705</v>
      </c>
      <c r="N297" s="20" t="s">
        <v>3620</v>
      </c>
      <c r="O297" s="28">
        <v>0.10970000000000001</v>
      </c>
      <c r="P297" s="28">
        <v>3.6903999999999992E-2</v>
      </c>
      <c r="Q297" s="65">
        <f t="shared" si="20"/>
        <v>7.2796000000000013E-2</v>
      </c>
      <c r="R297" s="20">
        <v>6.077</v>
      </c>
      <c r="S297" s="20">
        <f>9.443+2.34+8.263</f>
        <v>20.045999999999999</v>
      </c>
      <c r="T297" s="20">
        <f t="shared" si="19"/>
        <v>121.819542</v>
      </c>
      <c r="W297" s="20" t="s">
        <v>887</v>
      </c>
      <c r="X297" s="20" t="s">
        <v>886</v>
      </c>
      <c r="Y297" s="20" t="s">
        <v>36</v>
      </c>
      <c r="Z297" s="20" t="s">
        <v>36</v>
      </c>
    </row>
    <row r="298" spans="1:26">
      <c r="A298" s="20" t="s">
        <v>1024</v>
      </c>
      <c r="B298" s="20" t="s">
        <v>2115</v>
      </c>
      <c r="C298" s="31" t="s">
        <v>2237</v>
      </c>
      <c r="D298" s="49">
        <v>42902</v>
      </c>
      <c r="E298" s="9">
        <v>10.045693999999999</v>
      </c>
      <c r="F298" s="9">
        <v>49.896189</v>
      </c>
      <c r="G298" t="s">
        <v>1687</v>
      </c>
      <c r="H298" t="s">
        <v>2563</v>
      </c>
      <c r="I298" t="s">
        <v>2814</v>
      </c>
      <c r="K298" s="20" t="s">
        <v>907</v>
      </c>
      <c r="L298" s="20"/>
      <c r="M298" s="172" t="s">
        <v>1705</v>
      </c>
      <c r="N298" s="20" t="s">
        <v>3620</v>
      </c>
      <c r="O298" s="28">
        <v>0.1419</v>
      </c>
      <c r="P298" s="28">
        <v>3.6903999999999992E-2</v>
      </c>
      <c r="Q298" s="65">
        <f t="shared" si="20"/>
        <v>0.10499600000000001</v>
      </c>
      <c r="R298" s="20">
        <v>6.1849999999999996</v>
      </c>
      <c r="S298" s="20">
        <f>8.236+8.817</f>
        <v>17.053000000000001</v>
      </c>
      <c r="T298" s="20">
        <f t="shared" si="19"/>
        <v>105.47280499999999</v>
      </c>
      <c r="W298" s="20" t="s">
        <v>887</v>
      </c>
      <c r="X298" s="20" t="s">
        <v>886</v>
      </c>
      <c r="Y298" s="20" t="s">
        <v>36</v>
      </c>
      <c r="Z298" s="20" t="s">
        <v>36</v>
      </c>
    </row>
    <row r="299" spans="1:26">
      <c r="A299" s="20" t="s">
        <v>1023</v>
      </c>
      <c r="B299" s="20" t="s">
        <v>2115</v>
      </c>
      <c r="C299" s="31" t="s">
        <v>2244</v>
      </c>
      <c r="D299" s="49">
        <v>42902</v>
      </c>
      <c r="E299" s="9">
        <v>10.017931000000001</v>
      </c>
      <c r="F299" s="9">
        <v>49.935696999999998</v>
      </c>
      <c r="G299" t="s">
        <v>1687</v>
      </c>
      <c r="H299" t="s">
        <v>2563</v>
      </c>
      <c r="I299" t="s">
        <v>2814</v>
      </c>
      <c r="K299" s="20" t="s">
        <v>907</v>
      </c>
      <c r="L299" s="20"/>
      <c r="M299" s="172" t="s">
        <v>1705</v>
      </c>
      <c r="N299" s="20" t="s">
        <v>3620</v>
      </c>
      <c r="O299" s="28">
        <v>9.1600000000000001E-2</v>
      </c>
      <c r="P299" s="28">
        <v>3.6903999999999992E-2</v>
      </c>
      <c r="Q299" s="65">
        <f t="shared" si="20"/>
        <v>5.4696000000000009E-2</v>
      </c>
      <c r="R299" s="20">
        <v>5.9160000000000004</v>
      </c>
      <c r="S299" s="20">
        <f>8.213+4.278+3.845</f>
        <v>16.335999999999999</v>
      </c>
      <c r="T299" s="20">
        <f t="shared" si="19"/>
        <v>96.643776000000003</v>
      </c>
      <c r="W299" s="20" t="s">
        <v>887</v>
      </c>
      <c r="X299" s="20" t="s">
        <v>886</v>
      </c>
      <c r="Y299" s="20" t="s">
        <v>36</v>
      </c>
      <c r="Z299" s="20" t="s">
        <v>36</v>
      </c>
    </row>
    <row r="300" spans="1:26">
      <c r="A300" s="20" t="s">
        <v>1022</v>
      </c>
      <c r="B300" s="20" t="s">
        <v>2115</v>
      </c>
      <c r="C300" s="31" t="s">
        <v>2236</v>
      </c>
      <c r="D300" s="49">
        <v>42902</v>
      </c>
      <c r="E300" s="9">
        <v>10.022767</v>
      </c>
      <c r="F300" s="9">
        <v>49.938633000000003</v>
      </c>
      <c r="G300" t="s">
        <v>1687</v>
      </c>
      <c r="H300" t="s">
        <v>2563</v>
      </c>
      <c r="I300" t="s">
        <v>2814</v>
      </c>
      <c r="K300" s="20" t="s">
        <v>907</v>
      </c>
      <c r="L300" s="20"/>
      <c r="M300" s="172" t="s">
        <v>1722</v>
      </c>
      <c r="N300" s="20" t="s">
        <v>2713</v>
      </c>
      <c r="O300" s="28">
        <v>0.25580000000000003</v>
      </c>
      <c r="P300" s="28">
        <v>3.6903999999999992E-2</v>
      </c>
      <c r="Q300" s="65">
        <f t="shared" si="20"/>
        <v>0.21889600000000003</v>
      </c>
      <c r="R300" s="20">
        <v>8.9570000000000007</v>
      </c>
      <c r="S300" s="20">
        <f>15.805+18.764</f>
        <v>34.569000000000003</v>
      </c>
      <c r="T300" s="20">
        <f t="shared" si="19"/>
        <v>309.63453300000003</v>
      </c>
      <c r="W300" s="20" t="s">
        <v>887</v>
      </c>
      <c r="X300" s="20" t="s">
        <v>886</v>
      </c>
      <c r="Y300" s="20" t="s">
        <v>36</v>
      </c>
      <c r="Z300" s="20" t="s">
        <v>36</v>
      </c>
    </row>
    <row r="301" spans="1:26">
      <c r="A301" s="20" t="s">
        <v>1021</v>
      </c>
      <c r="B301" s="20" t="s">
        <v>2115</v>
      </c>
      <c r="C301" s="31" t="s">
        <v>2234</v>
      </c>
      <c r="D301" s="49">
        <v>42888</v>
      </c>
      <c r="E301" s="9">
        <v>10.053630999999999</v>
      </c>
      <c r="F301" s="9">
        <v>49.900486000000001</v>
      </c>
      <c r="G301" t="s">
        <v>1687</v>
      </c>
      <c r="H301" t="s">
        <v>2563</v>
      </c>
      <c r="I301" t="s">
        <v>2814</v>
      </c>
      <c r="K301" s="20" t="s">
        <v>907</v>
      </c>
      <c r="L301" s="20"/>
      <c r="M301" s="172" t="s">
        <v>2662</v>
      </c>
      <c r="N301" s="20" t="s">
        <v>2713</v>
      </c>
      <c r="O301" s="28">
        <v>0.16270000000000001</v>
      </c>
      <c r="P301" s="28">
        <v>3.6903999999999992E-2</v>
      </c>
      <c r="Q301" s="65">
        <f t="shared" si="20"/>
        <v>0.12579600000000002</v>
      </c>
      <c r="R301" s="20">
        <v>7.9560000000000004</v>
      </c>
      <c r="S301" s="20">
        <f>13.776+6.851+8.47</f>
        <v>29.097000000000001</v>
      </c>
      <c r="T301" s="20">
        <f t="shared" si="19"/>
        <v>231.49573200000003</v>
      </c>
      <c r="W301" s="20" t="s">
        <v>887</v>
      </c>
      <c r="X301" s="20" t="s">
        <v>886</v>
      </c>
      <c r="Y301" s="20" t="s">
        <v>36</v>
      </c>
      <c r="Z301" s="20" t="s">
        <v>36</v>
      </c>
    </row>
    <row r="302" spans="1:26">
      <c r="A302" s="20" t="s">
        <v>1020</v>
      </c>
      <c r="B302" s="20" t="s">
        <v>2115</v>
      </c>
      <c r="C302" s="31" t="s">
        <v>2235</v>
      </c>
      <c r="D302" s="49">
        <v>42902</v>
      </c>
      <c r="E302" s="9">
        <v>10.057294000000001</v>
      </c>
      <c r="F302" s="9">
        <v>49.902307999999998</v>
      </c>
      <c r="G302" t="s">
        <v>1687</v>
      </c>
      <c r="H302" t="s">
        <v>2563</v>
      </c>
      <c r="I302" t="s">
        <v>2814</v>
      </c>
      <c r="K302" s="20" t="s">
        <v>907</v>
      </c>
      <c r="L302" s="20"/>
      <c r="M302" s="172" t="s">
        <v>1705</v>
      </c>
      <c r="N302" s="20" t="s">
        <v>3620</v>
      </c>
      <c r="O302" s="28">
        <v>0.1045</v>
      </c>
      <c r="P302" s="28">
        <v>3.6903999999999992E-2</v>
      </c>
      <c r="Q302" s="65">
        <f t="shared" si="20"/>
        <v>6.7596000000000003E-2</v>
      </c>
      <c r="R302" s="20">
        <v>6.2220000000000004</v>
      </c>
      <c r="S302" s="20">
        <f>13.002+10.292</f>
        <v>23.294</v>
      </c>
      <c r="T302" s="20">
        <f t="shared" si="19"/>
        <v>144.93526800000001</v>
      </c>
      <c r="W302" s="20" t="s">
        <v>887</v>
      </c>
      <c r="X302" s="20" t="s">
        <v>886</v>
      </c>
      <c r="Y302" s="20" t="s">
        <v>36</v>
      </c>
      <c r="Z302" s="20" t="s">
        <v>36</v>
      </c>
    </row>
    <row r="303" spans="1:26">
      <c r="A303" s="20" t="s">
        <v>1019</v>
      </c>
      <c r="B303" s="20" t="s">
        <v>2115</v>
      </c>
      <c r="C303" s="31" t="s">
        <v>2241</v>
      </c>
      <c r="D303" s="49">
        <v>42902</v>
      </c>
      <c r="E303" s="20">
        <v>10.109500000000001</v>
      </c>
      <c r="F303" s="9">
        <v>49.861344000000003</v>
      </c>
      <c r="G303" t="s">
        <v>1687</v>
      </c>
      <c r="H303" t="s">
        <v>2563</v>
      </c>
      <c r="I303" t="s">
        <v>2814</v>
      </c>
      <c r="K303" s="20" t="s">
        <v>907</v>
      </c>
      <c r="L303" s="20"/>
      <c r="M303" s="172" t="s">
        <v>2582</v>
      </c>
      <c r="N303" s="20" t="s">
        <v>3620</v>
      </c>
      <c r="O303" s="28">
        <v>7.2900000000000006E-2</v>
      </c>
      <c r="P303" s="28">
        <v>3.6903999999999992E-2</v>
      </c>
      <c r="Q303" s="65">
        <f t="shared" si="20"/>
        <v>3.5996000000000014E-2</v>
      </c>
      <c r="R303" s="20">
        <v>5.4320000000000004</v>
      </c>
      <c r="S303" s="20">
        <f>8.335+8.108</f>
        <v>16.443000000000001</v>
      </c>
      <c r="T303" s="20">
        <f t="shared" si="19"/>
        <v>89.318376000000015</v>
      </c>
      <c r="W303" s="20" t="s">
        <v>887</v>
      </c>
      <c r="X303" s="20" t="s">
        <v>886</v>
      </c>
      <c r="Y303" s="20" t="s">
        <v>36</v>
      </c>
      <c r="Z303" s="20" t="s">
        <v>36</v>
      </c>
    </row>
    <row r="304" spans="1:26">
      <c r="A304" s="20" t="s">
        <v>1018</v>
      </c>
      <c r="B304" s="20" t="s">
        <v>2115</v>
      </c>
      <c r="C304" s="31" t="s">
        <v>2242</v>
      </c>
      <c r="D304" s="49">
        <v>42856</v>
      </c>
      <c r="E304" s="9">
        <v>10.131019</v>
      </c>
      <c r="F304" s="9">
        <v>49.871225000000003</v>
      </c>
      <c r="G304" t="s">
        <v>1687</v>
      </c>
      <c r="H304" t="s">
        <v>2563</v>
      </c>
      <c r="I304" t="s">
        <v>2814</v>
      </c>
      <c r="K304" s="20" t="s">
        <v>907</v>
      </c>
      <c r="L304" s="20"/>
      <c r="M304" s="172" t="s">
        <v>1710</v>
      </c>
      <c r="N304" s="20" t="s">
        <v>2713</v>
      </c>
      <c r="O304" s="28">
        <v>0.16489999999999999</v>
      </c>
      <c r="P304" s="28">
        <v>3.6903999999999992E-2</v>
      </c>
      <c r="Q304" s="65">
        <f t="shared" si="20"/>
        <v>0.127996</v>
      </c>
      <c r="R304" s="20">
        <v>8.1319999999999997</v>
      </c>
      <c r="S304" s="20">
        <f>14.572+13.82</f>
        <v>28.391999999999999</v>
      </c>
      <c r="T304" s="20">
        <f t="shared" si="19"/>
        <v>230.88374399999998</v>
      </c>
      <c r="W304" s="20" t="s">
        <v>887</v>
      </c>
      <c r="X304" s="20" t="s">
        <v>886</v>
      </c>
      <c r="Y304" s="20" t="s">
        <v>36</v>
      </c>
      <c r="Z304" s="20" t="s">
        <v>36</v>
      </c>
    </row>
    <row r="305" spans="1:26">
      <c r="A305" s="20" t="s">
        <v>1017</v>
      </c>
      <c r="B305" s="20" t="s">
        <v>2115</v>
      </c>
      <c r="C305" s="31" t="s">
        <v>2230</v>
      </c>
      <c r="D305" s="49">
        <v>42902</v>
      </c>
      <c r="E305" s="9">
        <v>10.124091999999999</v>
      </c>
      <c r="F305" s="9">
        <v>49.906236</v>
      </c>
      <c r="G305" t="s">
        <v>1687</v>
      </c>
      <c r="H305" t="s">
        <v>2563</v>
      </c>
      <c r="I305" t="s">
        <v>2814</v>
      </c>
      <c r="K305" s="20" t="s">
        <v>907</v>
      </c>
      <c r="L305" s="20"/>
      <c r="M305" s="172" t="s">
        <v>1705</v>
      </c>
      <c r="N305" s="20" t="s">
        <v>3620</v>
      </c>
      <c r="O305" s="28">
        <v>9.98E-2</v>
      </c>
      <c r="P305" s="28">
        <v>3.6903999999999992E-2</v>
      </c>
      <c r="Q305" s="65">
        <f t="shared" si="20"/>
        <v>6.2896000000000007E-2</v>
      </c>
      <c r="R305" s="20">
        <v>6.2830000000000004</v>
      </c>
      <c r="S305" s="20">
        <f>6.52+4.841+9.827</f>
        <v>21.188000000000002</v>
      </c>
      <c r="T305" s="20">
        <f t="shared" si="19"/>
        <v>133.12420400000002</v>
      </c>
      <c r="W305" s="20" t="s">
        <v>887</v>
      </c>
      <c r="X305" s="20" t="s">
        <v>886</v>
      </c>
      <c r="Y305" s="20" t="s">
        <v>36</v>
      </c>
      <c r="Z305" s="20" t="s">
        <v>36</v>
      </c>
    </row>
    <row r="306" spans="1:26">
      <c r="A306" s="20" t="s">
        <v>1016</v>
      </c>
      <c r="B306" s="20" t="s">
        <v>2115</v>
      </c>
      <c r="C306" s="31" t="s">
        <v>2243</v>
      </c>
      <c r="D306" s="49">
        <v>42902</v>
      </c>
      <c r="E306" s="9">
        <v>10.069680999999999</v>
      </c>
      <c r="F306" s="9">
        <v>49.368496999999998</v>
      </c>
      <c r="G306" t="s">
        <v>1687</v>
      </c>
      <c r="H306" t="s">
        <v>2563</v>
      </c>
      <c r="I306" t="s">
        <v>2814</v>
      </c>
      <c r="K306" s="20" t="s">
        <v>907</v>
      </c>
      <c r="L306" s="20"/>
      <c r="M306" s="172" t="s">
        <v>1705</v>
      </c>
      <c r="N306" s="20" t="s">
        <v>3620</v>
      </c>
      <c r="O306" s="28">
        <v>9.0300000000000005E-2</v>
      </c>
      <c r="P306" s="28">
        <v>3.6903999999999992E-2</v>
      </c>
      <c r="Q306" s="65">
        <f t="shared" si="20"/>
        <v>5.3396000000000013E-2</v>
      </c>
      <c r="R306" s="20">
        <v>6.056</v>
      </c>
      <c r="S306" s="20">
        <f>9.207+9.421</f>
        <v>18.628</v>
      </c>
      <c r="T306" s="20">
        <f t="shared" si="19"/>
        <v>112.811168</v>
      </c>
      <c r="W306" s="20" t="s">
        <v>887</v>
      </c>
      <c r="X306" s="20" t="s">
        <v>886</v>
      </c>
      <c r="Y306" s="20" t="s">
        <v>36</v>
      </c>
      <c r="Z306" s="20" t="s">
        <v>36</v>
      </c>
    </row>
    <row r="307" spans="1:26">
      <c r="A307" s="20" t="s">
        <v>1015</v>
      </c>
      <c r="B307" s="20" t="s">
        <v>2115</v>
      </c>
      <c r="C307" s="31" t="s">
        <v>2244</v>
      </c>
      <c r="D307" s="49">
        <v>42902</v>
      </c>
      <c r="E307" s="9">
        <v>10.017931000000001</v>
      </c>
      <c r="F307" s="9">
        <v>49.935696999999998</v>
      </c>
      <c r="G307" t="s">
        <v>1687</v>
      </c>
      <c r="H307" t="s">
        <v>2563</v>
      </c>
      <c r="I307" t="s">
        <v>2814</v>
      </c>
      <c r="K307" s="20" t="s">
        <v>907</v>
      </c>
      <c r="L307" s="20"/>
      <c r="M307" s="172" t="s">
        <v>1705</v>
      </c>
      <c r="N307" s="20" t="s">
        <v>3620</v>
      </c>
      <c r="O307" s="28">
        <v>9.6600000000000005E-2</v>
      </c>
      <c r="P307" s="28">
        <v>3.6903999999999992E-2</v>
      </c>
      <c r="Q307" s="65">
        <f t="shared" si="20"/>
        <v>5.9696000000000013E-2</v>
      </c>
      <c r="R307" s="20">
        <v>5.9459999999999997</v>
      </c>
      <c r="S307" s="20">
        <f>10.697+10.842</f>
        <v>21.539000000000001</v>
      </c>
      <c r="T307" s="20">
        <f t="shared" si="19"/>
        <v>128.07089400000001</v>
      </c>
      <c r="W307" s="20" t="s">
        <v>887</v>
      </c>
      <c r="X307" s="20" t="s">
        <v>886</v>
      </c>
      <c r="Y307" s="20" t="s">
        <v>36</v>
      </c>
      <c r="Z307" s="20" t="s">
        <v>36</v>
      </c>
    </row>
    <row r="308" spans="1:26">
      <c r="A308" s="20" t="s">
        <v>1014</v>
      </c>
      <c r="B308" s="20" t="s">
        <v>2115</v>
      </c>
      <c r="C308" s="31" t="s">
        <v>2228</v>
      </c>
      <c r="D308" s="49">
        <v>42902</v>
      </c>
      <c r="E308" s="9">
        <v>10.050008</v>
      </c>
      <c r="F308" s="9">
        <v>49.941994000000001</v>
      </c>
      <c r="G308" t="s">
        <v>1687</v>
      </c>
      <c r="H308" t="s">
        <v>2563</v>
      </c>
      <c r="I308" t="s">
        <v>2814</v>
      </c>
      <c r="K308" s="20" t="s">
        <v>907</v>
      </c>
      <c r="L308" s="20"/>
      <c r="M308" s="172" t="s">
        <v>1705</v>
      </c>
      <c r="N308" s="20" t="s">
        <v>3620</v>
      </c>
      <c r="O308" s="28">
        <v>0.12620000000000001</v>
      </c>
      <c r="P308" s="28">
        <v>3.6903999999999992E-2</v>
      </c>
      <c r="Q308" s="65">
        <f t="shared" si="20"/>
        <v>8.9296000000000014E-2</v>
      </c>
      <c r="R308" s="20">
        <v>6.09</v>
      </c>
      <c r="S308" s="20">
        <f>11.151+10.302</f>
        <v>21.452999999999999</v>
      </c>
      <c r="T308" s="20">
        <f t="shared" si="19"/>
        <v>130.64876999999998</v>
      </c>
      <c r="W308" s="20" t="s">
        <v>887</v>
      </c>
      <c r="X308" s="20" t="s">
        <v>886</v>
      </c>
      <c r="Y308" s="20" t="s">
        <v>36</v>
      </c>
      <c r="Z308" s="20" t="s">
        <v>36</v>
      </c>
    </row>
    <row r="309" spans="1:26">
      <c r="A309" s="20" t="s">
        <v>1013</v>
      </c>
      <c r="B309" s="20" t="s">
        <v>2115</v>
      </c>
      <c r="C309" s="31" t="s">
        <v>2233</v>
      </c>
      <c r="D309" s="49">
        <v>42902</v>
      </c>
      <c r="E309" s="9">
        <v>10.086428</v>
      </c>
      <c r="F309" s="9">
        <v>49.909314000000002</v>
      </c>
      <c r="G309" t="s">
        <v>1687</v>
      </c>
      <c r="H309" t="s">
        <v>2563</v>
      </c>
      <c r="I309" t="s">
        <v>2814</v>
      </c>
      <c r="K309" s="20" t="s">
        <v>907</v>
      </c>
      <c r="L309" s="20"/>
      <c r="M309" s="172" t="s">
        <v>1705</v>
      </c>
      <c r="N309" s="20" t="s">
        <v>3620</v>
      </c>
      <c r="O309" s="28">
        <v>0.1108</v>
      </c>
      <c r="P309" s="28">
        <v>3.6903999999999992E-2</v>
      </c>
      <c r="Q309" s="65">
        <f t="shared" si="20"/>
        <v>7.3896000000000003E-2</v>
      </c>
      <c r="R309" s="20">
        <v>5.98</v>
      </c>
      <c r="S309" s="20">
        <f>14.264+9.71</f>
        <v>23.974</v>
      </c>
      <c r="T309" s="20">
        <f t="shared" si="19"/>
        <v>143.36452</v>
      </c>
      <c r="W309" s="20" t="s">
        <v>887</v>
      </c>
      <c r="X309" s="20" t="s">
        <v>886</v>
      </c>
      <c r="Y309" s="20" t="s">
        <v>36</v>
      </c>
      <c r="Z309" s="20" t="s">
        <v>36</v>
      </c>
    </row>
    <row r="310" spans="1:26">
      <c r="A310" s="20" t="s">
        <v>1012</v>
      </c>
      <c r="B310" s="20" t="s">
        <v>2115</v>
      </c>
      <c r="C310" s="31" t="s">
        <v>2244</v>
      </c>
      <c r="D310" s="49">
        <v>42902</v>
      </c>
      <c r="E310" s="9">
        <v>10.017931000000001</v>
      </c>
      <c r="F310" s="9">
        <v>49.935696999999998</v>
      </c>
      <c r="G310" t="s">
        <v>1687</v>
      </c>
      <c r="H310" t="s">
        <v>2563</v>
      </c>
      <c r="I310" t="s">
        <v>2814</v>
      </c>
      <c r="K310" s="20" t="s">
        <v>907</v>
      </c>
      <c r="L310" s="20"/>
      <c r="M310" s="172" t="s">
        <v>1705</v>
      </c>
      <c r="N310" s="20" t="s">
        <v>3620</v>
      </c>
      <c r="O310" s="28">
        <v>9.1399999999999995E-2</v>
      </c>
      <c r="P310" s="28">
        <v>3.6903999999999992E-2</v>
      </c>
      <c r="Q310" s="65">
        <f t="shared" si="20"/>
        <v>5.4496000000000003E-2</v>
      </c>
      <c r="R310" s="20">
        <v>5.859</v>
      </c>
      <c r="S310" s="20">
        <f>9.329+9.694</f>
        <v>19.023000000000003</v>
      </c>
      <c r="T310" s="20">
        <f t="shared" si="19"/>
        <v>111.45575700000002</v>
      </c>
      <c r="W310" s="20" t="s">
        <v>887</v>
      </c>
      <c r="X310" s="20" t="s">
        <v>886</v>
      </c>
      <c r="Y310" s="20" t="s">
        <v>36</v>
      </c>
      <c r="Z310" s="20" t="s">
        <v>36</v>
      </c>
    </row>
    <row r="311" spans="1:26">
      <c r="A311" s="20" t="s">
        <v>1011</v>
      </c>
      <c r="B311" s="20" t="s">
        <v>2115</v>
      </c>
      <c r="C311" s="31" t="s">
        <v>2239</v>
      </c>
      <c r="D311" s="49">
        <v>42902</v>
      </c>
      <c r="E311" s="9">
        <v>10.067944000000001</v>
      </c>
      <c r="F311" s="9">
        <v>49.912992000000003</v>
      </c>
      <c r="G311" t="s">
        <v>1687</v>
      </c>
      <c r="H311" t="s">
        <v>2563</v>
      </c>
      <c r="I311" t="s">
        <v>2814</v>
      </c>
      <c r="K311" s="20" t="s">
        <v>907</v>
      </c>
      <c r="L311" s="20"/>
      <c r="M311" s="172" t="s">
        <v>1705</v>
      </c>
      <c r="N311" s="20" t="s">
        <v>3620</v>
      </c>
      <c r="O311" s="28">
        <v>7.1900000000000006E-2</v>
      </c>
      <c r="P311" s="28">
        <v>3.6903999999999992E-2</v>
      </c>
      <c r="Q311" s="65">
        <f t="shared" si="20"/>
        <v>3.4996000000000013E-2</v>
      </c>
      <c r="R311" s="20">
        <v>5.649</v>
      </c>
      <c r="S311" s="20">
        <f>9.266+8.463</f>
        <v>17.728999999999999</v>
      </c>
      <c r="T311" s="20">
        <f t="shared" si="19"/>
        <v>100.15112099999999</v>
      </c>
      <c r="W311" s="20" t="s">
        <v>887</v>
      </c>
      <c r="X311" s="20" t="s">
        <v>886</v>
      </c>
      <c r="Y311" s="20" t="s">
        <v>36</v>
      </c>
      <c r="Z311" s="20" t="s">
        <v>36</v>
      </c>
    </row>
    <row r="312" spans="1:26">
      <c r="A312" s="20" t="s">
        <v>1010</v>
      </c>
      <c r="B312" s="20" t="s">
        <v>2115</v>
      </c>
      <c r="C312" s="31" t="s">
        <v>2239</v>
      </c>
      <c r="D312" s="49">
        <v>42872</v>
      </c>
      <c r="E312" s="9">
        <v>10.067944000000001</v>
      </c>
      <c r="F312" s="9">
        <v>49.912992000000003</v>
      </c>
      <c r="G312" t="s">
        <v>1687</v>
      </c>
      <c r="H312" t="s">
        <v>2563</v>
      </c>
      <c r="I312" t="s">
        <v>2814</v>
      </c>
      <c r="K312" s="20" t="s">
        <v>907</v>
      </c>
      <c r="L312" s="20"/>
      <c r="M312" s="172" t="s">
        <v>1722</v>
      </c>
      <c r="N312" s="20" t="s">
        <v>2713</v>
      </c>
      <c r="O312" s="28">
        <v>0.20449999999999999</v>
      </c>
      <c r="P312" s="28">
        <v>3.6903999999999992E-2</v>
      </c>
      <c r="Q312" s="65">
        <f t="shared" si="20"/>
        <v>0.16759599999999999</v>
      </c>
      <c r="R312" s="20">
        <v>9.4969999999999999</v>
      </c>
      <c r="S312" s="20">
        <f>14.342+17.601</f>
        <v>31.942999999999998</v>
      </c>
      <c r="T312" s="20">
        <f t="shared" ref="T312:T375" si="21">R312*S312</f>
        <v>303.36267099999998</v>
      </c>
      <c r="W312" s="20" t="s">
        <v>887</v>
      </c>
      <c r="X312" s="20" t="s">
        <v>886</v>
      </c>
      <c r="Y312" s="20" t="s">
        <v>36</v>
      </c>
      <c r="Z312" s="20" t="s">
        <v>36</v>
      </c>
    </row>
    <row r="313" spans="1:26">
      <c r="A313" s="20" t="s">
        <v>1009</v>
      </c>
      <c r="B313" s="20" t="s">
        <v>2115</v>
      </c>
      <c r="C313" s="31" t="s">
        <v>2232</v>
      </c>
      <c r="D313" s="49">
        <v>42902</v>
      </c>
      <c r="E313" s="9">
        <v>10.065003000000001</v>
      </c>
      <c r="F313" s="9">
        <v>49.916336000000001</v>
      </c>
      <c r="G313" t="s">
        <v>1687</v>
      </c>
      <c r="H313" t="s">
        <v>2563</v>
      </c>
      <c r="I313" t="s">
        <v>2814</v>
      </c>
      <c r="K313" s="20" t="s">
        <v>907</v>
      </c>
      <c r="L313" s="20"/>
      <c r="M313" s="172" t="s">
        <v>1705</v>
      </c>
      <c r="N313" s="20" t="s">
        <v>3620</v>
      </c>
      <c r="O313" s="28">
        <v>9.8900000000000002E-2</v>
      </c>
      <c r="P313" s="28">
        <v>3.6903999999999992E-2</v>
      </c>
      <c r="Q313" s="65">
        <f t="shared" si="20"/>
        <v>6.1996000000000009E-2</v>
      </c>
      <c r="R313" s="20">
        <v>6.1470000000000002</v>
      </c>
      <c r="S313" s="20">
        <f>10.767+2.628+2.701+4.453</f>
        <v>20.548999999999999</v>
      </c>
      <c r="T313" s="20">
        <f t="shared" si="21"/>
        <v>126.31470300000001</v>
      </c>
      <c r="W313" s="20" t="s">
        <v>887</v>
      </c>
      <c r="X313" s="20" t="s">
        <v>886</v>
      </c>
      <c r="Y313" s="20" t="s">
        <v>36</v>
      </c>
      <c r="Z313" s="20" t="s">
        <v>36</v>
      </c>
    </row>
    <row r="314" spans="1:26">
      <c r="A314" s="20" t="s">
        <v>1008</v>
      </c>
      <c r="B314" s="20" t="s">
        <v>2115</v>
      </c>
      <c r="C314" s="60" t="s">
        <v>2240</v>
      </c>
      <c r="D314" s="49">
        <v>42902</v>
      </c>
      <c r="E314" s="9">
        <v>10.094319</v>
      </c>
      <c r="F314" s="9">
        <v>49.925831000000002</v>
      </c>
      <c r="G314" t="s">
        <v>1687</v>
      </c>
      <c r="H314" t="s">
        <v>2563</v>
      </c>
      <c r="I314" t="s">
        <v>2814</v>
      </c>
      <c r="K314" s="20" t="s">
        <v>907</v>
      </c>
      <c r="L314" s="20"/>
      <c r="M314" s="172" t="s">
        <v>1705</v>
      </c>
      <c r="N314" s="20" t="s">
        <v>3620</v>
      </c>
      <c r="O314" s="28">
        <v>8.09E-2</v>
      </c>
      <c r="P314" s="28">
        <v>3.6903999999999992E-2</v>
      </c>
      <c r="Q314" s="65">
        <f t="shared" si="20"/>
        <v>4.3996000000000007E-2</v>
      </c>
      <c r="R314" s="20">
        <v>5.5979999999999999</v>
      </c>
      <c r="S314" s="20">
        <f>7.615+8.461</f>
        <v>16.076000000000001</v>
      </c>
      <c r="T314" s="20">
        <f t="shared" si="21"/>
        <v>89.993448000000001</v>
      </c>
      <c r="W314" s="20" t="s">
        <v>887</v>
      </c>
      <c r="X314" s="20" t="s">
        <v>886</v>
      </c>
      <c r="Y314" s="20" t="s">
        <v>36</v>
      </c>
      <c r="Z314" s="20" t="s">
        <v>36</v>
      </c>
    </row>
    <row r="315" spans="1:26">
      <c r="A315" s="20" t="s">
        <v>1007</v>
      </c>
      <c r="B315" s="20" t="s">
        <v>2115</v>
      </c>
      <c r="C315" s="31" t="s">
        <v>2228</v>
      </c>
      <c r="D315" s="49">
        <v>42902</v>
      </c>
      <c r="E315" s="9">
        <v>10.050008</v>
      </c>
      <c r="F315" s="9">
        <v>49.941994000000001</v>
      </c>
      <c r="G315" t="s">
        <v>1687</v>
      </c>
      <c r="H315" t="s">
        <v>2563</v>
      </c>
      <c r="I315" t="s">
        <v>2814</v>
      </c>
      <c r="K315" s="20" t="s">
        <v>907</v>
      </c>
      <c r="L315" s="20"/>
      <c r="M315" s="172" t="s">
        <v>1705</v>
      </c>
      <c r="N315" s="20" t="s">
        <v>3620</v>
      </c>
      <c r="O315" s="28">
        <v>0.1656</v>
      </c>
      <c r="P315" s="28">
        <v>3.6903999999999992E-2</v>
      </c>
      <c r="Q315" s="65">
        <f t="shared" si="20"/>
        <v>0.128696</v>
      </c>
      <c r="R315" s="20">
        <v>6.8070000000000004</v>
      </c>
      <c r="S315" s="20">
        <f>12.554+11.364</f>
        <v>23.917999999999999</v>
      </c>
      <c r="T315" s="20">
        <f t="shared" si="21"/>
        <v>162.80982600000002</v>
      </c>
      <c r="W315" s="20" t="s">
        <v>887</v>
      </c>
      <c r="X315" s="20" t="s">
        <v>886</v>
      </c>
      <c r="Y315" s="20" t="s">
        <v>36</v>
      </c>
      <c r="Z315" s="20" t="s">
        <v>36</v>
      </c>
    </row>
    <row r="316" spans="1:26">
      <c r="A316" s="20" t="s">
        <v>1006</v>
      </c>
      <c r="B316" s="20" t="s">
        <v>2115</v>
      </c>
      <c r="C316" s="31" t="s">
        <v>2230</v>
      </c>
      <c r="D316" s="49">
        <v>42902</v>
      </c>
      <c r="E316" s="9">
        <v>10.124091999999999</v>
      </c>
      <c r="F316" s="9">
        <v>49.906236</v>
      </c>
      <c r="G316" t="s">
        <v>1687</v>
      </c>
      <c r="H316" t="s">
        <v>2563</v>
      </c>
      <c r="I316" t="s">
        <v>2814</v>
      </c>
      <c r="K316" s="20" t="s">
        <v>907</v>
      </c>
      <c r="L316" s="20"/>
      <c r="M316" s="172" t="s">
        <v>1722</v>
      </c>
      <c r="N316" s="20" t="s">
        <v>3620</v>
      </c>
      <c r="O316" s="28">
        <v>9.8599999999999993E-2</v>
      </c>
      <c r="P316" s="28">
        <v>3.6903999999999992E-2</v>
      </c>
      <c r="Q316" s="65">
        <f t="shared" si="20"/>
        <v>6.1696000000000001E-2</v>
      </c>
      <c r="R316" s="20">
        <v>5.6239999999999997</v>
      </c>
      <c r="S316" s="20">
        <f>10.286+4.298+4.033</f>
        <v>18.617000000000001</v>
      </c>
      <c r="T316" s="20">
        <f t="shared" si="21"/>
        <v>104.70200799999999</v>
      </c>
      <c r="W316" s="20" t="s">
        <v>887</v>
      </c>
      <c r="X316" s="20" t="s">
        <v>886</v>
      </c>
      <c r="Y316" s="20" t="s">
        <v>36</v>
      </c>
      <c r="Z316" s="20" t="s">
        <v>36</v>
      </c>
    </row>
    <row r="317" spans="1:26">
      <c r="A317" s="20" t="s">
        <v>1005</v>
      </c>
      <c r="B317" s="20" t="s">
        <v>2115</v>
      </c>
      <c r="C317" s="31" t="s">
        <v>2228</v>
      </c>
      <c r="D317" s="49">
        <v>42902</v>
      </c>
      <c r="E317" s="9">
        <v>10.050008</v>
      </c>
      <c r="F317" s="9">
        <v>49.941994000000001</v>
      </c>
      <c r="G317" t="s">
        <v>1687</v>
      </c>
      <c r="H317" t="s">
        <v>2563</v>
      </c>
      <c r="I317" t="s">
        <v>2814</v>
      </c>
      <c r="K317" s="20" t="s">
        <v>907</v>
      </c>
      <c r="L317" s="20"/>
      <c r="M317" s="172" t="s">
        <v>1705</v>
      </c>
      <c r="N317" s="20" t="s">
        <v>3620</v>
      </c>
      <c r="O317" s="28">
        <v>8.5900000000000004E-2</v>
      </c>
      <c r="P317" s="28">
        <v>3.6903999999999992E-2</v>
      </c>
      <c r="Q317" s="65">
        <f t="shared" si="20"/>
        <v>4.8996000000000012E-2</v>
      </c>
      <c r="R317" s="20">
        <v>6.1929999999999996</v>
      </c>
      <c r="S317" s="20">
        <f>10.492+9.457</f>
        <v>19.949000000000002</v>
      </c>
      <c r="T317" s="20">
        <f t="shared" si="21"/>
        <v>123.544157</v>
      </c>
      <c r="W317" s="20" t="s">
        <v>887</v>
      </c>
      <c r="X317" s="20" t="s">
        <v>886</v>
      </c>
      <c r="Y317" s="20" t="s">
        <v>36</v>
      </c>
      <c r="Z317" s="20" t="s">
        <v>36</v>
      </c>
    </row>
    <row r="318" spans="1:26">
      <c r="A318" s="20" t="s">
        <v>1004</v>
      </c>
      <c r="B318" s="20" t="s">
        <v>2115</v>
      </c>
      <c r="C318" s="31" t="s">
        <v>2228</v>
      </c>
      <c r="D318" s="49">
        <v>42902</v>
      </c>
      <c r="E318" s="9">
        <v>10.050008</v>
      </c>
      <c r="F318" s="9">
        <v>49.941994000000001</v>
      </c>
      <c r="G318" t="s">
        <v>1687</v>
      </c>
      <c r="H318" t="s">
        <v>2563</v>
      </c>
      <c r="I318" t="s">
        <v>2814</v>
      </c>
      <c r="K318" s="20" t="s">
        <v>907</v>
      </c>
      <c r="L318" s="20"/>
      <c r="M318" s="172" t="s">
        <v>1705</v>
      </c>
      <c r="N318" s="20" t="s">
        <v>3620</v>
      </c>
      <c r="O318" s="28">
        <v>0.1056</v>
      </c>
      <c r="P318" s="28">
        <v>3.6903999999999992E-2</v>
      </c>
      <c r="Q318" s="65">
        <f t="shared" si="20"/>
        <v>6.8696000000000007E-2</v>
      </c>
      <c r="R318" s="20">
        <v>5.407</v>
      </c>
      <c r="S318" s="20">
        <f>8.788+11.247</f>
        <v>20.035</v>
      </c>
      <c r="T318" s="20">
        <f t="shared" si="21"/>
        <v>108.329245</v>
      </c>
      <c r="W318" s="20" t="s">
        <v>887</v>
      </c>
      <c r="X318" s="20" t="s">
        <v>886</v>
      </c>
      <c r="Y318" s="20" t="s">
        <v>36</v>
      </c>
      <c r="Z318" s="20" t="s">
        <v>36</v>
      </c>
    </row>
    <row r="319" spans="1:26">
      <c r="A319" s="20" t="s">
        <v>1003</v>
      </c>
      <c r="B319" s="20" t="s">
        <v>2115</v>
      </c>
      <c r="C319" s="31" t="s">
        <v>2237</v>
      </c>
      <c r="D319" s="49">
        <v>42902</v>
      </c>
      <c r="E319" s="9">
        <v>10.045693999999999</v>
      </c>
      <c r="F319" s="9">
        <v>49.896189</v>
      </c>
      <c r="G319" t="s">
        <v>1687</v>
      </c>
      <c r="H319" t="s">
        <v>2563</v>
      </c>
      <c r="I319" t="s">
        <v>2814</v>
      </c>
      <c r="K319" s="20" t="s">
        <v>907</v>
      </c>
      <c r="L319" s="20"/>
      <c r="M319" s="172" t="s">
        <v>1705</v>
      </c>
      <c r="N319" s="20" t="s">
        <v>3620</v>
      </c>
      <c r="O319" s="28">
        <v>9.7199999999999995E-2</v>
      </c>
      <c r="P319" s="28">
        <v>3.6903999999999992E-2</v>
      </c>
      <c r="Q319" s="65">
        <f t="shared" si="20"/>
        <v>6.0296000000000002E-2</v>
      </c>
      <c r="R319" s="20">
        <v>6.2510000000000003</v>
      </c>
      <c r="S319" s="20">
        <f>10.532+9.284</f>
        <v>19.816000000000003</v>
      </c>
      <c r="T319" s="20">
        <f t="shared" si="21"/>
        <v>123.86981600000003</v>
      </c>
      <c r="W319" s="20" t="s">
        <v>887</v>
      </c>
      <c r="X319" s="20" t="s">
        <v>886</v>
      </c>
      <c r="Y319" s="20" t="s">
        <v>36</v>
      </c>
      <c r="Z319" s="20" t="s">
        <v>36</v>
      </c>
    </row>
    <row r="320" spans="1:26">
      <c r="A320" s="20" t="s">
        <v>1002</v>
      </c>
      <c r="B320" s="20" t="s">
        <v>2115</v>
      </c>
      <c r="C320" s="31" t="s">
        <v>2234</v>
      </c>
      <c r="D320" s="49">
        <v>42902</v>
      </c>
      <c r="E320" s="9">
        <v>10.053630999999999</v>
      </c>
      <c r="F320" s="9">
        <v>49.900486000000001</v>
      </c>
      <c r="G320" t="s">
        <v>1687</v>
      </c>
      <c r="H320" t="s">
        <v>2563</v>
      </c>
      <c r="I320" t="s">
        <v>2814</v>
      </c>
      <c r="K320" s="20" t="s">
        <v>907</v>
      </c>
      <c r="L320" s="20"/>
      <c r="M320" s="172" t="s">
        <v>1705</v>
      </c>
      <c r="N320" s="20" t="s">
        <v>3620</v>
      </c>
      <c r="O320" s="28">
        <v>8.6599999999999996E-2</v>
      </c>
      <c r="P320" s="28">
        <v>3.6903999999999992E-2</v>
      </c>
      <c r="Q320" s="65">
        <f t="shared" si="20"/>
        <v>4.9696000000000004E-2</v>
      </c>
      <c r="R320" s="20">
        <v>5.1929999999999996</v>
      </c>
      <c r="S320" s="20">
        <f>11.951+6.066</f>
        <v>18.016999999999999</v>
      </c>
      <c r="T320" s="20">
        <f t="shared" si="21"/>
        <v>93.562280999999984</v>
      </c>
      <c r="W320" s="20" t="s">
        <v>887</v>
      </c>
      <c r="X320" s="20" t="s">
        <v>886</v>
      </c>
      <c r="Y320" s="20" t="s">
        <v>36</v>
      </c>
      <c r="Z320" s="20" t="s">
        <v>36</v>
      </c>
    </row>
    <row r="321" spans="1:26">
      <c r="A321" s="20" t="s">
        <v>1001</v>
      </c>
      <c r="B321" s="20" t="s">
        <v>2115</v>
      </c>
      <c r="C321" s="31" t="s">
        <v>2242</v>
      </c>
      <c r="D321" s="49">
        <v>42888</v>
      </c>
      <c r="E321" s="9">
        <v>10.131019</v>
      </c>
      <c r="F321" s="9">
        <v>49.871225000000003</v>
      </c>
      <c r="G321" t="s">
        <v>1687</v>
      </c>
      <c r="H321" t="s">
        <v>2563</v>
      </c>
      <c r="I321" t="s">
        <v>2814</v>
      </c>
      <c r="K321" s="20" t="s">
        <v>907</v>
      </c>
      <c r="L321" s="20"/>
      <c r="M321" s="172" t="s">
        <v>1705</v>
      </c>
      <c r="N321" s="20" t="s">
        <v>3620</v>
      </c>
      <c r="O321" s="28">
        <v>8.9200000000000002E-2</v>
      </c>
      <c r="P321" s="28">
        <v>3.6903999999999992E-2</v>
      </c>
      <c r="Q321" s="65">
        <f t="shared" si="20"/>
        <v>5.2296000000000009E-2</v>
      </c>
      <c r="R321" s="20">
        <v>6.3780000000000001</v>
      </c>
      <c r="S321" s="20">
        <f>9.618+4.932+4.777</f>
        <v>19.327000000000002</v>
      </c>
      <c r="T321" s="20">
        <f t="shared" si="21"/>
        <v>123.26760600000001</v>
      </c>
      <c r="W321" s="20" t="s">
        <v>887</v>
      </c>
      <c r="X321" s="20" t="s">
        <v>886</v>
      </c>
      <c r="Y321" s="20" t="s">
        <v>36</v>
      </c>
      <c r="Z321" s="20" t="s">
        <v>36</v>
      </c>
    </row>
    <row r="322" spans="1:26">
      <c r="A322" s="20" t="s">
        <v>1000</v>
      </c>
      <c r="B322" s="20" t="s">
        <v>2115</v>
      </c>
      <c r="C322" s="31" t="s">
        <v>2228</v>
      </c>
      <c r="D322" s="49">
        <v>42902</v>
      </c>
      <c r="E322" s="9">
        <v>10.050008</v>
      </c>
      <c r="F322" s="9">
        <v>49.941994000000001</v>
      </c>
      <c r="G322" t="s">
        <v>1687</v>
      </c>
      <c r="H322" t="s">
        <v>2563</v>
      </c>
      <c r="I322" t="s">
        <v>2814</v>
      </c>
      <c r="K322" s="20" t="s">
        <v>907</v>
      </c>
      <c r="L322" s="20"/>
      <c r="M322" s="172" t="s">
        <v>1705</v>
      </c>
      <c r="N322" s="20" t="s">
        <v>3620</v>
      </c>
      <c r="O322" s="28">
        <v>8.9800000000000005E-2</v>
      </c>
      <c r="P322" s="28">
        <v>3.6903999999999992E-2</v>
      </c>
      <c r="Q322" s="65">
        <f t="shared" si="20"/>
        <v>5.2896000000000012E-2</v>
      </c>
      <c r="R322" s="20">
        <v>5.7060000000000004</v>
      </c>
      <c r="S322" s="20">
        <f>9.001+8.924</f>
        <v>17.924999999999997</v>
      </c>
      <c r="T322" s="20">
        <f t="shared" si="21"/>
        <v>102.28004999999999</v>
      </c>
      <c r="W322" s="20" t="s">
        <v>887</v>
      </c>
      <c r="X322" s="20" t="s">
        <v>886</v>
      </c>
      <c r="Y322" s="20" t="s">
        <v>36</v>
      </c>
      <c r="Z322" s="20" t="s">
        <v>36</v>
      </c>
    </row>
    <row r="323" spans="1:26">
      <c r="A323" s="20" t="s">
        <v>999</v>
      </c>
      <c r="B323" s="20" t="s">
        <v>2115</v>
      </c>
      <c r="C323" s="31" t="s">
        <v>2235</v>
      </c>
      <c r="D323" s="49">
        <v>42902</v>
      </c>
      <c r="E323" s="9">
        <v>10.057294000000001</v>
      </c>
      <c r="F323" s="9">
        <v>49.902307999999998</v>
      </c>
      <c r="G323" t="s">
        <v>1687</v>
      </c>
      <c r="H323" t="s">
        <v>2563</v>
      </c>
      <c r="I323" t="s">
        <v>2814</v>
      </c>
      <c r="K323" s="20" t="s">
        <v>907</v>
      </c>
      <c r="L323" s="20"/>
      <c r="M323" s="172" t="s">
        <v>1722</v>
      </c>
      <c r="N323" s="20" t="s">
        <v>3620</v>
      </c>
      <c r="O323" s="28">
        <v>9.9699999999999997E-2</v>
      </c>
      <c r="P323" s="28">
        <v>3.6903999999999992E-2</v>
      </c>
      <c r="Q323" s="65">
        <f t="shared" si="20"/>
        <v>6.2796000000000005E-2</v>
      </c>
      <c r="R323" s="20">
        <v>6.343</v>
      </c>
      <c r="S323" s="20">
        <f>10.838+9.624</f>
        <v>20.462</v>
      </c>
      <c r="T323" s="20">
        <f t="shared" si="21"/>
        <v>129.79046600000001</v>
      </c>
      <c r="W323" s="20" t="s">
        <v>887</v>
      </c>
      <c r="X323" s="20" t="s">
        <v>886</v>
      </c>
      <c r="Y323" s="20" t="s">
        <v>36</v>
      </c>
      <c r="Z323" s="20" t="s">
        <v>36</v>
      </c>
    </row>
    <row r="324" spans="1:26">
      <c r="A324" s="20" t="s">
        <v>998</v>
      </c>
      <c r="B324" s="20" t="s">
        <v>2115</v>
      </c>
      <c r="C324" s="31" t="s">
        <v>2236</v>
      </c>
      <c r="D324" s="49">
        <v>42902</v>
      </c>
      <c r="E324" s="9">
        <v>10.022767</v>
      </c>
      <c r="F324" s="9">
        <v>49.938633000000003</v>
      </c>
      <c r="G324" t="s">
        <v>1687</v>
      </c>
      <c r="H324" t="s">
        <v>2563</v>
      </c>
      <c r="I324" t="s">
        <v>2814</v>
      </c>
      <c r="K324" s="20" t="s">
        <v>907</v>
      </c>
      <c r="L324" s="20"/>
      <c r="M324" s="172" t="s">
        <v>1722</v>
      </c>
      <c r="N324" s="20" t="s">
        <v>3620</v>
      </c>
      <c r="O324" s="28">
        <v>9.6199999999999994E-2</v>
      </c>
      <c r="P324" s="28">
        <v>3.6903999999999992E-2</v>
      </c>
      <c r="Q324" s="65">
        <f t="shared" si="20"/>
        <v>5.9296000000000001E-2</v>
      </c>
      <c r="R324" s="20">
        <v>6.6070000000000002</v>
      </c>
      <c r="S324" s="20">
        <f>10.168+10.354</f>
        <v>20.521999999999998</v>
      </c>
      <c r="T324" s="20">
        <f t="shared" si="21"/>
        <v>135.588854</v>
      </c>
      <c r="W324" s="20" t="s">
        <v>887</v>
      </c>
      <c r="X324" s="20" t="s">
        <v>886</v>
      </c>
      <c r="Y324" s="20" t="s">
        <v>36</v>
      </c>
      <c r="Z324" s="20" t="s">
        <v>36</v>
      </c>
    </row>
    <row r="325" spans="1:26">
      <c r="A325" s="20" t="s">
        <v>997</v>
      </c>
      <c r="B325" s="20" t="s">
        <v>2115</v>
      </c>
      <c r="C325" s="60" t="s">
        <v>2240</v>
      </c>
      <c r="D325" s="49">
        <v>42902</v>
      </c>
      <c r="E325" s="9">
        <v>10.094319</v>
      </c>
      <c r="F325" s="9">
        <v>49.925831000000002</v>
      </c>
      <c r="G325" t="s">
        <v>1687</v>
      </c>
      <c r="H325" t="s">
        <v>2563</v>
      </c>
      <c r="I325" t="s">
        <v>2814</v>
      </c>
      <c r="K325" s="20" t="s">
        <v>907</v>
      </c>
      <c r="L325" s="20"/>
      <c r="M325" s="172" t="s">
        <v>1705</v>
      </c>
      <c r="N325" s="20" t="s">
        <v>3620</v>
      </c>
      <c r="O325" s="28">
        <v>7.5499999999999998E-2</v>
      </c>
      <c r="P325" s="28">
        <v>3.6903999999999992E-2</v>
      </c>
      <c r="Q325" s="65">
        <f t="shared" si="20"/>
        <v>3.8596000000000005E-2</v>
      </c>
      <c r="R325" s="20">
        <v>5.4089999999999998</v>
      </c>
      <c r="S325" s="20">
        <f>8.427+8.491</f>
        <v>16.917999999999999</v>
      </c>
      <c r="T325" s="20">
        <f t="shared" si="21"/>
        <v>91.509461999999999</v>
      </c>
      <c r="W325" s="20" t="s">
        <v>887</v>
      </c>
      <c r="X325" s="20" t="s">
        <v>886</v>
      </c>
      <c r="Y325" s="20" t="s">
        <v>36</v>
      </c>
      <c r="Z325" s="20" t="s">
        <v>36</v>
      </c>
    </row>
    <row r="326" spans="1:26">
      <c r="A326" s="20" t="s">
        <v>996</v>
      </c>
      <c r="B326" s="20" t="s">
        <v>2115</v>
      </c>
      <c r="C326" s="31" t="s">
        <v>2237</v>
      </c>
      <c r="D326" s="49">
        <v>42902</v>
      </c>
      <c r="E326" s="9">
        <v>10.045693999999999</v>
      </c>
      <c r="F326" s="9">
        <v>49.896189</v>
      </c>
      <c r="G326" t="s">
        <v>1687</v>
      </c>
      <c r="H326" t="s">
        <v>2563</v>
      </c>
      <c r="I326" t="s">
        <v>2814</v>
      </c>
      <c r="K326" s="20" t="s">
        <v>907</v>
      </c>
      <c r="L326" s="20"/>
      <c r="M326" s="172" t="s">
        <v>1705</v>
      </c>
      <c r="N326" s="20" t="s">
        <v>3620</v>
      </c>
      <c r="O326" s="28">
        <v>0.15409999999999999</v>
      </c>
      <c r="P326" s="28">
        <v>3.6903999999999992E-2</v>
      </c>
      <c r="Q326" s="65">
        <f t="shared" si="20"/>
        <v>0.11719599999999999</v>
      </c>
      <c r="R326" s="20">
        <v>6.6929999999999996</v>
      </c>
      <c r="S326" s="20">
        <f>11.14+8.755</f>
        <v>19.895000000000003</v>
      </c>
      <c r="T326" s="20">
        <f t="shared" si="21"/>
        <v>133.15723500000001</v>
      </c>
      <c r="W326" s="20" t="s">
        <v>887</v>
      </c>
      <c r="X326" s="20" t="s">
        <v>886</v>
      </c>
      <c r="Y326" s="20" t="s">
        <v>36</v>
      </c>
      <c r="Z326" s="20" t="s">
        <v>36</v>
      </c>
    </row>
    <row r="327" spans="1:26">
      <c r="A327" s="20" t="s">
        <v>995</v>
      </c>
      <c r="B327" s="20" t="s">
        <v>2115</v>
      </c>
      <c r="C327" s="31" t="s">
        <v>2232</v>
      </c>
      <c r="D327" s="49">
        <v>42902</v>
      </c>
      <c r="E327" s="9">
        <v>10.065003000000001</v>
      </c>
      <c r="F327" s="9">
        <v>49.916336000000001</v>
      </c>
      <c r="G327" t="s">
        <v>1687</v>
      </c>
      <c r="H327" t="s">
        <v>2563</v>
      </c>
      <c r="I327" t="s">
        <v>2814</v>
      </c>
      <c r="K327" s="20" t="s">
        <v>907</v>
      </c>
      <c r="L327" s="20"/>
      <c r="M327" s="172" t="s">
        <v>1705</v>
      </c>
      <c r="N327" s="20" t="s">
        <v>3620</v>
      </c>
      <c r="O327" s="28">
        <v>7.6300000000000007E-2</v>
      </c>
      <c r="P327" s="28">
        <v>3.6903999999999992E-2</v>
      </c>
      <c r="Q327" s="65">
        <f t="shared" si="20"/>
        <v>3.9396000000000014E-2</v>
      </c>
      <c r="R327" s="20">
        <v>4.8630000000000004</v>
      </c>
      <c r="S327" s="20">
        <f>8.517+9.373</f>
        <v>17.89</v>
      </c>
      <c r="T327" s="20">
        <f t="shared" si="21"/>
        <v>86.999070000000017</v>
      </c>
      <c r="W327" s="20" t="s">
        <v>887</v>
      </c>
      <c r="X327" s="20" t="s">
        <v>886</v>
      </c>
      <c r="Y327" s="20" t="s">
        <v>36</v>
      </c>
      <c r="Z327" s="20" t="s">
        <v>36</v>
      </c>
    </row>
    <row r="328" spans="1:26">
      <c r="A328" s="20" t="s">
        <v>994</v>
      </c>
      <c r="B328" s="20" t="s">
        <v>2115</v>
      </c>
      <c r="C328" s="31" t="s">
        <v>2228</v>
      </c>
      <c r="D328" s="49">
        <v>42902</v>
      </c>
      <c r="E328" s="9">
        <v>10.050008</v>
      </c>
      <c r="F328" s="9">
        <v>49.941994000000001</v>
      </c>
      <c r="G328" t="s">
        <v>1687</v>
      </c>
      <c r="H328" t="s">
        <v>2563</v>
      </c>
      <c r="I328" t="s">
        <v>2814</v>
      </c>
      <c r="K328" s="20" t="s">
        <v>907</v>
      </c>
      <c r="L328" s="20"/>
      <c r="M328" s="172" t="s">
        <v>1705</v>
      </c>
      <c r="N328" s="20" t="s">
        <v>3620</v>
      </c>
      <c r="O328" s="28">
        <v>0.1013</v>
      </c>
      <c r="P328" s="28">
        <v>3.6903999999999992E-2</v>
      </c>
      <c r="Q328" s="65">
        <f t="shared" si="20"/>
        <v>6.4396000000000009E-2</v>
      </c>
      <c r="R328" s="20">
        <v>5.931</v>
      </c>
      <c r="S328" s="20">
        <f>9.977+10.885</f>
        <v>20.862000000000002</v>
      </c>
      <c r="T328" s="20">
        <f t="shared" si="21"/>
        <v>123.73252200000002</v>
      </c>
      <c r="W328" s="20" t="s">
        <v>887</v>
      </c>
      <c r="X328" s="20" t="s">
        <v>886</v>
      </c>
      <c r="Y328" s="20" t="s">
        <v>36</v>
      </c>
      <c r="Z328" s="20" t="s">
        <v>36</v>
      </c>
    </row>
    <row r="329" spans="1:26">
      <c r="A329" s="20" t="s">
        <v>993</v>
      </c>
      <c r="B329" s="20" t="s">
        <v>2115</v>
      </c>
      <c r="C329" s="31" t="s">
        <v>2237</v>
      </c>
      <c r="D329" s="49">
        <v>42902</v>
      </c>
      <c r="E329" s="9">
        <v>10.045693999999999</v>
      </c>
      <c r="F329" s="9">
        <v>49.896189</v>
      </c>
      <c r="G329" t="s">
        <v>1687</v>
      </c>
      <c r="H329" t="s">
        <v>2563</v>
      </c>
      <c r="I329" t="s">
        <v>2814</v>
      </c>
      <c r="K329" s="20" t="s">
        <v>907</v>
      </c>
      <c r="L329" s="20"/>
      <c r="M329" s="172" t="s">
        <v>1705</v>
      </c>
      <c r="N329" s="20" t="s">
        <v>3620</v>
      </c>
      <c r="O329" s="28">
        <v>0.1153</v>
      </c>
      <c r="P329" s="28">
        <v>3.6903999999999992E-2</v>
      </c>
      <c r="Q329" s="65">
        <f t="shared" si="20"/>
        <v>7.8396000000000007E-2</v>
      </c>
      <c r="R329" s="20">
        <v>6.3789999999999996</v>
      </c>
      <c r="S329" s="20">
        <f>9.109+9.893</f>
        <v>19.002000000000002</v>
      </c>
      <c r="T329" s="20">
        <f t="shared" si="21"/>
        <v>121.21375800000001</v>
      </c>
      <c r="W329" s="20" t="s">
        <v>887</v>
      </c>
      <c r="X329" s="20" t="s">
        <v>886</v>
      </c>
      <c r="Y329" s="20" t="s">
        <v>36</v>
      </c>
      <c r="Z329" s="20" t="s">
        <v>36</v>
      </c>
    </row>
    <row r="330" spans="1:26">
      <c r="A330" s="20" t="s">
        <v>992</v>
      </c>
      <c r="B330" s="20" t="s">
        <v>2115</v>
      </c>
      <c r="C330" s="31" t="s">
        <v>2236</v>
      </c>
      <c r="D330" s="49">
        <v>42902</v>
      </c>
      <c r="E330" s="9">
        <v>10.022767</v>
      </c>
      <c r="F330" s="9">
        <v>49.938633000000003</v>
      </c>
      <c r="G330" t="s">
        <v>1687</v>
      </c>
      <c r="H330" t="s">
        <v>2563</v>
      </c>
      <c r="I330" t="s">
        <v>2814</v>
      </c>
      <c r="K330" s="20" t="s">
        <v>907</v>
      </c>
      <c r="L330" s="20"/>
      <c r="M330" s="172" t="s">
        <v>1705</v>
      </c>
      <c r="N330" s="20" t="s">
        <v>3620</v>
      </c>
      <c r="O330" s="28">
        <v>9.5699999999999993E-2</v>
      </c>
      <c r="P330" s="28">
        <v>3.6903999999999992E-2</v>
      </c>
      <c r="Q330" s="65">
        <f t="shared" si="20"/>
        <v>5.8796000000000001E-2</v>
      </c>
      <c r="R330" s="20">
        <v>5.1139999999999999</v>
      </c>
      <c r="S330" s="20">
        <f>10.422+11.364</f>
        <v>21.786000000000001</v>
      </c>
      <c r="T330" s="20">
        <f t="shared" si="21"/>
        <v>111.41360400000001</v>
      </c>
      <c r="W330" s="20" t="s">
        <v>887</v>
      </c>
      <c r="X330" s="20" t="s">
        <v>886</v>
      </c>
      <c r="Y330" s="20" t="s">
        <v>36</v>
      </c>
      <c r="Z330" s="20" t="s">
        <v>36</v>
      </c>
    </row>
    <row r="331" spans="1:26">
      <c r="A331" s="20" t="s">
        <v>991</v>
      </c>
      <c r="B331" s="20" t="s">
        <v>2115</v>
      </c>
      <c r="C331" s="31" t="s">
        <v>2244</v>
      </c>
      <c r="D331" s="49">
        <v>42902</v>
      </c>
      <c r="E331" s="9">
        <v>10.017931000000001</v>
      </c>
      <c r="F331" s="9">
        <v>49.935696999999998</v>
      </c>
      <c r="G331" t="s">
        <v>1687</v>
      </c>
      <c r="H331" t="s">
        <v>2563</v>
      </c>
      <c r="I331" t="s">
        <v>2814</v>
      </c>
      <c r="K331" s="20" t="s">
        <v>907</v>
      </c>
      <c r="L331" s="20"/>
      <c r="M331" s="172" t="s">
        <v>1705</v>
      </c>
      <c r="N331" s="20" t="s">
        <v>3620</v>
      </c>
      <c r="O331" s="28">
        <v>0.1162</v>
      </c>
      <c r="P331" s="28">
        <v>3.6903999999999992E-2</v>
      </c>
      <c r="Q331" s="65">
        <f t="shared" si="20"/>
        <v>7.9296000000000005E-2</v>
      </c>
      <c r="R331" s="20">
        <v>6.2060000000000004</v>
      </c>
      <c r="S331" s="20">
        <f>10.029+6.206</f>
        <v>16.234999999999999</v>
      </c>
      <c r="T331" s="20">
        <f t="shared" si="21"/>
        <v>100.75441000000001</v>
      </c>
      <c r="W331" s="20" t="s">
        <v>887</v>
      </c>
      <c r="X331" s="20" t="s">
        <v>886</v>
      </c>
      <c r="Y331" s="20" t="s">
        <v>36</v>
      </c>
      <c r="Z331" s="20" t="s">
        <v>36</v>
      </c>
    </row>
    <row r="332" spans="1:26">
      <c r="A332" s="20" t="s">
        <v>990</v>
      </c>
      <c r="B332" s="20" t="s">
        <v>2115</v>
      </c>
      <c r="C332" s="31" t="s">
        <v>2236</v>
      </c>
      <c r="D332" s="49">
        <v>42902</v>
      </c>
      <c r="E332" s="9">
        <v>10.022767</v>
      </c>
      <c r="F332" s="9">
        <v>49.938633000000003</v>
      </c>
      <c r="G332" t="s">
        <v>1687</v>
      </c>
      <c r="H332" t="s">
        <v>2563</v>
      </c>
      <c r="I332" t="s">
        <v>2814</v>
      </c>
      <c r="K332" s="20" t="s">
        <v>907</v>
      </c>
      <c r="L332" s="20"/>
      <c r="M332" s="172" t="s">
        <v>1722</v>
      </c>
      <c r="N332" s="20" t="s">
        <v>3620</v>
      </c>
      <c r="O332" s="28">
        <v>0.10829999999999999</v>
      </c>
      <c r="P332" s="28">
        <v>3.6903999999999992E-2</v>
      </c>
      <c r="Q332" s="65">
        <f t="shared" si="20"/>
        <v>7.1396000000000001E-2</v>
      </c>
      <c r="R332" s="20">
        <v>5.9480000000000004</v>
      </c>
      <c r="S332" s="20">
        <f>10.625+7.827</f>
        <v>18.451999999999998</v>
      </c>
      <c r="T332" s="20">
        <f t="shared" si="21"/>
        <v>109.75249599999999</v>
      </c>
      <c r="W332" s="20" t="s">
        <v>887</v>
      </c>
      <c r="X332" s="20" t="s">
        <v>886</v>
      </c>
      <c r="Y332" s="20" t="s">
        <v>36</v>
      </c>
      <c r="Z332" s="20" t="s">
        <v>36</v>
      </c>
    </row>
    <row r="333" spans="1:26">
      <c r="A333" s="20" t="s">
        <v>989</v>
      </c>
      <c r="B333" s="20" t="s">
        <v>2115</v>
      </c>
      <c r="C333" s="31" t="s">
        <v>2230</v>
      </c>
      <c r="D333" s="49">
        <v>42902</v>
      </c>
      <c r="E333" s="9">
        <v>10.124091999999999</v>
      </c>
      <c r="F333" s="9">
        <v>49.906236</v>
      </c>
      <c r="G333" t="s">
        <v>1687</v>
      </c>
      <c r="H333" t="s">
        <v>2563</v>
      </c>
      <c r="I333" t="s">
        <v>2814</v>
      </c>
      <c r="K333" s="20" t="s">
        <v>907</v>
      </c>
      <c r="L333" s="20"/>
      <c r="M333" s="172" t="s">
        <v>2582</v>
      </c>
      <c r="N333" s="20" t="s">
        <v>3620</v>
      </c>
      <c r="O333" s="28">
        <v>7.3499999999999996E-2</v>
      </c>
      <c r="P333" s="28">
        <v>3.6903999999999992E-2</v>
      </c>
      <c r="Q333" s="65">
        <f t="shared" si="20"/>
        <v>3.6596000000000004E-2</v>
      </c>
      <c r="R333" s="20">
        <v>5.8449999999999998</v>
      </c>
      <c r="S333" s="20">
        <f>6.801+8.903</f>
        <v>15.704000000000001</v>
      </c>
      <c r="T333" s="20">
        <f t="shared" si="21"/>
        <v>91.789879999999997</v>
      </c>
      <c r="W333" s="20" t="s">
        <v>887</v>
      </c>
      <c r="X333" s="20" t="s">
        <v>886</v>
      </c>
      <c r="Y333" s="20" t="s">
        <v>36</v>
      </c>
      <c r="Z333" s="20" t="s">
        <v>36</v>
      </c>
    </row>
    <row r="334" spans="1:26">
      <c r="A334" s="20" t="s">
        <v>988</v>
      </c>
      <c r="B334" s="20" t="s">
        <v>2115</v>
      </c>
      <c r="C334" s="31" t="s">
        <v>2238</v>
      </c>
      <c r="D334" s="49">
        <v>42902</v>
      </c>
      <c r="E334" s="9">
        <v>10.135947</v>
      </c>
      <c r="F334" s="9">
        <v>49.868039000000003</v>
      </c>
      <c r="G334" t="s">
        <v>1687</v>
      </c>
      <c r="H334" t="s">
        <v>2563</v>
      </c>
      <c r="I334" t="s">
        <v>2814</v>
      </c>
      <c r="K334" s="20" t="s">
        <v>907</v>
      </c>
      <c r="L334" s="20"/>
      <c r="M334" s="172" t="s">
        <v>1722</v>
      </c>
      <c r="N334" s="20" t="s">
        <v>3620</v>
      </c>
      <c r="O334" s="28">
        <v>9.1600000000000001E-2</v>
      </c>
      <c r="P334" s="28">
        <v>3.6903999999999992E-2</v>
      </c>
      <c r="Q334" s="65">
        <f t="shared" si="20"/>
        <v>5.4696000000000009E-2</v>
      </c>
      <c r="R334" s="20">
        <v>6.2889999999999997</v>
      </c>
      <c r="S334" s="20">
        <f>10.262+4.13+2.897</f>
        <v>17.288999999999998</v>
      </c>
      <c r="T334" s="20">
        <f t="shared" si="21"/>
        <v>108.73052099999998</v>
      </c>
      <c r="W334" s="20" t="s">
        <v>887</v>
      </c>
      <c r="X334" s="20" t="s">
        <v>886</v>
      </c>
      <c r="Y334" s="20" t="s">
        <v>36</v>
      </c>
      <c r="Z334" s="20" t="s">
        <v>36</v>
      </c>
    </row>
    <row r="335" spans="1:26">
      <c r="A335" s="20" t="s">
        <v>987</v>
      </c>
      <c r="B335" s="20" t="s">
        <v>2115</v>
      </c>
      <c r="C335" s="31" t="s">
        <v>2238</v>
      </c>
      <c r="D335" s="49">
        <v>42902</v>
      </c>
      <c r="E335" s="9">
        <v>10.135947</v>
      </c>
      <c r="F335" s="9">
        <v>49.868039000000003</v>
      </c>
      <c r="G335" t="s">
        <v>1687</v>
      </c>
      <c r="H335" t="s">
        <v>2563</v>
      </c>
      <c r="I335" t="s">
        <v>2814</v>
      </c>
      <c r="K335" s="20" t="s">
        <v>907</v>
      </c>
      <c r="L335" s="20"/>
      <c r="M335" s="172" t="s">
        <v>2582</v>
      </c>
      <c r="N335" s="20" t="s">
        <v>3620</v>
      </c>
      <c r="O335" s="28">
        <v>6.3500000000000001E-2</v>
      </c>
      <c r="P335" s="28">
        <v>3.6903999999999992E-2</v>
      </c>
      <c r="Q335" s="65">
        <f t="shared" si="20"/>
        <v>2.6596000000000009E-2</v>
      </c>
      <c r="R335" s="20">
        <v>4.8280000000000003</v>
      </c>
      <c r="S335" s="20">
        <f>8.215+6.325</f>
        <v>14.54</v>
      </c>
      <c r="T335" s="20">
        <f t="shared" si="21"/>
        <v>70.199119999999994</v>
      </c>
      <c r="W335" s="20" t="s">
        <v>887</v>
      </c>
      <c r="X335" s="20" t="s">
        <v>886</v>
      </c>
      <c r="Y335" s="20" t="s">
        <v>36</v>
      </c>
      <c r="Z335" s="20" t="s">
        <v>36</v>
      </c>
    </row>
    <row r="336" spans="1:26">
      <c r="A336" s="20" t="s">
        <v>986</v>
      </c>
      <c r="B336" s="20" t="s">
        <v>2115</v>
      </c>
      <c r="C336" s="60" t="s">
        <v>2240</v>
      </c>
      <c r="D336" s="49">
        <v>42902</v>
      </c>
      <c r="E336" s="9">
        <v>10.094319</v>
      </c>
      <c r="F336" s="9">
        <v>49.925831000000002</v>
      </c>
      <c r="G336" t="s">
        <v>1687</v>
      </c>
      <c r="H336" t="s">
        <v>2563</v>
      </c>
      <c r="I336" t="s">
        <v>2814</v>
      </c>
      <c r="K336" s="20" t="s">
        <v>907</v>
      </c>
      <c r="L336" s="20"/>
      <c r="M336" s="172" t="s">
        <v>1705</v>
      </c>
      <c r="N336" s="20" t="s">
        <v>3620</v>
      </c>
      <c r="O336" s="28">
        <v>7.3499999999999996E-2</v>
      </c>
      <c r="P336" s="28">
        <v>3.6903999999999992E-2</v>
      </c>
      <c r="Q336" s="65">
        <f t="shared" si="20"/>
        <v>3.6596000000000004E-2</v>
      </c>
      <c r="R336" s="20">
        <v>4.7809999999999997</v>
      </c>
      <c r="S336" s="20">
        <f>7.731+7.875</f>
        <v>15.606</v>
      </c>
      <c r="T336" s="20">
        <f t="shared" si="21"/>
        <v>74.612285999999997</v>
      </c>
      <c r="W336" s="20" t="s">
        <v>887</v>
      </c>
      <c r="X336" s="20" t="s">
        <v>886</v>
      </c>
      <c r="Y336" s="20" t="s">
        <v>36</v>
      </c>
      <c r="Z336" s="20" t="s">
        <v>36</v>
      </c>
    </row>
    <row r="337" spans="1:26">
      <c r="A337" s="20" t="s">
        <v>985</v>
      </c>
      <c r="B337" s="20" t="s">
        <v>2115</v>
      </c>
      <c r="C337" s="31" t="s">
        <v>2236</v>
      </c>
      <c r="D337" s="49">
        <v>42888</v>
      </c>
      <c r="E337" s="9">
        <v>10.022767</v>
      </c>
      <c r="F337" s="9">
        <v>49.938633000000003</v>
      </c>
      <c r="G337" t="s">
        <v>1687</v>
      </c>
      <c r="H337" t="s">
        <v>2563</v>
      </c>
      <c r="I337" t="s">
        <v>2814</v>
      </c>
      <c r="K337" s="20" t="s">
        <v>907</v>
      </c>
      <c r="L337" s="20"/>
      <c r="M337" s="172" t="s">
        <v>1688</v>
      </c>
      <c r="N337" s="20" t="s">
        <v>2712</v>
      </c>
      <c r="O337" s="28">
        <v>8.0299999999999996E-2</v>
      </c>
      <c r="P337" s="28">
        <v>3.6903999999999992E-2</v>
      </c>
      <c r="Q337" s="65">
        <f t="shared" si="20"/>
        <v>4.3396000000000004E-2</v>
      </c>
      <c r="R337" s="20">
        <v>4.9029999999999996</v>
      </c>
      <c r="S337" s="20">
        <f>8.742+6.442+4.982</f>
        <v>20.166</v>
      </c>
      <c r="T337" s="20">
        <f t="shared" si="21"/>
        <v>98.873897999999997</v>
      </c>
      <c r="W337" s="20" t="s">
        <v>887</v>
      </c>
      <c r="X337" s="20" t="s">
        <v>886</v>
      </c>
      <c r="Y337" s="20" t="s">
        <v>36</v>
      </c>
      <c r="Z337" s="20" t="s">
        <v>36</v>
      </c>
    </row>
    <row r="338" spans="1:26">
      <c r="A338" s="20" t="s">
        <v>984</v>
      </c>
      <c r="B338" s="20" t="s">
        <v>2115</v>
      </c>
      <c r="C338" s="31" t="s">
        <v>2235</v>
      </c>
      <c r="D338" s="49">
        <v>42902</v>
      </c>
      <c r="E338" s="9">
        <v>10.057294000000001</v>
      </c>
      <c r="F338" s="9">
        <v>49.902307999999998</v>
      </c>
      <c r="G338" t="s">
        <v>1687</v>
      </c>
      <c r="H338" t="s">
        <v>2563</v>
      </c>
      <c r="I338" t="s">
        <v>2814</v>
      </c>
      <c r="K338" s="20" t="s">
        <v>907</v>
      </c>
      <c r="L338" s="20"/>
      <c r="M338" s="172" t="s">
        <v>1710</v>
      </c>
      <c r="N338" s="20" t="s">
        <v>2713</v>
      </c>
      <c r="O338" s="28">
        <v>0.14280000000000001</v>
      </c>
      <c r="P338" s="28">
        <v>3.6903999999999992E-2</v>
      </c>
      <c r="Q338" s="65">
        <f t="shared" si="20"/>
        <v>0.10589600000000002</v>
      </c>
      <c r="R338" s="20">
        <v>7.3230000000000004</v>
      </c>
      <c r="S338" s="20">
        <f>14.193+13.031</f>
        <v>27.224</v>
      </c>
      <c r="T338" s="20">
        <f t="shared" si="21"/>
        <v>199.36135200000001</v>
      </c>
      <c r="W338" s="20" t="s">
        <v>887</v>
      </c>
      <c r="X338" s="20" t="s">
        <v>886</v>
      </c>
      <c r="Y338" s="20" t="s">
        <v>36</v>
      </c>
      <c r="Z338" s="20" t="s">
        <v>36</v>
      </c>
    </row>
    <row r="339" spans="1:26">
      <c r="A339" s="20" t="s">
        <v>983</v>
      </c>
      <c r="B339" s="20" t="s">
        <v>2115</v>
      </c>
      <c r="C339" s="31" t="s">
        <v>2241</v>
      </c>
      <c r="D339" s="49">
        <v>42902</v>
      </c>
      <c r="E339" s="20">
        <v>10.109500000000001</v>
      </c>
      <c r="F339" s="9">
        <v>49.861344000000003</v>
      </c>
      <c r="G339" t="s">
        <v>1687</v>
      </c>
      <c r="H339" t="s">
        <v>2563</v>
      </c>
      <c r="I339" t="s">
        <v>2814</v>
      </c>
      <c r="K339" s="20" t="s">
        <v>907</v>
      </c>
      <c r="L339" s="20"/>
      <c r="M339" s="172" t="s">
        <v>1705</v>
      </c>
      <c r="N339" s="20" t="s">
        <v>3620</v>
      </c>
      <c r="O339" s="28">
        <v>8.9800000000000005E-2</v>
      </c>
      <c r="P339" s="28">
        <v>3.6903999999999992E-2</v>
      </c>
      <c r="Q339" s="65">
        <f t="shared" si="20"/>
        <v>5.2896000000000012E-2</v>
      </c>
      <c r="R339" s="20">
        <v>5.5069999999999997</v>
      </c>
      <c r="S339" s="20">
        <f>8.994+4.221+5.886</f>
        <v>19.100999999999999</v>
      </c>
      <c r="T339" s="20">
        <f t="shared" si="21"/>
        <v>105.18920699999998</v>
      </c>
      <c r="W339" s="20" t="s">
        <v>887</v>
      </c>
      <c r="X339" s="20" t="s">
        <v>886</v>
      </c>
      <c r="Y339" s="20" t="s">
        <v>36</v>
      </c>
      <c r="Z339" s="20" t="s">
        <v>36</v>
      </c>
    </row>
    <row r="340" spans="1:26">
      <c r="A340" s="20" t="s">
        <v>982</v>
      </c>
      <c r="B340" s="20" t="s">
        <v>2115</v>
      </c>
      <c r="C340" s="31" t="s">
        <v>2244</v>
      </c>
      <c r="D340" s="49">
        <v>42856</v>
      </c>
      <c r="E340" s="9">
        <v>10.017931000000001</v>
      </c>
      <c r="F340" s="9">
        <v>49.935696999999998</v>
      </c>
      <c r="G340" t="s">
        <v>1687</v>
      </c>
      <c r="H340" t="s">
        <v>2563</v>
      </c>
      <c r="I340" t="s">
        <v>2814</v>
      </c>
      <c r="K340" s="20" t="s">
        <v>907</v>
      </c>
      <c r="L340" s="20"/>
      <c r="M340" s="172" t="s">
        <v>1710</v>
      </c>
      <c r="N340" s="20" t="s">
        <v>2713</v>
      </c>
      <c r="O340" s="28">
        <v>0.15770000000000001</v>
      </c>
      <c r="P340" s="28">
        <v>3.6903999999999992E-2</v>
      </c>
      <c r="Q340" s="65">
        <f t="shared" si="20"/>
        <v>0.12079600000000001</v>
      </c>
      <c r="R340" s="20">
        <v>7.633</v>
      </c>
      <c r="S340" s="20">
        <f>15.111+6.986+7.128</f>
        <v>29.225000000000001</v>
      </c>
      <c r="T340" s="20">
        <f t="shared" si="21"/>
        <v>223.07442500000002</v>
      </c>
      <c r="W340" s="20" t="s">
        <v>887</v>
      </c>
      <c r="X340" s="20" t="s">
        <v>886</v>
      </c>
      <c r="Y340" s="20" t="s">
        <v>36</v>
      </c>
      <c r="Z340" s="20" t="s">
        <v>36</v>
      </c>
    </row>
    <row r="341" spans="1:26">
      <c r="A341" s="20" t="s">
        <v>981</v>
      </c>
      <c r="B341" s="20" t="s">
        <v>2115</v>
      </c>
      <c r="C341" s="31" t="s">
        <v>2235</v>
      </c>
      <c r="D341" s="49">
        <v>42856</v>
      </c>
      <c r="E341" s="9">
        <v>10.057294000000001</v>
      </c>
      <c r="F341" s="9">
        <v>49.902307999999998</v>
      </c>
      <c r="G341" t="s">
        <v>1687</v>
      </c>
      <c r="H341" t="s">
        <v>2563</v>
      </c>
      <c r="I341" t="s">
        <v>2814</v>
      </c>
      <c r="K341" s="20" t="s">
        <v>907</v>
      </c>
      <c r="L341" s="20"/>
      <c r="M341" s="172" t="s">
        <v>1710</v>
      </c>
      <c r="N341" s="20" t="s">
        <v>2713</v>
      </c>
      <c r="O341" s="28">
        <v>0.1232</v>
      </c>
      <c r="P341" s="28">
        <v>3.6903999999999992E-2</v>
      </c>
      <c r="Q341" s="65">
        <f t="shared" si="20"/>
        <v>8.6296000000000012E-2</v>
      </c>
      <c r="R341" s="20">
        <v>6.2560000000000002</v>
      </c>
      <c r="S341" s="20">
        <f>12.622+11.876</f>
        <v>24.497999999999998</v>
      </c>
      <c r="T341" s="20">
        <f t="shared" si="21"/>
        <v>153.25948799999998</v>
      </c>
      <c r="W341" s="20" t="s">
        <v>887</v>
      </c>
      <c r="X341" s="20" t="s">
        <v>886</v>
      </c>
      <c r="Y341" s="20" t="s">
        <v>36</v>
      </c>
      <c r="Z341" s="20" t="s">
        <v>36</v>
      </c>
    </row>
    <row r="342" spans="1:26">
      <c r="A342" s="20" t="s">
        <v>980</v>
      </c>
      <c r="B342" s="20" t="s">
        <v>2115</v>
      </c>
      <c r="C342" s="60" t="s">
        <v>2240</v>
      </c>
      <c r="D342" s="49">
        <v>42856</v>
      </c>
      <c r="E342" s="9">
        <v>10.094319</v>
      </c>
      <c r="F342" s="9">
        <v>49.925831000000002</v>
      </c>
      <c r="G342" t="s">
        <v>1687</v>
      </c>
      <c r="H342" t="s">
        <v>2563</v>
      </c>
      <c r="I342" t="s">
        <v>2814</v>
      </c>
      <c r="K342" s="20" t="s">
        <v>907</v>
      </c>
      <c r="L342" s="20"/>
      <c r="M342" s="172" t="s">
        <v>1722</v>
      </c>
      <c r="N342" s="20" t="s">
        <v>2713</v>
      </c>
      <c r="O342" s="28">
        <v>0.26169999999999999</v>
      </c>
      <c r="P342" s="28">
        <v>3.6903999999999992E-2</v>
      </c>
      <c r="Q342" s="65">
        <f t="shared" si="20"/>
        <v>0.224796</v>
      </c>
      <c r="R342" s="20">
        <v>9.3149999999999995</v>
      </c>
      <c r="S342" s="20">
        <f>15.953+7.91+8.21</f>
        <v>32.073</v>
      </c>
      <c r="T342" s="20">
        <f t="shared" si="21"/>
        <v>298.759995</v>
      </c>
      <c r="W342" s="20" t="s">
        <v>887</v>
      </c>
      <c r="X342" s="20" t="s">
        <v>886</v>
      </c>
      <c r="Y342" s="20" t="s">
        <v>36</v>
      </c>
      <c r="Z342" s="20" t="s">
        <v>36</v>
      </c>
    </row>
    <row r="343" spans="1:26">
      <c r="A343" s="20" t="s">
        <v>979</v>
      </c>
      <c r="B343" s="20" t="s">
        <v>2115</v>
      </c>
      <c r="C343" s="31" t="s">
        <v>2232</v>
      </c>
      <c r="D343" s="49">
        <v>42888</v>
      </c>
      <c r="E343" s="9">
        <v>10.065003000000001</v>
      </c>
      <c r="F343" s="9">
        <v>49.916336000000001</v>
      </c>
      <c r="G343" t="s">
        <v>1687</v>
      </c>
      <c r="H343" t="s">
        <v>2563</v>
      </c>
      <c r="I343" t="s">
        <v>2814</v>
      </c>
      <c r="K343" s="20" t="s">
        <v>907</v>
      </c>
      <c r="L343" s="20"/>
      <c r="M343" s="172" t="s">
        <v>3586</v>
      </c>
      <c r="N343" s="20" t="s">
        <v>2713</v>
      </c>
      <c r="O343" s="28">
        <v>0.1293</v>
      </c>
      <c r="P343" s="28">
        <v>3.6903999999999992E-2</v>
      </c>
      <c r="Q343" s="65">
        <f t="shared" si="20"/>
        <v>9.2396000000000006E-2</v>
      </c>
      <c r="R343" s="20">
        <v>7.3019999999999996</v>
      </c>
      <c r="S343" s="20">
        <f>12.015+13.378</f>
        <v>25.393000000000001</v>
      </c>
      <c r="T343" s="20">
        <f t="shared" si="21"/>
        <v>185.41968599999998</v>
      </c>
      <c r="W343" s="20" t="s">
        <v>887</v>
      </c>
      <c r="X343" s="20" t="s">
        <v>886</v>
      </c>
      <c r="Y343" s="20" t="s">
        <v>36</v>
      </c>
      <c r="Z343" s="20" t="s">
        <v>36</v>
      </c>
    </row>
    <row r="344" spans="1:26">
      <c r="A344" s="20" t="s">
        <v>978</v>
      </c>
      <c r="B344" s="20" t="s">
        <v>2115</v>
      </c>
      <c r="C344" s="31" t="s">
        <v>2237</v>
      </c>
      <c r="D344" s="49">
        <v>42902</v>
      </c>
      <c r="E344" s="9">
        <v>10.045693999999999</v>
      </c>
      <c r="F344" s="9">
        <v>49.896189</v>
      </c>
      <c r="G344" t="s">
        <v>1687</v>
      </c>
      <c r="H344" t="s">
        <v>2563</v>
      </c>
      <c r="I344" t="s">
        <v>2814</v>
      </c>
      <c r="K344" s="20" t="s">
        <v>907</v>
      </c>
      <c r="L344" s="20"/>
      <c r="M344" s="172" t="s">
        <v>1705</v>
      </c>
      <c r="N344" s="20" t="s">
        <v>3620</v>
      </c>
      <c r="O344" s="28">
        <v>0.127</v>
      </c>
      <c r="P344" s="28">
        <v>3.6903999999999992E-2</v>
      </c>
      <c r="Q344" s="65">
        <f t="shared" si="20"/>
        <v>9.0096000000000009E-2</v>
      </c>
      <c r="R344" s="28">
        <v>6.0380000000000003</v>
      </c>
      <c r="S344" s="20">
        <f>13.273+11.243</f>
        <v>24.515999999999998</v>
      </c>
      <c r="T344" s="20">
        <f t="shared" si="21"/>
        <v>148.02760799999999</v>
      </c>
      <c r="W344" s="20" t="s">
        <v>887</v>
      </c>
      <c r="X344" s="20" t="s">
        <v>886</v>
      </c>
      <c r="Y344" s="20" t="s">
        <v>36</v>
      </c>
      <c r="Z344" s="20" t="s">
        <v>36</v>
      </c>
    </row>
    <row r="345" spans="1:26">
      <c r="A345" s="20" t="s">
        <v>977</v>
      </c>
      <c r="B345" s="20" t="s">
        <v>2115</v>
      </c>
      <c r="C345" s="31" t="s">
        <v>2234</v>
      </c>
      <c r="D345" s="49">
        <v>42888</v>
      </c>
      <c r="E345" s="9">
        <v>10.053630999999999</v>
      </c>
      <c r="F345" s="9">
        <v>49.900486000000001</v>
      </c>
      <c r="G345" t="s">
        <v>1687</v>
      </c>
      <c r="H345" t="s">
        <v>2563</v>
      </c>
      <c r="I345" t="s">
        <v>2814</v>
      </c>
      <c r="K345" s="20" t="s">
        <v>907</v>
      </c>
      <c r="L345" s="20"/>
      <c r="M345" s="172" t="s">
        <v>1710</v>
      </c>
      <c r="N345" s="20" t="s">
        <v>2713</v>
      </c>
      <c r="O345" s="28">
        <v>0.13980000000000001</v>
      </c>
      <c r="P345" s="28">
        <v>3.6903999999999992E-2</v>
      </c>
      <c r="Q345" s="65">
        <f t="shared" si="20"/>
        <v>0.10289600000000002</v>
      </c>
      <c r="R345" s="28">
        <v>6.6280000000000001</v>
      </c>
      <c r="S345" s="20">
        <f>13.871+13.461</f>
        <v>27.332000000000001</v>
      </c>
      <c r="T345" s="20">
        <f t="shared" si="21"/>
        <v>181.156496</v>
      </c>
      <c r="W345" s="20" t="s">
        <v>887</v>
      </c>
      <c r="X345" s="20" t="s">
        <v>886</v>
      </c>
      <c r="Y345" s="20" t="s">
        <v>36</v>
      </c>
      <c r="Z345" s="20" t="s">
        <v>36</v>
      </c>
    </row>
    <row r="346" spans="1:26">
      <c r="A346" s="20" t="s">
        <v>976</v>
      </c>
      <c r="B346" s="20" t="s">
        <v>2115</v>
      </c>
      <c r="C346" s="31" t="s">
        <v>2230</v>
      </c>
      <c r="D346" s="49">
        <v>42902</v>
      </c>
      <c r="E346" s="9">
        <v>10.124091999999999</v>
      </c>
      <c r="F346" s="9">
        <v>49.906236</v>
      </c>
      <c r="G346" t="s">
        <v>1687</v>
      </c>
      <c r="H346" t="s">
        <v>2563</v>
      </c>
      <c r="I346" t="s">
        <v>2814</v>
      </c>
      <c r="K346" s="20" t="s">
        <v>907</v>
      </c>
      <c r="L346" s="20"/>
      <c r="M346" s="172" t="s">
        <v>1722</v>
      </c>
      <c r="N346" s="20" t="s">
        <v>2713</v>
      </c>
      <c r="O346" s="28">
        <v>0.2074</v>
      </c>
      <c r="P346" s="28">
        <v>3.6903999999999992E-2</v>
      </c>
      <c r="Q346" s="65">
        <f t="shared" si="20"/>
        <v>0.17049600000000001</v>
      </c>
      <c r="R346" s="28">
        <v>9.0909999999999993</v>
      </c>
      <c r="S346" s="20">
        <f>16.48+9.136+7.217</f>
        <v>32.832999999999998</v>
      </c>
      <c r="T346" s="20">
        <f t="shared" si="21"/>
        <v>298.48480299999994</v>
      </c>
      <c r="W346" s="20" t="s">
        <v>887</v>
      </c>
      <c r="X346" s="20" t="s">
        <v>886</v>
      </c>
      <c r="Y346" s="20" t="s">
        <v>36</v>
      </c>
      <c r="Z346" s="20" t="s">
        <v>36</v>
      </c>
    </row>
    <row r="347" spans="1:26">
      <c r="A347" s="20" t="s">
        <v>975</v>
      </c>
      <c r="B347" s="20" t="s">
        <v>2115</v>
      </c>
      <c r="C347" s="31" t="s">
        <v>2232</v>
      </c>
      <c r="D347" s="49">
        <v>42902</v>
      </c>
      <c r="E347" s="9">
        <v>10.065003000000001</v>
      </c>
      <c r="F347" s="9">
        <v>49.916336000000001</v>
      </c>
      <c r="G347" t="s">
        <v>1687</v>
      </c>
      <c r="H347" t="s">
        <v>2563</v>
      </c>
      <c r="I347" t="s">
        <v>2814</v>
      </c>
      <c r="K347" s="20" t="s">
        <v>907</v>
      </c>
      <c r="L347" s="20"/>
      <c r="M347" s="172" t="s">
        <v>1705</v>
      </c>
      <c r="N347" s="20" t="s">
        <v>3620</v>
      </c>
      <c r="O347" s="28">
        <v>8.2900000000000001E-2</v>
      </c>
      <c r="P347" s="28">
        <v>3.6903999999999992E-2</v>
      </c>
      <c r="Q347" s="65">
        <f t="shared" si="20"/>
        <v>4.5996000000000009E-2</v>
      </c>
      <c r="R347" s="20">
        <v>4.9379999999999997</v>
      </c>
      <c r="S347" s="20">
        <f>9.166+11.259</f>
        <v>20.425000000000001</v>
      </c>
      <c r="T347" s="20">
        <f t="shared" si="21"/>
        <v>100.85865</v>
      </c>
      <c r="W347" s="20" t="s">
        <v>887</v>
      </c>
      <c r="X347" s="20" t="s">
        <v>886</v>
      </c>
      <c r="Y347" s="20" t="s">
        <v>36</v>
      </c>
      <c r="Z347" s="20" t="s">
        <v>36</v>
      </c>
    </row>
    <row r="348" spans="1:26">
      <c r="A348" s="20" t="s">
        <v>974</v>
      </c>
      <c r="B348" s="20" t="s">
        <v>2115</v>
      </c>
      <c r="C348" s="31" t="s">
        <v>2238</v>
      </c>
      <c r="D348" s="49">
        <v>42902</v>
      </c>
      <c r="E348" s="9">
        <v>10.135947</v>
      </c>
      <c r="F348" s="9">
        <v>49.868039000000003</v>
      </c>
      <c r="G348" t="s">
        <v>1687</v>
      </c>
      <c r="H348" t="s">
        <v>2563</v>
      </c>
      <c r="I348" t="s">
        <v>2814</v>
      </c>
      <c r="K348" s="20" t="s">
        <v>907</v>
      </c>
      <c r="L348" s="20"/>
      <c r="M348" s="172" t="s">
        <v>1710</v>
      </c>
      <c r="N348" s="20" t="s">
        <v>3620</v>
      </c>
      <c r="O348" s="28">
        <v>8.6499999999999994E-2</v>
      </c>
      <c r="P348" s="28">
        <v>3.6903999999999992E-2</v>
      </c>
      <c r="Q348" s="65">
        <f t="shared" si="20"/>
        <v>4.9596000000000001E-2</v>
      </c>
      <c r="R348" s="20">
        <v>5.7210000000000001</v>
      </c>
      <c r="S348" s="20">
        <f>9.81+9.995</f>
        <v>19.805</v>
      </c>
      <c r="T348" s="20">
        <f t="shared" si="21"/>
        <v>113.304405</v>
      </c>
      <c r="W348" s="20" t="s">
        <v>887</v>
      </c>
      <c r="X348" s="20" t="s">
        <v>886</v>
      </c>
      <c r="Y348" s="20" t="s">
        <v>36</v>
      </c>
      <c r="Z348" s="20" t="s">
        <v>36</v>
      </c>
    </row>
    <row r="349" spans="1:26">
      <c r="A349" s="20" t="s">
        <v>973</v>
      </c>
      <c r="B349" s="20" t="s">
        <v>2115</v>
      </c>
      <c r="C349" s="31" t="s">
        <v>2239</v>
      </c>
      <c r="D349" s="49">
        <v>42902</v>
      </c>
      <c r="E349" s="9">
        <v>10.067944000000001</v>
      </c>
      <c r="F349" s="9">
        <v>49.912992000000003</v>
      </c>
      <c r="G349" t="s">
        <v>1687</v>
      </c>
      <c r="H349" t="s">
        <v>2563</v>
      </c>
      <c r="I349" t="s">
        <v>2814</v>
      </c>
      <c r="K349" s="20" t="s">
        <v>907</v>
      </c>
      <c r="L349" s="20"/>
      <c r="M349" s="172" t="s">
        <v>2582</v>
      </c>
      <c r="N349" s="20" t="s">
        <v>2712</v>
      </c>
      <c r="O349" s="28">
        <v>7.8100000000000003E-2</v>
      </c>
      <c r="P349" s="28">
        <v>3.6903999999999992E-2</v>
      </c>
      <c r="Q349" s="65">
        <f t="shared" si="20"/>
        <v>4.119600000000001E-2</v>
      </c>
      <c r="R349" s="20">
        <v>4.843</v>
      </c>
      <c r="S349" s="20">
        <f>9.087+5.223+5.677</f>
        <v>19.986999999999998</v>
      </c>
      <c r="T349" s="20">
        <f t="shared" si="21"/>
        <v>96.797040999999993</v>
      </c>
      <c r="W349" s="20" t="s">
        <v>887</v>
      </c>
      <c r="X349" s="20" t="s">
        <v>886</v>
      </c>
      <c r="Y349" s="20" t="s">
        <v>36</v>
      </c>
      <c r="Z349" s="20" t="s">
        <v>36</v>
      </c>
    </row>
    <row r="350" spans="1:26">
      <c r="A350" s="20" t="s">
        <v>972</v>
      </c>
      <c r="B350" s="20" t="s">
        <v>2115</v>
      </c>
      <c r="C350" s="31" t="s">
        <v>2230</v>
      </c>
      <c r="D350" s="49">
        <v>42902</v>
      </c>
      <c r="E350" s="9">
        <v>10.124091999999999</v>
      </c>
      <c r="F350" s="9">
        <v>49.906236</v>
      </c>
      <c r="G350" t="s">
        <v>1687</v>
      </c>
      <c r="H350" t="s">
        <v>2563</v>
      </c>
      <c r="I350" t="s">
        <v>2814</v>
      </c>
      <c r="K350" s="20" t="s">
        <v>907</v>
      </c>
      <c r="L350" s="20"/>
      <c r="M350" s="172" t="s">
        <v>2582</v>
      </c>
      <c r="N350" s="20" t="s">
        <v>3620</v>
      </c>
      <c r="O350" s="28">
        <v>7.3499999999999996E-2</v>
      </c>
      <c r="P350" s="28">
        <v>3.6903999999999992E-2</v>
      </c>
      <c r="Q350" s="65">
        <f t="shared" si="20"/>
        <v>3.6596000000000004E-2</v>
      </c>
      <c r="R350" s="20">
        <v>5.32</v>
      </c>
      <c r="S350" s="20">
        <f>8.593+3.884+5.22</f>
        <v>17.696999999999999</v>
      </c>
      <c r="T350" s="20">
        <f t="shared" si="21"/>
        <v>94.148039999999995</v>
      </c>
      <c r="W350" s="20" t="s">
        <v>887</v>
      </c>
      <c r="X350" s="20" t="s">
        <v>886</v>
      </c>
      <c r="Y350" s="20" t="s">
        <v>36</v>
      </c>
      <c r="Z350" s="20" t="s">
        <v>36</v>
      </c>
    </row>
    <row r="351" spans="1:26">
      <c r="A351" s="20" t="s">
        <v>971</v>
      </c>
      <c r="B351" s="20" t="s">
        <v>2115</v>
      </c>
      <c r="C351" s="31" t="s">
        <v>2227</v>
      </c>
      <c r="D351" s="49">
        <v>42888</v>
      </c>
      <c r="E351" s="9">
        <v>10.040881000000001</v>
      </c>
      <c r="F351" s="9">
        <v>49.937356000000001</v>
      </c>
      <c r="G351" t="s">
        <v>1687</v>
      </c>
      <c r="H351" t="s">
        <v>2563</v>
      </c>
      <c r="I351" t="s">
        <v>2814</v>
      </c>
      <c r="K351" s="20" t="s">
        <v>907</v>
      </c>
      <c r="L351" s="20"/>
      <c r="M351" s="172" t="s">
        <v>2582</v>
      </c>
      <c r="N351" s="20" t="s">
        <v>3620</v>
      </c>
      <c r="O351" s="28">
        <v>7.6700000000000004E-2</v>
      </c>
      <c r="P351" s="28">
        <v>3.6903999999999992E-2</v>
      </c>
      <c r="Q351" s="65">
        <f t="shared" si="20"/>
        <v>3.9796000000000012E-2</v>
      </c>
      <c r="R351" s="20">
        <v>5.6840000000000002</v>
      </c>
      <c r="S351" s="20">
        <f>8.573+4.965+4.138</f>
        <v>17.676000000000002</v>
      </c>
      <c r="T351" s="20">
        <f t="shared" si="21"/>
        <v>100.47038400000001</v>
      </c>
      <c r="W351" s="20" t="s">
        <v>887</v>
      </c>
      <c r="X351" s="20" t="s">
        <v>886</v>
      </c>
      <c r="Y351" s="20" t="s">
        <v>36</v>
      </c>
      <c r="Z351" s="20" t="s">
        <v>36</v>
      </c>
    </row>
    <row r="352" spans="1:26">
      <c r="A352" s="20" t="s">
        <v>970</v>
      </c>
      <c r="B352" s="20" t="s">
        <v>2115</v>
      </c>
      <c r="C352" s="31" t="s">
        <v>2231</v>
      </c>
      <c r="D352" s="49">
        <v>42888</v>
      </c>
      <c r="E352" s="9">
        <v>10.113375</v>
      </c>
      <c r="F352" s="9">
        <v>49.850391999999999</v>
      </c>
      <c r="G352" t="s">
        <v>1687</v>
      </c>
      <c r="H352" t="s">
        <v>2563</v>
      </c>
      <c r="I352" t="s">
        <v>2814</v>
      </c>
      <c r="K352" s="20" t="s">
        <v>907</v>
      </c>
      <c r="L352" s="20"/>
      <c r="M352" s="172" t="s">
        <v>1722</v>
      </c>
      <c r="N352" s="20" t="s">
        <v>2713</v>
      </c>
      <c r="O352" s="28">
        <v>0.26290000000000002</v>
      </c>
      <c r="P352" s="28">
        <v>3.6903999999999992E-2</v>
      </c>
      <c r="Q352" s="65">
        <f t="shared" si="20"/>
        <v>0.22599600000000003</v>
      </c>
      <c r="R352" s="20">
        <v>9.67</v>
      </c>
      <c r="S352" s="20">
        <f>15.711+18.171</f>
        <v>33.881999999999998</v>
      </c>
      <c r="T352" s="20">
        <f t="shared" si="21"/>
        <v>327.63893999999999</v>
      </c>
      <c r="W352" s="20" t="s">
        <v>887</v>
      </c>
      <c r="X352" s="20" t="s">
        <v>886</v>
      </c>
      <c r="Y352" s="20" t="s">
        <v>36</v>
      </c>
      <c r="Z352" s="20" t="s">
        <v>36</v>
      </c>
    </row>
    <row r="353" spans="1:26">
      <c r="A353" s="20" t="s">
        <v>969</v>
      </c>
      <c r="B353" s="20" t="s">
        <v>2115</v>
      </c>
      <c r="C353" s="31" t="s">
        <v>2229</v>
      </c>
      <c r="D353" s="49">
        <v>42872</v>
      </c>
      <c r="E353" s="9">
        <v>10.057994000000001</v>
      </c>
      <c r="F353" s="9">
        <v>49.937230999999997</v>
      </c>
      <c r="G353" t="s">
        <v>1687</v>
      </c>
      <c r="H353" t="s">
        <v>2563</v>
      </c>
      <c r="I353" t="s">
        <v>2814</v>
      </c>
      <c r="K353" s="20" t="s">
        <v>907</v>
      </c>
      <c r="L353" s="20"/>
      <c r="M353" s="172" t="s">
        <v>1722</v>
      </c>
      <c r="N353" s="20" t="s">
        <v>2713</v>
      </c>
      <c r="O353" s="28">
        <v>0.24329999999999999</v>
      </c>
      <c r="P353" s="28">
        <v>3.6903999999999992E-2</v>
      </c>
      <c r="Q353" s="65">
        <f t="shared" si="20"/>
        <v>0.206396</v>
      </c>
      <c r="R353" s="20">
        <v>9.577</v>
      </c>
      <c r="S353" s="20">
        <f>13.857+19.579</f>
        <v>33.436</v>
      </c>
      <c r="T353" s="20">
        <f t="shared" si="21"/>
        <v>320.21657199999999</v>
      </c>
      <c r="W353" s="20" t="s">
        <v>887</v>
      </c>
      <c r="X353" s="20" t="s">
        <v>886</v>
      </c>
      <c r="Y353" s="20" t="s">
        <v>36</v>
      </c>
      <c r="Z353" s="20" t="s">
        <v>36</v>
      </c>
    </row>
    <row r="354" spans="1:26">
      <c r="A354" s="20" t="s">
        <v>968</v>
      </c>
      <c r="B354" s="20" t="s">
        <v>2115</v>
      </c>
      <c r="C354" s="31" t="s">
        <v>2228</v>
      </c>
      <c r="D354" s="49">
        <v>42902</v>
      </c>
      <c r="E354" s="9">
        <v>10.050008</v>
      </c>
      <c r="F354" s="9">
        <v>49.941994000000001</v>
      </c>
      <c r="G354" t="s">
        <v>1687</v>
      </c>
      <c r="H354" t="s">
        <v>2563</v>
      </c>
      <c r="I354" t="s">
        <v>2814</v>
      </c>
      <c r="K354" s="20" t="s">
        <v>907</v>
      </c>
      <c r="L354" s="20"/>
      <c r="M354" s="172" t="s">
        <v>1710</v>
      </c>
      <c r="N354" s="20" t="s">
        <v>3620</v>
      </c>
      <c r="O354" s="28">
        <v>6.3100000000000003E-2</v>
      </c>
      <c r="P354" s="28">
        <v>3.6903999999999992E-2</v>
      </c>
      <c r="Q354" s="65">
        <f t="shared" ref="Q354:Q417" si="22">O354-P354</f>
        <v>2.6196000000000011E-2</v>
      </c>
      <c r="R354" s="20">
        <v>5.0869999999999997</v>
      </c>
      <c r="S354" s="20">
        <f>5.342+3.386+8.388</f>
        <v>17.116</v>
      </c>
      <c r="T354" s="20">
        <f t="shared" si="21"/>
        <v>87.069091999999998</v>
      </c>
      <c r="W354" s="20" t="s">
        <v>887</v>
      </c>
      <c r="X354" s="20" t="s">
        <v>886</v>
      </c>
      <c r="Y354" s="20" t="s">
        <v>36</v>
      </c>
      <c r="Z354" s="20" t="s">
        <v>36</v>
      </c>
    </row>
    <row r="355" spans="1:26">
      <c r="A355" s="20" t="s">
        <v>966</v>
      </c>
      <c r="B355" s="20" t="s">
        <v>2115</v>
      </c>
      <c r="C355" s="31" t="s">
        <v>2230</v>
      </c>
      <c r="D355" s="49">
        <v>42902</v>
      </c>
      <c r="E355" s="9">
        <v>10.124091999999999</v>
      </c>
      <c r="F355" s="9">
        <v>49.906236</v>
      </c>
      <c r="G355" t="s">
        <v>1687</v>
      </c>
      <c r="H355" t="s">
        <v>2563</v>
      </c>
      <c r="I355" t="s">
        <v>2814</v>
      </c>
      <c r="K355" s="20" t="s">
        <v>907</v>
      </c>
      <c r="L355" s="20"/>
      <c r="M355" s="172" t="s">
        <v>1722</v>
      </c>
      <c r="N355" s="20" t="s">
        <v>2713</v>
      </c>
      <c r="O355" s="28">
        <v>0.27039999999999997</v>
      </c>
      <c r="P355" s="28">
        <v>3.6903999999999992E-2</v>
      </c>
      <c r="Q355" s="65">
        <f t="shared" si="22"/>
        <v>0.23349599999999998</v>
      </c>
      <c r="R355" s="28">
        <v>9.5850000000000009</v>
      </c>
      <c r="S355" s="28">
        <v>33.689</v>
      </c>
      <c r="T355" s="20">
        <f t="shared" si="21"/>
        <v>322.90906500000006</v>
      </c>
      <c r="W355" s="20" t="s">
        <v>887</v>
      </c>
      <c r="X355" s="20" t="s">
        <v>886</v>
      </c>
      <c r="Y355" s="20" t="s">
        <v>36</v>
      </c>
      <c r="Z355" s="20" t="s">
        <v>36</v>
      </c>
    </row>
    <row r="356" spans="1:26">
      <c r="A356" s="20" t="s">
        <v>963</v>
      </c>
      <c r="B356" s="20" t="s">
        <v>2115</v>
      </c>
      <c r="C356" s="31" t="s">
        <v>2238</v>
      </c>
      <c r="D356" s="49">
        <v>42902</v>
      </c>
      <c r="E356" s="9">
        <v>10.135947</v>
      </c>
      <c r="F356" s="9">
        <v>49.868039000000003</v>
      </c>
      <c r="G356" t="s">
        <v>1687</v>
      </c>
      <c r="H356" t="s">
        <v>2563</v>
      </c>
      <c r="I356" t="s">
        <v>2814</v>
      </c>
      <c r="K356" s="20" t="s">
        <v>907</v>
      </c>
      <c r="L356" s="20"/>
      <c r="M356" s="172" t="s">
        <v>1705</v>
      </c>
      <c r="N356" s="20" t="s">
        <v>3620</v>
      </c>
      <c r="O356" s="28">
        <v>8.4099999999999994E-2</v>
      </c>
      <c r="P356" s="28">
        <v>3.6903999999999992E-2</v>
      </c>
      <c r="Q356" s="65">
        <f t="shared" si="22"/>
        <v>4.7196000000000002E-2</v>
      </c>
      <c r="R356" s="20">
        <v>5.3579999999999997</v>
      </c>
      <c r="S356" s="20">
        <f>10.314+9.736</f>
        <v>20.05</v>
      </c>
      <c r="T356" s="20">
        <f t="shared" si="21"/>
        <v>107.42789999999999</v>
      </c>
      <c r="W356" s="20" t="s">
        <v>887</v>
      </c>
      <c r="X356" s="20" t="s">
        <v>886</v>
      </c>
      <c r="Y356" s="20" t="s">
        <v>36</v>
      </c>
      <c r="Z356" s="20" t="s">
        <v>36</v>
      </c>
    </row>
    <row r="357" spans="1:26">
      <c r="A357" s="20" t="s">
        <v>962</v>
      </c>
      <c r="B357" s="20" t="s">
        <v>2115</v>
      </c>
      <c r="C357" s="31" t="s">
        <v>2235</v>
      </c>
      <c r="D357" s="49">
        <v>42902</v>
      </c>
      <c r="E357" s="9">
        <v>10.057294000000001</v>
      </c>
      <c r="F357" s="9">
        <v>49.902307999999998</v>
      </c>
      <c r="G357" t="s">
        <v>1687</v>
      </c>
      <c r="H357" t="s">
        <v>2563</v>
      </c>
      <c r="I357" t="s">
        <v>2814</v>
      </c>
      <c r="K357" s="20" t="s">
        <v>907</v>
      </c>
      <c r="L357" s="20"/>
      <c r="M357" s="172" t="s">
        <v>1705</v>
      </c>
      <c r="N357" s="20" t="s">
        <v>3620</v>
      </c>
      <c r="O357" s="28">
        <v>9.2700000000000005E-2</v>
      </c>
      <c r="P357" s="28">
        <v>3.6903999999999992E-2</v>
      </c>
      <c r="Q357" s="65">
        <f t="shared" si="22"/>
        <v>5.5796000000000012E-2</v>
      </c>
      <c r="R357" s="28">
        <v>6.9770000000000003</v>
      </c>
      <c r="S357" s="28">
        <v>19.984000000000002</v>
      </c>
      <c r="T357" s="20">
        <f t="shared" si="21"/>
        <v>139.42836800000001</v>
      </c>
      <c r="W357" s="20" t="s">
        <v>887</v>
      </c>
      <c r="X357" s="20" t="s">
        <v>886</v>
      </c>
      <c r="Y357" s="20" t="s">
        <v>36</v>
      </c>
      <c r="Z357" s="20" t="s">
        <v>36</v>
      </c>
    </row>
    <row r="358" spans="1:26">
      <c r="A358" s="20" t="s">
        <v>961</v>
      </c>
      <c r="B358" s="20" t="s">
        <v>2115</v>
      </c>
      <c r="C358" s="31" t="s">
        <v>2244</v>
      </c>
      <c r="D358" s="49">
        <v>42888</v>
      </c>
      <c r="E358" s="9">
        <v>10.017931000000001</v>
      </c>
      <c r="F358" s="9">
        <v>49.935696999999998</v>
      </c>
      <c r="G358" t="s">
        <v>1687</v>
      </c>
      <c r="H358" t="s">
        <v>2563</v>
      </c>
      <c r="I358" t="s">
        <v>2814</v>
      </c>
      <c r="K358" s="20" t="s">
        <v>907</v>
      </c>
      <c r="L358" s="20"/>
      <c r="M358" s="172" t="s">
        <v>1705</v>
      </c>
      <c r="N358" s="20" t="s">
        <v>3620</v>
      </c>
      <c r="O358" s="28">
        <v>8.1500000000000003E-2</v>
      </c>
      <c r="P358" s="28">
        <v>3.6903999999999992E-2</v>
      </c>
      <c r="Q358" s="65">
        <f t="shared" si="22"/>
        <v>4.4596000000000011E-2</v>
      </c>
      <c r="R358" s="20">
        <v>4.8860000000000001</v>
      </c>
      <c r="S358" s="20">
        <f>9.086+8.581</f>
        <v>17.667000000000002</v>
      </c>
      <c r="T358" s="20">
        <f t="shared" si="21"/>
        <v>86.320962000000009</v>
      </c>
      <c r="W358" s="20" t="s">
        <v>887</v>
      </c>
      <c r="X358" s="20" t="s">
        <v>886</v>
      </c>
      <c r="Y358" s="20" t="s">
        <v>36</v>
      </c>
      <c r="Z358" s="20" t="s">
        <v>36</v>
      </c>
    </row>
    <row r="359" spans="1:26">
      <c r="A359" s="20" t="s">
        <v>960</v>
      </c>
      <c r="B359" s="20" t="s">
        <v>2115</v>
      </c>
      <c r="C359" s="31" t="s">
        <v>2236</v>
      </c>
      <c r="D359" s="49">
        <v>42888</v>
      </c>
      <c r="E359" s="9">
        <v>10.022767</v>
      </c>
      <c r="F359" s="9">
        <v>49.938633000000003</v>
      </c>
      <c r="G359" t="s">
        <v>1687</v>
      </c>
      <c r="H359" t="s">
        <v>2563</v>
      </c>
      <c r="I359" t="s">
        <v>2814</v>
      </c>
      <c r="K359" s="20" t="s">
        <v>907</v>
      </c>
      <c r="L359" s="20"/>
      <c r="M359" s="172" t="s">
        <v>1705</v>
      </c>
      <c r="N359" s="20" t="s">
        <v>3620</v>
      </c>
      <c r="O359" s="28">
        <v>0.12330000000000001</v>
      </c>
      <c r="P359" s="28">
        <v>3.6903999999999992E-2</v>
      </c>
      <c r="Q359" s="65">
        <f t="shared" si="22"/>
        <v>8.6396000000000014E-2</v>
      </c>
      <c r="R359" s="28">
        <v>6.524</v>
      </c>
      <c r="S359" s="28">
        <v>22.620999999999999</v>
      </c>
      <c r="T359" s="20">
        <f t="shared" si="21"/>
        <v>147.57940399999998</v>
      </c>
      <c r="W359" s="20" t="s">
        <v>887</v>
      </c>
      <c r="X359" s="20" t="s">
        <v>886</v>
      </c>
      <c r="Y359" s="20" t="s">
        <v>36</v>
      </c>
      <c r="Z359" s="20" t="s">
        <v>36</v>
      </c>
    </row>
    <row r="360" spans="1:26">
      <c r="A360" s="20" t="s">
        <v>959</v>
      </c>
      <c r="B360" s="20" t="s">
        <v>2115</v>
      </c>
      <c r="C360" s="31" t="s">
        <v>2228</v>
      </c>
      <c r="D360" s="49">
        <v>42902</v>
      </c>
      <c r="E360" s="9">
        <v>10.050008</v>
      </c>
      <c r="F360" s="9">
        <v>49.941994000000001</v>
      </c>
      <c r="G360" t="s">
        <v>1687</v>
      </c>
      <c r="H360" t="s">
        <v>2563</v>
      </c>
      <c r="I360" t="s">
        <v>2814</v>
      </c>
      <c r="K360" s="20" t="s">
        <v>907</v>
      </c>
      <c r="L360" s="20"/>
      <c r="M360" s="172" t="s">
        <v>1722</v>
      </c>
      <c r="N360" s="20" t="s">
        <v>3620</v>
      </c>
      <c r="O360" s="28">
        <v>0.10440000000000001</v>
      </c>
      <c r="P360" s="28">
        <v>3.6903999999999992E-2</v>
      </c>
      <c r="Q360" s="65">
        <f t="shared" si="22"/>
        <v>6.7496000000000014E-2</v>
      </c>
      <c r="R360" s="28">
        <v>6.8760000000000003</v>
      </c>
      <c r="S360" s="28">
        <v>21.266999999999999</v>
      </c>
      <c r="T360" s="20">
        <f t="shared" si="21"/>
        <v>146.23189200000002</v>
      </c>
      <c r="W360" s="20" t="s">
        <v>887</v>
      </c>
      <c r="X360" s="20" t="s">
        <v>886</v>
      </c>
      <c r="Y360" s="20" t="s">
        <v>36</v>
      </c>
      <c r="Z360" s="20" t="s">
        <v>36</v>
      </c>
    </row>
    <row r="361" spans="1:26">
      <c r="A361" s="20" t="s">
        <v>958</v>
      </c>
      <c r="B361" s="20" t="s">
        <v>2115</v>
      </c>
      <c r="C361" s="31" t="s">
        <v>2235</v>
      </c>
      <c r="D361" s="49">
        <v>42902</v>
      </c>
      <c r="E361" s="9">
        <v>10.057294000000001</v>
      </c>
      <c r="F361" s="9">
        <v>49.902307999999998</v>
      </c>
      <c r="G361" t="s">
        <v>1687</v>
      </c>
      <c r="H361" t="s">
        <v>2563</v>
      </c>
      <c r="I361" t="s">
        <v>2814</v>
      </c>
      <c r="K361" s="20" t="s">
        <v>907</v>
      </c>
      <c r="L361" s="20"/>
      <c r="M361" s="172" t="s">
        <v>1705</v>
      </c>
      <c r="N361" s="20" t="s">
        <v>3620</v>
      </c>
      <c r="O361" s="28">
        <v>0.10440000000000001</v>
      </c>
      <c r="P361" s="28">
        <v>3.6903999999999992E-2</v>
      </c>
      <c r="Q361" s="65">
        <f t="shared" si="22"/>
        <v>6.7496000000000014E-2</v>
      </c>
      <c r="R361" s="28">
        <v>6.3520000000000003</v>
      </c>
      <c r="S361" s="28">
        <v>23.027000000000001</v>
      </c>
      <c r="T361" s="20">
        <f t="shared" si="21"/>
        <v>146.267504</v>
      </c>
      <c r="W361" s="20" t="s">
        <v>887</v>
      </c>
      <c r="X361" s="20" t="s">
        <v>886</v>
      </c>
      <c r="Y361" s="20" t="s">
        <v>36</v>
      </c>
      <c r="Z361" s="20" t="s">
        <v>36</v>
      </c>
    </row>
    <row r="362" spans="1:26">
      <c r="A362" s="20" t="s">
        <v>957</v>
      </c>
      <c r="B362" s="20" t="s">
        <v>2115</v>
      </c>
      <c r="C362" s="31" t="s">
        <v>2231</v>
      </c>
      <c r="D362" s="49">
        <v>42902</v>
      </c>
      <c r="E362" s="9">
        <v>10.113375</v>
      </c>
      <c r="F362" s="9">
        <v>49.850391999999999</v>
      </c>
      <c r="G362" t="s">
        <v>1687</v>
      </c>
      <c r="H362" t="s">
        <v>2563</v>
      </c>
      <c r="I362" t="s">
        <v>2814</v>
      </c>
      <c r="K362" s="20" t="s">
        <v>907</v>
      </c>
      <c r="L362" s="20"/>
      <c r="M362" s="172" t="s">
        <v>1705</v>
      </c>
      <c r="N362" s="20" t="s">
        <v>3620</v>
      </c>
      <c r="O362" s="28">
        <v>6.9599999999999995E-2</v>
      </c>
      <c r="P362" s="28">
        <v>3.6903999999999992E-2</v>
      </c>
      <c r="Q362" s="65">
        <f t="shared" si="22"/>
        <v>3.2696000000000003E-2</v>
      </c>
      <c r="R362" s="20">
        <v>4.952</v>
      </c>
      <c r="S362" s="20">
        <f>8.465+4.882+3.56</f>
        <v>16.907</v>
      </c>
      <c r="T362" s="20">
        <f t="shared" si="21"/>
        <v>83.723463999999993</v>
      </c>
      <c r="W362" s="20" t="s">
        <v>887</v>
      </c>
      <c r="X362" s="20" t="s">
        <v>886</v>
      </c>
      <c r="Y362" s="20" t="s">
        <v>36</v>
      </c>
      <c r="Z362" s="20" t="s">
        <v>36</v>
      </c>
    </row>
    <row r="363" spans="1:26">
      <c r="A363" s="20" t="s">
        <v>956</v>
      </c>
      <c r="B363" s="20" t="s">
        <v>2115</v>
      </c>
      <c r="C363" s="31" t="s">
        <v>2228</v>
      </c>
      <c r="D363" s="49">
        <v>42902</v>
      </c>
      <c r="E363" s="9">
        <v>10.050008</v>
      </c>
      <c r="F363" s="9">
        <v>49.941994000000001</v>
      </c>
      <c r="G363" t="s">
        <v>1687</v>
      </c>
      <c r="H363" t="s">
        <v>2563</v>
      </c>
      <c r="I363" t="s">
        <v>2814</v>
      </c>
      <c r="K363" s="20" t="s">
        <v>907</v>
      </c>
      <c r="L363" s="20"/>
      <c r="M363" s="172" t="s">
        <v>1705</v>
      </c>
      <c r="N363" s="20" t="s">
        <v>3620</v>
      </c>
      <c r="O363" s="28">
        <v>0.1003</v>
      </c>
      <c r="P363" s="28">
        <v>3.6903999999999992E-2</v>
      </c>
      <c r="Q363" s="65">
        <f t="shared" si="22"/>
        <v>6.3396000000000008E-2</v>
      </c>
      <c r="R363" s="28">
        <v>6.5949999999999998</v>
      </c>
      <c r="S363" s="28">
        <v>19.782</v>
      </c>
      <c r="T363" s="20">
        <f t="shared" si="21"/>
        <v>130.46229</v>
      </c>
      <c r="W363" s="20" t="s">
        <v>887</v>
      </c>
      <c r="X363" s="20" t="s">
        <v>886</v>
      </c>
      <c r="Y363" s="20" t="s">
        <v>36</v>
      </c>
      <c r="Z363" s="20" t="s">
        <v>36</v>
      </c>
    </row>
    <row r="364" spans="1:26">
      <c r="A364" s="20" t="s">
        <v>955</v>
      </c>
      <c r="B364" s="20" t="s">
        <v>2115</v>
      </c>
      <c r="C364" s="31" t="s">
        <v>2235</v>
      </c>
      <c r="D364" s="49">
        <v>42902</v>
      </c>
      <c r="E364" s="9">
        <v>10.057294000000001</v>
      </c>
      <c r="F364" s="9">
        <v>49.902307999999998</v>
      </c>
      <c r="G364" t="s">
        <v>1687</v>
      </c>
      <c r="H364" t="s">
        <v>2563</v>
      </c>
      <c r="I364" t="s">
        <v>2814</v>
      </c>
      <c r="K364" s="20" t="s">
        <v>907</v>
      </c>
      <c r="L364" s="20"/>
      <c r="M364" s="172" t="s">
        <v>1705</v>
      </c>
      <c r="N364" s="20" t="s">
        <v>3620</v>
      </c>
      <c r="O364" s="28">
        <v>9.4E-2</v>
      </c>
      <c r="P364" s="28">
        <v>3.6903999999999992E-2</v>
      </c>
      <c r="Q364" s="65">
        <f t="shared" si="22"/>
        <v>5.7096000000000008E-2</v>
      </c>
      <c r="R364" s="28">
        <v>5.6760000000000002</v>
      </c>
      <c r="S364" s="28">
        <v>21.17</v>
      </c>
      <c r="T364" s="20">
        <f t="shared" si="21"/>
        <v>120.16092000000002</v>
      </c>
      <c r="W364" s="20" t="s">
        <v>887</v>
      </c>
      <c r="X364" s="20" t="s">
        <v>886</v>
      </c>
      <c r="Y364" s="20" t="s">
        <v>36</v>
      </c>
      <c r="Z364" s="20" t="s">
        <v>36</v>
      </c>
    </row>
    <row r="365" spans="1:26">
      <c r="A365" s="20" t="s">
        <v>954</v>
      </c>
      <c r="B365" s="20" t="s">
        <v>2115</v>
      </c>
      <c r="C365" s="31" t="s">
        <v>2229</v>
      </c>
      <c r="D365" s="49">
        <v>42888</v>
      </c>
      <c r="E365" s="9">
        <v>10.057994000000001</v>
      </c>
      <c r="F365" s="9">
        <v>49.937230999999997</v>
      </c>
      <c r="G365" t="s">
        <v>1687</v>
      </c>
      <c r="H365" t="s">
        <v>2563</v>
      </c>
      <c r="I365" t="s">
        <v>2814</v>
      </c>
      <c r="K365" s="20" t="s">
        <v>907</v>
      </c>
      <c r="L365" s="20"/>
      <c r="M365" s="172" t="s">
        <v>1705</v>
      </c>
      <c r="N365" s="20" t="s">
        <v>3620</v>
      </c>
      <c r="O365" s="28">
        <v>9.4899999999999998E-2</v>
      </c>
      <c r="P365" s="28">
        <v>3.6903999999999992E-2</v>
      </c>
      <c r="Q365" s="65">
        <f t="shared" si="22"/>
        <v>5.7996000000000006E-2</v>
      </c>
      <c r="R365" s="28">
        <v>6.1150000000000002</v>
      </c>
      <c r="S365" s="28">
        <v>20.911000000000001</v>
      </c>
      <c r="T365" s="20">
        <f t="shared" si="21"/>
        <v>127.87076500000001</v>
      </c>
      <c r="W365" s="20" t="s">
        <v>887</v>
      </c>
      <c r="X365" s="20" t="s">
        <v>886</v>
      </c>
      <c r="Y365" s="20" t="s">
        <v>36</v>
      </c>
      <c r="Z365" s="20" t="s">
        <v>36</v>
      </c>
    </row>
    <row r="366" spans="1:26">
      <c r="A366" s="20" t="s">
        <v>953</v>
      </c>
      <c r="B366" s="20" t="s">
        <v>2115</v>
      </c>
      <c r="C366" s="31" t="s">
        <v>2236</v>
      </c>
      <c r="D366" s="49">
        <v>42902</v>
      </c>
      <c r="E366" s="9">
        <v>10.022767</v>
      </c>
      <c r="F366" s="9">
        <v>49.938633000000003</v>
      </c>
      <c r="G366" t="s">
        <v>1687</v>
      </c>
      <c r="H366" t="s">
        <v>2563</v>
      </c>
      <c r="I366" t="s">
        <v>2814</v>
      </c>
      <c r="K366" s="20" t="s">
        <v>907</v>
      </c>
      <c r="L366" s="20"/>
      <c r="M366" s="172" t="s">
        <v>1722</v>
      </c>
      <c r="N366" s="20" t="s">
        <v>3620</v>
      </c>
      <c r="O366" s="28">
        <v>0.14419999999999999</v>
      </c>
      <c r="P366" s="28">
        <v>3.6903999999999992E-2</v>
      </c>
      <c r="Q366" s="65">
        <f t="shared" si="22"/>
        <v>0.107296</v>
      </c>
      <c r="R366" s="20">
        <v>5.7050000000000001</v>
      </c>
      <c r="S366" s="20">
        <f>11.955+6.164+8.639</f>
        <v>26.757999999999999</v>
      </c>
      <c r="T366" s="20">
        <f t="shared" si="21"/>
        <v>152.65439000000001</v>
      </c>
      <c r="W366" s="20" t="s">
        <v>887</v>
      </c>
      <c r="X366" s="20" t="s">
        <v>886</v>
      </c>
      <c r="Y366" s="20" t="s">
        <v>36</v>
      </c>
      <c r="Z366" s="20" t="s">
        <v>36</v>
      </c>
    </row>
    <row r="367" spans="1:26">
      <c r="A367" s="20" t="s">
        <v>952</v>
      </c>
      <c r="B367" s="20" t="s">
        <v>2115</v>
      </c>
      <c r="C367" s="31" t="s">
        <v>2228</v>
      </c>
      <c r="D367" s="49">
        <v>42856</v>
      </c>
      <c r="E367" s="9">
        <v>10.050008</v>
      </c>
      <c r="F367" s="9">
        <v>49.941994000000001</v>
      </c>
      <c r="G367" t="s">
        <v>1687</v>
      </c>
      <c r="H367" t="s">
        <v>2563</v>
      </c>
      <c r="I367" t="s">
        <v>2814</v>
      </c>
      <c r="K367" s="20" t="s">
        <v>907</v>
      </c>
      <c r="L367" s="20"/>
      <c r="M367" s="172" t="s">
        <v>1688</v>
      </c>
      <c r="N367" s="20" t="s">
        <v>2713</v>
      </c>
      <c r="O367" s="28">
        <v>0.2266</v>
      </c>
      <c r="P367" s="28">
        <v>3.6903999999999992E-2</v>
      </c>
      <c r="Q367" s="65">
        <f t="shared" si="22"/>
        <v>0.189696</v>
      </c>
      <c r="R367" s="28">
        <v>9.0510000000000002</v>
      </c>
      <c r="S367" s="28">
        <v>33.366</v>
      </c>
      <c r="T367" s="20">
        <f t="shared" si="21"/>
        <v>301.99566600000003</v>
      </c>
      <c r="W367" s="20" t="s">
        <v>887</v>
      </c>
      <c r="X367" s="20" t="s">
        <v>886</v>
      </c>
      <c r="Y367" s="20" t="s">
        <v>36</v>
      </c>
      <c r="Z367" s="20" t="s">
        <v>36</v>
      </c>
    </row>
    <row r="368" spans="1:26">
      <c r="A368" s="20" t="s">
        <v>951</v>
      </c>
      <c r="B368" s="20" t="s">
        <v>2115</v>
      </c>
      <c r="C368" s="31" t="s">
        <v>2236</v>
      </c>
      <c r="D368" s="49">
        <v>42872</v>
      </c>
      <c r="E368" s="9">
        <v>10.022767</v>
      </c>
      <c r="F368" s="9">
        <v>49.938633000000003</v>
      </c>
      <c r="G368" t="s">
        <v>1687</v>
      </c>
      <c r="H368" t="s">
        <v>2563</v>
      </c>
      <c r="I368" t="s">
        <v>2814</v>
      </c>
      <c r="K368" s="20" t="s">
        <v>907</v>
      </c>
      <c r="L368" s="20"/>
      <c r="M368" s="172" t="s">
        <v>1705</v>
      </c>
      <c r="N368" s="20" t="s">
        <v>3620</v>
      </c>
      <c r="O368" s="28">
        <v>9.98E-2</v>
      </c>
      <c r="P368" s="28">
        <v>3.6903999999999992E-2</v>
      </c>
      <c r="Q368" s="65">
        <f t="shared" si="22"/>
        <v>6.2896000000000007E-2</v>
      </c>
      <c r="R368" s="28">
        <v>6.2309999999999999</v>
      </c>
      <c r="S368" s="28">
        <v>21.353999999999999</v>
      </c>
      <c r="T368" s="20">
        <f t="shared" si="21"/>
        <v>133.05677399999999</v>
      </c>
      <c r="W368" s="20" t="s">
        <v>887</v>
      </c>
      <c r="X368" s="20" t="s">
        <v>886</v>
      </c>
      <c r="Y368" s="20" t="s">
        <v>36</v>
      </c>
      <c r="Z368" s="20" t="s">
        <v>36</v>
      </c>
    </row>
    <row r="369" spans="1:26">
      <c r="A369" s="20" t="s">
        <v>950</v>
      </c>
      <c r="B369" s="20" t="s">
        <v>2115</v>
      </c>
      <c r="C369" s="31" t="s">
        <v>2237</v>
      </c>
      <c r="D369" s="49">
        <v>42902</v>
      </c>
      <c r="E369" s="9">
        <v>10.045693999999999</v>
      </c>
      <c r="F369" s="9">
        <v>49.896189</v>
      </c>
      <c r="G369" t="s">
        <v>1687</v>
      </c>
      <c r="H369" t="s">
        <v>2563</v>
      </c>
      <c r="I369" t="s">
        <v>2814</v>
      </c>
      <c r="K369" s="20" t="s">
        <v>907</v>
      </c>
      <c r="L369" s="20"/>
      <c r="M369" s="172" t="s">
        <v>1705</v>
      </c>
      <c r="N369" s="20" t="s">
        <v>3620</v>
      </c>
      <c r="O369" s="28">
        <v>8.3000000000000004E-2</v>
      </c>
      <c r="P369" s="28">
        <v>3.6903999999999992E-2</v>
      </c>
      <c r="Q369" s="65">
        <f t="shared" si="22"/>
        <v>4.6096000000000012E-2</v>
      </c>
      <c r="R369" s="20">
        <v>5.3860000000000001</v>
      </c>
      <c r="S369" s="20">
        <f>9.558+1.957+2.973+2.088+1.956</f>
        <v>18.532</v>
      </c>
      <c r="T369" s="20">
        <f t="shared" si="21"/>
        <v>99.813352000000009</v>
      </c>
      <c r="W369" s="20" t="s">
        <v>887</v>
      </c>
      <c r="X369" s="20" t="s">
        <v>886</v>
      </c>
      <c r="Y369" s="20" t="s">
        <v>36</v>
      </c>
      <c r="Z369" s="20" t="s">
        <v>36</v>
      </c>
    </row>
    <row r="370" spans="1:26">
      <c r="A370" s="20" t="s">
        <v>949</v>
      </c>
      <c r="B370" s="20" t="s">
        <v>2115</v>
      </c>
      <c r="C370" s="31" t="s">
        <v>2244</v>
      </c>
      <c r="D370" s="49">
        <v>42856</v>
      </c>
      <c r="E370" s="9">
        <v>10.017931000000001</v>
      </c>
      <c r="F370" s="9">
        <v>49.935696999999998</v>
      </c>
      <c r="G370" t="s">
        <v>1687</v>
      </c>
      <c r="H370" t="s">
        <v>2563</v>
      </c>
      <c r="I370" t="s">
        <v>2814</v>
      </c>
      <c r="K370" s="20" t="s">
        <v>907</v>
      </c>
      <c r="L370" s="20"/>
      <c r="M370" s="172" t="s">
        <v>1688</v>
      </c>
      <c r="N370" s="20" t="s">
        <v>2713</v>
      </c>
      <c r="O370" s="28">
        <v>0.37430000000000002</v>
      </c>
      <c r="P370" s="28">
        <v>3.6903999999999992E-2</v>
      </c>
      <c r="Q370" s="65">
        <f t="shared" si="22"/>
        <v>0.33739600000000003</v>
      </c>
      <c r="R370" s="28">
        <v>8.41</v>
      </c>
      <c r="S370" s="28">
        <v>33.558999999999997</v>
      </c>
      <c r="T370" s="20">
        <f t="shared" si="21"/>
        <v>282.23118999999997</v>
      </c>
      <c r="W370" s="20" t="s">
        <v>887</v>
      </c>
      <c r="X370" s="20" t="s">
        <v>886</v>
      </c>
      <c r="Y370" s="20" t="s">
        <v>36</v>
      </c>
      <c r="Z370" s="20" t="s">
        <v>36</v>
      </c>
    </row>
    <row r="371" spans="1:26">
      <c r="A371" s="20" t="s">
        <v>948</v>
      </c>
      <c r="B371" s="20" t="s">
        <v>2115</v>
      </c>
      <c r="C371" s="31" t="s">
        <v>2243</v>
      </c>
      <c r="D371" s="49">
        <v>42902</v>
      </c>
      <c r="E371" s="9">
        <v>10.069680999999999</v>
      </c>
      <c r="F371" s="9">
        <v>49.368496999999998</v>
      </c>
      <c r="G371" t="s">
        <v>1687</v>
      </c>
      <c r="H371" t="s">
        <v>2563</v>
      </c>
      <c r="I371" t="s">
        <v>2814</v>
      </c>
      <c r="K371" s="20" t="s">
        <v>907</v>
      </c>
      <c r="L371" s="20"/>
      <c r="M371" s="172" t="s">
        <v>1688</v>
      </c>
      <c r="N371" s="20" t="s">
        <v>3620</v>
      </c>
      <c r="O371" s="28">
        <v>8.2299999999999998E-2</v>
      </c>
      <c r="P371" s="28">
        <v>3.6903999999999992E-2</v>
      </c>
      <c r="Q371" s="65">
        <f t="shared" si="22"/>
        <v>4.5396000000000006E-2</v>
      </c>
      <c r="R371" s="28">
        <v>5.6369999999999996</v>
      </c>
      <c r="S371" s="28">
        <v>17.794</v>
      </c>
      <c r="T371" s="20">
        <f t="shared" si="21"/>
        <v>100.304778</v>
      </c>
      <c r="W371" s="20" t="s">
        <v>887</v>
      </c>
      <c r="X371" s="20" t="s">
        <v>886</v>
      </c>
      <c r="Y371" s="20" t="s">
        <v>36</v>
      </c>
      <c r="Z371" s="20" t="s">
        <v>36</v>
      </c>
    </row>
    <row r="372" spans="1:26">
      <c r="A372" s="20" t="s">
        <v>947</v>
      </c>
      <c r="B372" s="20" t="s">
        <v>2115</v>
      </c>
      <c r="C372" s="31" t="s">
        <v>2228</v>
      </c>
      <c r="D372" s="49">
        <v>42902</v>
      </c>
      <c r="E372" s="9">
        <v>10.050008</v>
      </c>
      <c r="F372" s="9">
        <v>49.941994000000001</v>
      </c>
      <c r="G372" t="s">
        <v>1687</v>
      </c>
      <c r="H372" t="s">
        <v>2563</v>
      </c>
      <c r="I372" t="s">
        <v>2814</v>
      </c>
      <c r="K372" s="20" t="s">
        <v>907</v>
      </c>
      <c r="L372" s="20"/>
      <c r="M372" s="172" t="s">
        <v>1705</v>
      </c>
      <c r="N372" s="20" t="s">
        <v>3620</v>
      </c>
      <c r="O372" s="28">
        <v>0.124</v>
      </c>
      <c r="P372" s="28">
        <v>3.6903999999999992E-2</v>
      </c>
      <c r="Q372" s="65">
        <f t="shared" si="22"/>
        <v>8.7096000000000007E-2</v>
      </c>
      <c r="R372" s="20">
        <v>6.2380000000000004</v>
      </c>
      <c r="S372" s="20">
        <v>23.896999999999998</v>
      </c>
      <c r="T372" s="20">
        <f t="shared" si="21"/>
        <v>149.06948600000001</v>
      </c>
      <c r="W372" s="20" t="s">
        <v>887</v>
      </c>
      <c r="X372" s="20" t="s">
        <v>886</v>
      </c>
      <c r="Y372" s="20" t="s">
        <v>36</v>
      </c>
      <c r="Z372" s="20" t="s">
        <v>36</v>
      </c>
    </row>
    <row r="373" spans="1:26">
      <c r="A373" s="20" t="s">
        <v>945</v>
      </c>
      <c r="B373" s="20" t="s">
        <v>2115</v>
      </c>
      <c r="C373" s="31" t="s">
        <v>2229</v>
      </c>
      <c r="D373" s="49">
        <v>42902</v>
      </c>
      <c r="E373" s="9">
        <v>10.057994000000001</v>
      </c>
      <c r="F373" s="9">
        <v>49.937230999999997</v>
      </c>
      <c r="G373" t="s">
        <v>1687</v>
      </c>
      <c r="H373" t="s">
        <v>2563</v>
      </c>
      <c r="I373" t="s">
        <v>2814</v>
      </c>
      <c r="K373" s="20" t="s">
        <v>907</v>
      </c>
      <c r="L373" s="20"/>
      <c r="M373" s="172" t="s">
        <v>1722</v>
      </c>
      <c r="N373" s="20" t="s">
        <v>2713</v>
      </c>
      <c r="O373" s="28">
        <v>0.1658</v>
      </c>
      <c r="P373" s="28">
        <v>3.6903999999999992E-2</v>
      </c>
      <c r="Q373" s="65">
        <f t="shared" si="22"/>
        <v>0.12889600000000001</v>
      </c>
      <c r="R373" s="20">
        <v>8.48</v>
      </c>
      <c r="S373" s="20">
        <f>11.95+8.343+8.224</f>
        <v>28.516999999999999</v>
      </c>
      <c r="T373" s="20">
        <f t="shared" si="21"/>
        <v>241.82416000000001</v>
      </c>
      <c r="W373" s="20" t="s">
        <v>887</v>
      </c>
      <c r="X373" s="20" t="s">
        <v>886</v>
      </c>
      <c r="Y373" s="20" t="s">
        <v>36</v>
      </c>
      <c r="Z373" s="20" t="s">
        <v>36</v>
      </c>
    </row>
    <row r="374" spans="1:26">
      <c r="A374" s="20" t="s">
        <v>944</v>
      </c>
      <c r="B374" s="20" t="s">
        <v>2115</v>
      </c>
      <c r="C374" s="31" t="s">
        <v>2233</v>
      </c>
      <c r="D374" s="49">
        <v>42872</v>
      </c>
      <c r="E374" s="9">
        <v>10.086428</v>
      </c>
      <c r="F374" s="9">
        <v>49.909314000000002</v>
      </c>
      <c r="G374" t="s">
        <v>1687</v>
      </c>
      <c r="H374" t="s">
        <v>2563</v>
      </c>
      <c r="I374" t="s">
        <v>2814</v>
      </c>
      <c r="K374" s="20" t="s">
        <v>907</v>
      </c>
      <c r="L374" s="20"/>
      <c r="M374" s="172" t="s">
        <v>1705</v>
      </c>
      <c r="N374" s="20" t="s">
        <v>3620</v>
      </c>
      <c r="O374" s="28">
        <v>9.5699999999999993E-2</v>
      </c>
      <c r="P374" s="28">
        <v>3.6903999999999992E-2</v>
      </c>
      <c r="Q374" s="65">
        <f t="shared" si="22"/>
        <v>5.8796000000000001E-2</v>
      </c>
      <c r="R374" s="20">
        <v>5.9660000000000002</v>
      </c>
      <c r="S374" s="20">
        <f>5.881+6.163+9.945</f>
        <v>21.989000000000001</v>
      </c>
      <c r="T374" s="20">
        <f t="shared" si="21"/>
        <v>131.186374</v>
      </c>
      <c r="W374" s="20" t="s">
        <v>887</v>
      </c>
      <c r="X374" s="20" t="s">
        <v>886</v>
      </c>
      <c r="Y374" s="20" t="s">
        <v>36</v>
      </c>
      <c r="Z374" s="20" t="s">
        <v>36</v>
      </c>
    </row>
    <row r="375" spans="1:26">
      <c r="A375" s="20" t="s">
        <v>943</v>
      </c>
      <c r="B375" s="20" t="s">
        <v>2115</v>
      </c>
      <c r="C375" s="31" t="s">
        <v>2229</v>
      </c>
      <c r="D375" s="49">
        <v>42888</v>
      </c>
      <c r="E375" s="9">
        <v>10.057994000000001</v>
      </c>
      <c r="F375" s="9">
        <v>49.937230999999997</v>
      </c>
      <c r="G375" t="s">
        <v>1687</v>
      </c>
      <c r="H375" t="s">
        <v>2563</v>
      </c>
      <c r="I375" t="s">
        <v>2814</v>
      </c>
      <c r="K375" s="20" t="s">
        <v>907</v>
      </c>
      <c r="L375" s="20"/>
      <c r="M375" s="172" t="s">
        <v>1705</v>
      </c>
      <c r="N375" s="20" t="s">
        <v>3620</v>
      </c>
      <c r="O375" s="28">
        <v>7.7200000000000005E-2</v>
      </c>
      <c r="P375" s="28">
        <v>3.6903999999999992E-2</v>
      </c>
      <c r="Q375" s="65">
        <f t="shared" si="22"/>
        <v>4.0296000000000012E-2</v>
      </c>
      <c r="R375" s="20">
        <v>5.4960000000000004</v>
      </c>
      <c r="S375" s="20">
        <f>8.233+5.136+2.301+3.884</f>
        <v>19.553999999999998</v>
      </c>
      <c r="T375" s="20">
        <f t="shared" si="21"/>
        <v>107.468784</v>
      </c>
      <c r="W375" s="20" t="s">
        <v>887</v>
      </c>
      <c r="X375" s="20" t="s">
        <v>886</v>
      </c>
      <c r="Y375" s="20" t="s">
        <v>36</v>
      </c>
      <c r="Z375" s="20" t="s">
        <v>36</v>
      </c>
    </row>
    <row r="376" spans="1:26">
      <c r="A376" s="20" t="s">
        <v>942</v>
      </c>
      <c r="B376" s="20" t="s">
        <v>2115</v>
      </c>
      <c r="C376" s="31" t="s">
        <v>2243</v>
      </c>
      <c r="D376" s="49">
        <v>42902</v>
      </c>
      <c r="E376" s="9">
        <v>10.069680999999999</v>
      </c>
      <c r="F376" s="9">
        <v>49.368496999999998</v>
      </c>
      <c r="G376" t="s">
        <v>1687</v>
      </c>
      <c r="H376" t="s">
        <v>2563</v>
      </c>
      <c r="I376" t="s">
        <v>2814</v>
      </c>
      <c r="K376" s="20" t="s">
        <v>907</v>
      </c>
      <c r="L376" s="20"/>
      <c r="M376" s="172" t="s">
        <v>1688</v>
      </c>
      <c r="N376" s="20" t="s">
        <v>3620</v>
      </c>
      <c r="O376" s="28">
        <v>9.8599999999999993E-2</v>
      </c>
      <c r="P376" s="28">
        <v>3.6903999999999992E-2</v>
      </c>
      <c r="Q376" s="65">
        <f t="shared" si="22"/>
        <v>6.1696000000000001E-2</v>
      </c>
      <c r="R376" s="28">
        <v>4.9400000000000004</v>
      </c>
      <c r="S376" s="28">
        <v>20.108000000000001</v>
      </c>
      <c r="T376" s="20">
        <f t="shared" ref="T376:T439" si="23">R376*S376</f>
        <v>99.333520000000007</v>
      </c>
      <c r="W376" s="20" t="s">
        <v>887</v>
      </c>
      <c r="X376" s="20" t="s">
        <v>886</v>
      </c>
      <c r="Y376" s="20" t="s">
        <v>36</v>
      </c>
      <c r="Z376" s="20" t="s">
        <v>36</v>
      </c>
    </row>
    <row r="377" spans="1:26">
      <c r="A377" s="20" t="s">
        <v>941</v>
      </c>
      <c r="B377" s="20" t="s">
        <v>2115</v>
      </c>
      <c r="C377" s="31" t="s">
        <v>2236</v>
      </c>
      <c r="D377" s="49">
        <v>42902</v>
      </c>
      <c r="E377" s="9">
        <v>10.022767</v>
      </c>
      <c r="F377" s="9">
        <v>49.938633000000003</v>
      </c>
      <c r="G377" t="s">
        <v>1687</v>
      </c>
      <c r="H377" t="s">
        <v>2563</v>
      </c>
      <c r="I377" t="s">
        <v>2814</v>
      </c>
      <c r="K377" s="20" t="s">
        <v>907</v>
      </c>
      <c r="L377" s="20"/>
      <c r="M377" s="172" t="s">
        <v>1705</v>
      </c>
      <c r="N377" s="20" t="s">
        <v>3620</v>
      </c>
      <c r="O377" s="28">
        <v>9.6100000000000005E-2</v>
      </c>
      <c r="P377" s="28">
        <v>3.6903999999999992E-2</v>
      </c>
      <c r="Q377" s="65">
        <f t="shared" si="22"/>
        <v>5.9196000000000012E-2</v>
      </c>
      <c r="R377" s="20">
        <v>5.43</v>
      </c>
      <c r="S377" s="20">
        <f>9.532+9.377</f>
        <v>18.908999999999999</v>
      </c>
      <c r="T377" s="20">
        <f t="shared" si="23"/>
        <v>102.67586999999999</v>
      </c>
      <c r="W377" s="20" t="s">
        <v>887</v>
      </c>
      <c r="X377" s="20" t="s">
        <v>886</v>
      </c>
      <c r="Y377" s="20" t="s">
        <v>36</v>
      </c>
      <c r="Z377" s="20" t="s">
        <v>36</v>
      </c>
    </row>
    <row r="378" spans="1:26">
      <c r="A378" s="20" t="s">
        <v>940</v>
      </c>
      <c r="B378" s="20" t="s">
        <v>2115</v>
      </c>
      <c r="C378" s="31" t="s">
        <v>2243</v>
      </c>
      <c r="D378" s="49">
        <v>42902</v>
      </c>
      <c r="E378" s="9">
        <v>10.069680999999999</v>
      </c>
      <c r="F378" s="9">
        <v>49.368496999999998</v>
      </c>
      <c r="G378" t="s">
        <v>1687</v>
      </c>
      <c r="H378" t="s">
        <v>2563</v>
      </c>
      <c r="I378" t="s">
        <v>2814</v>
      </c>
      <c r="K378" s="20" t="s">
        <v>907</v>
      </c>
      <c r="L378" s="20"/>
      <c r="M378" s="172" t="s">
        <v>1705</v>
      </c>
      <c r="N378" s="20" t="s">
        <v>3620</v>
      </c>
      <c r="O378" s="28">
        <v>9.9199999999999997E-2</v>
      </c>
      <c r="P378" s="28">
        <v>3.6903999999999992E-2</v>
      </c>
      <c r="Q378" s="65">
        <f t="shared" si="22"/>
        <v>6.2296000000000004E-2</v>
      </c>
      <c r="R378" s="28">
        <v>5.7270000000000003</v>
      </c>
      <c r="S378" s="28">
        <v>21.047999999999998</v>
      </c>
      <c r="T378" s="20">
        <f t="shared" si="23"/>
        <v>120.54189599999999</v>
      </c>
      <c r="W378" s="20" t="s">
        <v>887</v>
      </c>
      <c r="X378" s="20" t="s">
        <v>886</v>
      </c>
      <c r="Y378" s="20" t="s">
        <v>36</v>
      </c>
      <c r="Z378" s="20" t="s">
        <v>36</v>
      </c>
    </row>
    <row r="379" spans="1:26">
      <c r="A379" s="20" t="s">
        <v>939</v>
      </c>
      <c r="B379" s="20" t="s">
        <v>2115</v>
      </c>
      <c r="C379" s="31" t="s">
        <v>2232</v>
      </c>
      <c r="D379" s="49">
        <v>42902</v>
      </c>
      <c r="E379" s="9">
        <v>10.065003000000001</v>
      </c>
      <c r="F379" s="9">
        <v>49.916336000000001</v>
      </c>
      <c r="G379" t="s">
        <v>1687</v>
      </c>
      <c r="H379" t="s">
        <v>2563</v>
      </c>
      <c r="I379" t="s">
        <v>2814</v>
      </c>
      <c r="K379" s="20" t="s">
        <v>907</v>
      </c>
      <c r="L379" s="20"/>
      <c r="M379" s="172" t="s">
        <v>1705</v>
      </c>
      <c r="N379" s="20" t="s">
        <v>3620</v>
      </c>
      <c r="O379" s="28">
        <v>7.3599999999999999E-2</v>
      </c>
      <c r="P379" s="28">
        <v>3.6903999999999992E-2</v>
      </c>
      <c r="Q379" s="65">
        <f t="shared" si="22"/>
        <v>3.6696000000000006E-2</v>
      </c>
      <c r="R379" s="20">
        <v>5.7640000000000002</v>
      </c>
      <c r="S379" s="20">
        <f>8.831+3.863+3.421</f>
        <v>16.114999999999998</v>
      </c>
      <c r="T379" s="20">
        <f t="shared" si="23"/>
        <v>92.886859999999999</v>
      </c>
      <c r="U379" s="20" t="s">
        <v>1739</v>
      </c>
      <c r="W379" s="20" t="s">
        <v>887</v>
      </c>
      <c r="X379" s="20" t="s">
        <v>886</v>
      </c>
      <c r="Y379" s="20" t="s">
        <v>36</v>
      </c>
      <c r="Z379" s="20" t="s">
        <v>36</v>
      </c>
    </row>
    <row r="380" spans="1:26">
      <c r="A380" s="20" t="s">
        <v>938</v>
      </c>
      <c r="B380" s="20" t="s">
        <v>2115</v>
      </c>
      <c r="C380" s="31" t="s">
        <v>2244</v>
      </c>
      <c r="D380" s="49">
        <v>42902</v>
      </c>
      <c r="E380" s="9">
        <v>10.017931000000001</v>
      </c>
      <c r="F380" s="9">
        <v>49.935696999999998</v>
      </c>
      <c r="G380" t="s">
        <v>1687</v>
      </c>
      <c r="H380" t="s">
        <v>2563</v>
      </c>
      <c r="I380" t="s">
        <v>2814</v>
      </c>
      <c r="K380" s="20" t="s">
        <v>907</v>
      </c>
      <c r="L380" s="20"/>
      <c r="M380" s="172" t="s">
        <v>1722</v>
      </c>
      <c r="N380" s="20" t="s">
        <v>3620</v>
      </c>
      <c r="O380" s="28">
        <v>0.1113</v>
      </c>
      <c r="P380" s="28">
        <v>3.6903999999999992E-2</v>
      </c>
      <c r="Q380" s="65">
        <f t="shared" si="22"/>
        <v>7.4396000000000004E-2</v>
      </c>
      <c r="R380" s="20">
        <v>6.7409999999999997</v>
      </c>
      <c r="S380" s="20">
        <f>9.553+4.11+6.425</f>
        <v>20.088000000000001</v>
      </c>
      <c r="T380" s="20">
        <f t="shared" si="23"/>
        <v>135.413208</v>
      </c>
      <c r="W380" s="20" t="s">
        <v>887</v>
      </c>
      <c r="X380" s="20" t="s">
        <v>886</v>
      </c>
      <c r="Y380" s="20" t="s">
        <v>36</v>
      </c>
      <c r="Z380" s="20" t="s">
        <v>36</v>
      </c>
    </row>
    <row r="381" spans="1:26">
      <c r="A381" s="20" t="s">
        <v>937</v>
      </c>
      <c r="B381" s="20" t="s">
        <v>2115</v>
      </c>
      <c r="C381" s="31" t="s">
        <v>2237</v>
      </c>
      <c r="D381" s="49">
        <v>42902</v>
      </c>
      <c r="E381" s="9">
        <v>10.045693999999999</v>
      </c>
      <c r="F381" s="9">
        <v>49.896189</v>
      </c>
      <c r="G381" t="s">
        <v>1687</v>
      </c>
      <c r="H381" t="s">
        <v>2563</v>
      </c>
      <c r="I381" t="s">
        <v>2814</v>
      </c>
      <c r="K381" s="20" t="s">
        <v>907</v>
      </c>
      <c r="L381" s="20"/>
      <c r="M381" s="172" t="s">
        <v>1705</v>
      </c>
      <c r="N381" s="20" t="s">
        <v>3620</v>
      </c>
      <c r="O381" s="28">
        <v>0.1101</v>
      </c>
      <c r="P381" s="28">
        <v>3.6903999999999992E-2</v>
      </c>
      <c r="Q381" s="65">
        <f t="shared" si="22"/>
        <v>7.3196000000000011E-2</v>
      </c>
      <c r="R381" s="28">
        <v>6.8959999999999999</v>
      </c>
      <c r="S381" s="28">
        <v>23.984999999999999</v>
      </c>
      <c r="T381" s="20">
        <f t="shared" si="23"/>
        <v>165.40055999999998</v>
      </c>
      <c r="W381" s="20" t="s">
        <v>887</v>
      </c>
      <c r="X381" s="20" t="s">
        <v>886</v>
      </c>
      <c r="Y381" s="20" t="s">
        <v>36</v>
      </c>
      <c r="Z381" s="20" t="s">
        <v>36</v>
      </c>
    </row>
    <row r="382" spans="1:26">
      <c r="A382" s="20" t="s">
        <v>936</v>
      </c>
      <c r="B382" s="20" t="s">
        <v>2115</v>
      </c>
      <c r="C382" s="31" t="s">
        <v>2230</v>
      </c>
      <c r="D382" s="49">
        <v>42856</v>
      </c>
      <c r="E382" s="9">
        <v>10.124091999999999</v>
      </c>
      <c r="F382" s="9">
        <v>49.906236</v>
      </c>
      <c r="G382" t="s">
        <v>1687</v>
      </c>
      <c r="H382" t="s">
        <v>2563</v>
      </c>
      <c r="I382" t="s">
        <v>2814</v>
      </c>
      <c r="K382" s="20" t="s">
        <v>907</v>
      </c>
      <c r="L382" s="20"/>
      <c r="M382" s="172" t="s">
        <v>1705</v>
      </c>
      <c r="N382" s="20" t="s">
        <v>3620</v>
      </c>
      <c r="O382" s="28">
        <v>8.7400000000000005E-2</v>
      </c>
      <c r="P382" s="28">
        <v>3.6903999999999992E-2</v>
      </c>
      <c r="Q382" s="65">
        <f t="shared" si="22"/>
        <v>5.0496000000000013E-2</v>
      </c>
      <c r="R382" s="20">
        <v>6.2610000000000001</v>
      </c>
      <c r="S382" s="20">
        <f>10.151+8.324</f>
        <v>18.475000000000001</v>
      </c>
      <c r="T382" s="20">
        <f t="shared" si="23"/>
        <v>115.67197500000002</v>
      </c>
      <c r="W382" s="20" t="s">
        <v>887</v>
      </c>
      <c r="X382" s="20" t="s">
        <v>886</v>
      </c>
      <c r="Y382" s="20" t="s">
        <v>36</v>
      </c>
      <c r="Z382" s="20" t="s">
        <v>36</v>
      </c>
    </row>
    <row r="383" spans="1:26">
      <c r="A383" s="20" t="s">
        <v>935</v>
      </c>
      <c r="B383" s="20" t="s">
        <v>2115</v>
      </c>
      <c r="C383" s="31" t="s">
        <v>2231</v>
      </c>
      <c r="D383" s="49">
        <v>42856</v>
      </c>
      <c r="E383" s="9">
        <v>10.113375</v>
      </c>
      <c r="F383" s="9">
        <v>49.850391999999999</v>
      </c>
      <c r="G383" t="s">
        <v>1687</v>
      </c>
      <c r="H383" t="s">
        <v>2563</v>
      </c>
      <c r="I383" t="s">
        <v>2814</v>
      </c>
      <c r="K383" s="20" t="s">
        <v>907</v>
      </c>
      <c r="L383" s="20"/>
      <c r="M383" s="172" t="s">
        <v>1705</v>
      </c>
      <c r="N383" s="20" t="s">
        <v>3620</v>
      </c>
      <c r="O383" s="28">
        <v>0.1046</v>
      </c>
      <c r="P383" s="28">
        <v>3.6903999999999992E-2</v>
      </c>
      <c r="Q383" s="65">
        <f t="shared" si="22"/>
        <v>6.7696000000000006E-2</v>
      </c>
      <c r="R383" s="20">
        <v>6.2460000000000004</v>
      </c>
      <c r="S383" s="20">
        <f>10.235+5.148+5.44</f>
        <v>20.823</v>
      </c>
      <c r="T383" s="20">
        <f t="shared" si="23"/>
        <v>130.06045800000001</v>
      </c>
      <c r="W383" s="20" t="s">
        <v>887</v>
      </c>
      <c r="X383" s="20" t="s">
        <v>886</v>
      </c>
      <c r="Y383" s="20" t="s">
        <v>36</v>
      </c>
      <c r="Z383" s="20" t="s">
        <v>36</v>
      </c>
    </row>
    <row r="384" spans="1:26">
      <c r="A384" s="20" t="s">
        <v>934</v>
      </c>
      <c r="B384" s="20" t="s">
        <v>2115</v>
      </c>
      <c r="C384" s="31" t="s">
        <v>2244</v>
      </c>
      <c r="D384" s="49">
        <v>42902</v>
      </c>
      <c r="E384" s="9">
        <v>10.017931000000001</v>
      </c>
      <c r="F384" s="9">
        <v>49.935696999999998</v>
      </c>
      <c r="G384" t="s">
        <v>1687</v>
      </c>
      <c r="H384" t="s">
        <v>2563</v>
      </c>
      <c r="I384" t="s">
        <v>2814</v>
      </c>
      <c r="K384" s="20" t="s">
        <v>907</v>
      </c>
      <c r="L384" s="20"/>
      <c r="M384" s="172" t="s">
        <v>1705</v>
      </c>
      <c r="N384" s="20" t="s">
        <v>3620</v>
      </c>
      <c r="O384" s="28">
        <v>8.2500000000000004E-2</v>
      </c>
      <c r="P384" s="28">
        <v>3.6903999999999992E-2</v>
      </c>
      <c r="Q384" s="65">
        <f t="shared" si="22"/>
        <v>4.5596000000000012E-2</v>
      </c>
      <c r="R384" s="20">
        <v>5.5979999999999999</v>
      </c>
      <c r="S384" s="20">
        <f>10.18+3.662+4.456</f>
        <v>18.297999999999998</v>
      </c>
      <c r="T384" s="20">
        <f t="shared" si="23"/>
        <v>102.43220399999998</v>
      </c>
      <c r="W384" s="20" t="s">
        <v>887</v>
      </c>
      <c r="X384" s="20" t="s">
        <v>886</v>
      </c>
      <c r="Y384" s="20" t="s">
        <v>36</v>
      </c>
      <c r="Z384" s="20" t="s">
        <v>36</v>
      </c>
    </row>
    <row r="385" spans="1:26">
      <c r="A385" s="20" t="s">
        <v>933</v>
      </c>
      <c r="B385" s="20" t="s">
        <v>2115</v>
      </c>
      <c r="C385" s="31" t="s">
        <v>2232</v>
      </c>
      <c r="D385" s="49">
        <v>42902</v>
      </c>
      <c r="E385" s="9">
        <v>10.065003000000001</v>
      </c>
      <c r="F385" s="9">
        <v>49.916336000000001</v>
      </c>
      <c r="G385" t="s">
        <v>1687</v>
      </c>
      <c r="H385" t="s">
        <v>2563</v>
      </c>
      <c r="I385" t="s">
        <v>2814</v>
      </c>
      <c r="K385" s="20" t="s">
        <v>907</v>
      </c>
      <c r="L385" s="20"/>
      <c r="M385" s="172" t="s">
        <v>1688</v>
      </c>
      <c r="N385" s="20" t="s">
        <v>3620</v>
      </c>
      <c r="O385" s="28">
        <v>9.5299999999999996E-2</v>
      </c>
      <c r="P385" s="28">
        <v>3.6903999999999992E-2</v>
      </c>
      <c r="Q385" s="65">
        <f t="shared" si="22"/>
        <v>5.8396000000000003E-2</v>
      </c>
      <c r="R385" s="28">
        <v>5.649</v>
      </c>
      <c r="S385" s="28">
        <v>22.538</v>
      </c>
      <c r="T385" s="20">
        <f t="shared" si="23"/>
        <v>127.317162</v>
      </c>
      <c r="W385" s="20" t="s">
        <v>887</v>
      </c>
      <c r="X385" s="20" t="s">
        <v>886</v>
      </c>
      <c r="Y385" s="20" t="s">
        <v>36</v>
      </c>
      <c r="Z385" s="20" t="s">
        <v>36</v>
      </c>
    </row>
    <row r="386" spans="1:26">
      <c r="A386" s="20" t="s">
        <v>932</v>
      </c>
      <c r="B386" s="20" t="s">
        <v>2115</v>
      </c>
      <c r="C386" s="31" t="s">
        <v>2230</v>
      </c>
      <c r="D386" s="49">
        <v>42902</v>
      </c>
      <c r="E386" s="9">
        <v>10.124091999999999</v>
      </c>
      <c r="F386" s="9">
        <v>49.906236</v>
      </c>
      <c r="G386" t="s">
        <v>1687</v>
      </c>
      <c r="H386" t="s">
        <v>2563</v>
      </c>
      <c r="I386" t="s">
        <v>2814</v>
      </c>
      <c r="K386" s="20" t="s">
        <v>907</v>
      </c>
      <c r="L386" s="20"/>
      <c r="M386" s="172" t="s">
        <v>1705</v>
      </c>
      <c r="N386" s="20" t="s">
        <v>3620</v>
      </c>
      <c r="O386" s="28">
        <v>9.9099999999999994E-2</v>
      </c>
      <c r="P386" s="28">
        <v>3.6903999999999992E-2</v>
      </c>
      <c r="Q386" s="65">
        <f t="shared" si="22"/>
        <v>6.2196000000000001E-2</v>
      </c>
      <c r="R386" s="28">
        <v>6.3689999999999998</v>
      </c>
      <c r="S386" s="28">
        <v>21.404</v>
      </c>
      <c r="T386" s="20">
        <f t="shared" si="23"/>
        <v>136.32207599999998</v>
      </c>
      <c r="W386" s="20" t="s">
        <v>887</v>
      </c>
      <c r="X386" s="20" t="s">
        <v>886</v>
      </c>
      <c r="Y386" s="20" t="s">
        <v>36</v>
      </c>
      <c r="Z386" s="20" t="s">
        <v>36</v>
      </c>
    </row>
    <row r="387" spans="1:26">
      <c r="A387" s="20" t="s">
        <v>931</v>
      </c>
      <c r="B387" s="20" t="s">
        <v>2115</v>
      </c>
      <c r="C387" s="31" t="s">
        <v>2244</v>
      </c>
      <c r="D387" s="49">
        <v>42872</v>
      </c>
      <c r="E387" s="9">
        <v>10.017931000000001</v>
      </c>
      <c r="F387" s="9">
        <v>49.935696999999998</v>
      </c>
      <c r="G387" t="s">
        <v>1687</v>
      </c>
      <c r="H387" t="s">
        <v>2563</v>
      </c>
      <c r="I387" t="s">
        <v>2814</v>
      </c>
      <c r="K387" s="20" t="s">
        <v>907</v>
      </c>
      <c r="L387" s="20"/>
      <c r="M387" s="172" t="s">
        <v>1705</v>
      </c>
      <c r="N387" s="20" t="s">
        <v>3620</v>
      </c>
      <c r="O387" s="28">
        <v>9.3899999999999997E-2</v>
      </c>
      <c r="P387" s="28">
        <v>3.6903999999999992E-2</v>
      </c>
      <c r="Q387" s="65">
        <f t="shared" si="22"/>
        <v>5.6996000000000005E-2</v>
      </c>
      <c r="R387" s="20">
        <v>6.6130000000000004</v>
      </c>
      <c r="S387" s="20">
        <f>11.006+11.102</f>
        <v>22.108000000000001</v>
      </c>
      <c r="T387" s="20">
        <f t="shared" si="23"/>
        <v>146.20020400000001</v>
      </c>
      <c r="W387" s="20" t="s">
        <v>887</v>
      </c>
      <c r="X387" s="20" t="s">
        <v>886</v>
      </c>
      <c r="Y387" s="20" t="s">
        <v>36</v>
      </c>
      <c r="Z387" s="20" t="s">
        <v>36</v>
      </c>
    </row>
    <row r="388" spans="1:26">
      <c r="A388" s="20" t="s">
        <v>930</v>
      </c>
      <c r="B388" s="20" t="s">
        <v>2115</v>
      </c>
      <c r="C388" s="31" t="s">
        <v>2232</v>
      </c>
      <c r="D388" s="49">
        <v>42902</v>
      </c>
      <c r="E388" s="9">
        <v>10.065003000000001</v>
      </c>
      <c r="F388" s="9">
        <v>49.916336000000001</v>
      </c>
      <c r="G388" t="s">
        <v>1687</v>
      </c>
      <c r="H388" t="s">
        <v>2563</v>
      </c>
      <c r="I388" t="s">
        <v>2814</v>
      </c>
      <c r="K388" s="22" t="s">
        <v>907</v>
      </c>
      <c r="L388" s="2"/>
      <c r="M388" s="173" t="s">
        <v>1705</v>
      </c>
      <c r="N388" s="22" t="s">
        <v>3620</v>
      </c>
      <c r="O388" s="28">
        <v>9.2100000000000001E-2</v>
      </c>
      <c r="P388" s="28">
        <v>3.6903999999999992E-2</v>
      </c>
      <c r="Q388" s="65">
        <f t="shared" si="22"/>
        <v>5.5196000000000009E-2</v>
      </c>
      <c r="R388" s="28">
        <v>5.9020000000000001</v>
      </c>
      <c r="S388" s="28">
        <v>19.725999999999999</v>
      </c>
      <c r="T388" s="20">
        <f t="shared" si="23"/>
        <v>116.42285199999999</v>
      </c>
      <c r="W388" s="20" t="s">
        <v>887</v>
      </c>
      <c r="X388" s="20" t="s">
        <v>886</v>
      </c>
      <c r="Y388" s="20" t="s">
        <v>36</v>
      </c>
      <c r="Z388" s="20" t="s">
        <v>36</v>
      </c>
    </row>
    <row r="389" spans="1:26">
      <c r="A389" s="20" t="s">
        <v>929</v>
      </c>
      <c r="B389" s="20" t="s">
        <v>2115</v>
      </c>
      <c r="C389" s="31" t="s">
        <v>2230</v>
      </c>
      <c r="D389" s="49">
        <v>42902</v>
      </c>
      <c r="E389" s="9">
        <v>10.124091999999999</v>
      </c>
      <c r="F389" s="9">
        <v>49.906236</v>
      </c>
      <c r="G389" t="s">
        <v>1687</v>
      </c>
      <c r="H389" t="s">
        <v>2563</v>
      </c>
      <c r="I389" t="s">
        <v>2814</v>
      </c>
      <c r="K389" s="20" t="s">
        <v>907</v>
      </c>
      <c r="L389" s="20"/>
      <c r="M389" s="172" t="s">
        <v>1705</v>
      </c>
      <c r="N389" s="20" t="s">
        <v>3620</v>
      </c>
      <c r="O389" s="28">
        <v>0.10879999999999999</v>
      </c>
      <c r="P389" s="28">
        <v>3.6903999999999992E-2</v>
      </c>
      <c r="Q389" s="65">
        <f t="shared" si="22"/>
        <v>7.1896000000000002E-2</v>
      </c>
      <c r="R389" s="28">
        <v>6.6459999999999999</v>
      </c>
      <c r="S389" s="28">
        <v>22.126000000000001</v>
      </c>
      <c r="T389" s="20">
        <f t="shared" si="23"/>
        <v>147.049396</v>
      </c>
      <c r="W389" s="20" t="s">
        <v>887</v>
      </c>
      <c r="X389" s="20" t="s">
        <v>886</v>
      </c>
      <c r="Y389" s="20" t="s">
        <v>36</v>
      </c>
      <c r="Z389" s="20" t="s">
        <v>36</v>
      </c>
    </row>
    <row r="390" spans="1:26">
      <c r="A390" s="20" t="s">
        <v>928</v>
      </c>
      <c r="B390" s="20" t="s">
        <v>2115</v>
      </c>
      <c r="C390" s="31" t="s">
        <v>2244</v>
      </c>
      <c r="D390" s="49">
        <v>42902</v>
      </c>
      <c r="E390" s="9">
        <v>10.017931000000001</v>
      </c>
      <c r="F390" s="9">
        <v>49.935696999999998</v>
      </c>
      <c r="G390" t="s">
        <v>1687</v>
      </c>
      <c r="H390" t="s">
        <v>2563</v>
      </c>
      <c r="I390" t="s">
        <v>2814</v>
      </c>
      <c r="K390" s="20" t="s">
        <v>907</v>
      </c>
      <c r="L390" s="20"/>
      <c r="M390" s="172" t="s">
        <v>1705</v>
      </c>
      <c r="N390" s="20" t="s">
        <v>3620</v>
      </c>
      <c r="O390" s="28">
        <v>0.1263</v>
      </c>
      <c r="P390" s="28">
        <v>3.6903999999999992E-2</v>
      </c>
      <c r="Q390" s="65">
        <f t="shared" si="22"/>
        <v>8.9396000000000003E-2</v>
      </c>
      <c r="R390" s="28">
        <v>6.2350000000000003</v>
      </c>
      <c r="S390" s="28">
        <v>22.678999999999998</v>
      </c>
      <c r="T390" s="20">
        <f t="shared" si="23"/>
        <v>141.40356499999999</v>
      </c>
      <c r="W390" s="20" t="s">
        <v>887</v>
      </c>
      <c r="X390" s="20" t="s">
        <v>886</v>
      </c>
      <c r="Y390" s="20" t="s">
        <v>36</v>
      </c>
      <c r="Z390" s="20" t="s">
        <v>36</v>
      </c>
    </row>
    <row r="391" spans="1:26">
      <c r="A391" s="20" t="s">
        <v>927</v>
      </c>
      <c r="B391" s="20" t="s">
        <v>2115</v>
      </c>
      <c r="C391" s="31" t="s">
        <v>2244</v>
      </c>
      <c r="D391" s="49">
        <v>42902</v>
      </c>
      <c r="E391" s="9">
        <v>10.017931000000001</v>
      </c>
      <c r="F391" s="9">
        <v>49.935696999999998</v>
      </c>
      <c r="G391" t="s">
        <v>1687</v>
      </c>
      <c r="H391" t="s">
        <v>2563</v>
      </c>
      <c r="I391" t="s">
        <v>2814</v>
      </c>
      <c r="K391" s="20" t="s">
        <v>907</v>
      </c>
      <c r="L391" s="20"/>
      <c r="M391" s="172" t="s">
        <v>1705</v>
      </c>
      <c r="N391" s="20" t="s">
        <v>3620</v>
      </c>
      <c r="O391" s="28">
        <v>9.5500000000000002E-2</v>
      </c>
      <c r="P391" s="28">
        <v>3.6903999999999992E-2</v>
      </c>
      <c r="Q391" s="65">
        <f t="shared" si="22"/>
        <v>5.8596000000000009E-2</v>
      </c>
      <c r="R391" s="20">
        <v>6.06</v>
      </c>
      <c r="S391" s="20">
        <f>10.489+6.821+3.682</f>
        <v>20.992000000000001</v>
      </c>
      <c r="T391" s="20">
        <f t="shared" si="23"/>
        <v>127.21151999999999</v>
      </c>
      <c r="W391" s="20" t="s">
        <v>887</v>
      </c>
      <c r="X391" s="20" t="s">
        <v>886</v>
      </c>
      <c r="Y391" s="20" t="s">
        <v>36</v>
      </c>
      <c r="Z391" s="20" t="s">
        <v>36</v>
      </c>
    </row>
    <row r="392" spans="1:26">
      <c r="A392" s="20" t="s">
        <v>926</v>
      </c>
      <c r="B392" s="20" t="s">
        <v>2115</v>
      </c>
      <c r="C392" s="31" t="s">
        <v>2232</v>
      </c>
      <c r="D392" s="49">
        <v>42902</v>
      </c>
      <c r="E392" s="9">
        <v>10.065003000000001</v>
      </c>
      <c r="F392" s="9">
        <v>49.916336000000001</v>
      </c>
      <c r="G392" t="s">
        <v>1687</v>
      </c>
      <c r="H392" t="s">
        <v>2563</v>
      </c>
      <c r="I392" t="s">
        <v>2814</v>
      </c>
      <c r="K392" s="20" t="s">
        <v>907</v>
      </c>
      <c r="L392" s="20"/>
      <c r="M392" s="172" t="s">
        <v>1688</v>
      </c>
      <c r="N392" s="20" t="s">
        <v>3620</v>
      </c>
      <c r="O392" s="28">
        <v>9.9599999999999994E-2</v>
      </c>
      <c r="P392" s="28">
        <v>3.6903999999999992E-2</v>
      </c>
      <c r="Q392" s="65">
        <f t="shared" si="22"/>
        <v>6.2696000000000002E-2</v>
      </c>
      <c r="R392" s="28">
        <v>5.49</v>
      </c>
      <c r="S392" s="28">
        <v>20.013000000000002</v>
      </c>
      <c r="T392" s="20">
        <f t="shared" si="23"/>
        <v>109.87137000000001</v>
      </c>
      <c r="W392" s="20" t="s">
        <v>887</v>
      </c>
      <c r="X392" s="20" t="s">
        <v>886</v>
      </c>
      <c r="Y392" s="20" t="s">
        <v>36</v>
      </c>
      <c r="Z392" s="20" t="s">
        <v>36</v>
      </c>
    </row>
    <row r="393" spans="1:26">
      <c r="A393" s="20" t="s">
        <v>925</v>
      </c>
      <c r="B393" s="20" t="s">
        <v>2115</v>
      </c>
      <c r="C393" s="31" t="s">
        <v>2229</v>
      </c>
      <c r="D393" s="49">
        <v>42902</v>
      </c>
      <c r="E393" s="9">
        <v>10.057994000000001</v>
      </c>
      <c r="F393" s="9">
        <v>49.937230999999997</v>
      </c>
      <c r="G393" t="s">
        <v>1687</v>
      </c>
      <c r="H393" t="s">
        <v>2563</v>
      </c>
      <c r="I393" t="s">
        <v>2814</v>
      </c>
      <c r="K393" s="20" t="s">
        <v>907</v>
      </c>
      <c r="L393" s="20"/>
      <c r="M393" s="172" t="s">
        <v>1688</v>
      </c>
      <c r="N393" s="20" t="s">
        <v>3620</v>
      </c>
      <c r="O393" s="28">
        <v>9.5299999999999996E-2</v>
      </c>
      <c r="P393" s="28">
        <v>3.6903999999999992E-2</v>
      </c>
      <c r="Q393" s="65">
        <f t="shared" si="22"/>
        <v>5.8396000000000003E-2</v>
      </c>
      <c r="R393" s="28">
        <v>5.57</v>
      </c>
      <c r="S393" s="28">
        <v>19.236000000000001</v>
      </c>
      <c r="T393" s="20">
        <f t="shared" si="23"/>
        <v>107.14452000000001</v>
      </c>
      <c r="W393" s="20" t="s">
        <v>887</v>
      </c>
      <c r="X393" s="20" t="s">
        <v>886</v>
      </c>
      <c r="Y393" s="20" t="s">
        <v>36</v>
      </c>
      <c r="Z393" s="20" t="s">
        <v>36</v>
      </c>
    </row>
    <row r="394" spans="1:26">
      <c r="A394" s="20" t="s">
        <v>924</v>
      </c>
      <c r="B394" s="20" t="s">
        <v>2115</v>
      </c>
      <c r="C394" s="31" t="s">
        <v>2231</v>
      </c>
      <c r="D394" s="49">
        <v>42856</v>
      </c>
      <c r="E394" s="9">
        <v>10.113375</v>
      </c>
      <c r="F394" s="9">
        <v>49.850391999999999</v>
      </c>
      <c r="G394" t="s">
        <v>1687</v>
      </c>
      <c r="H394" t="s">
        <v>2563</v>
      </c>
      <c r="I394" t="s">
        <v>2814</v>
      </c>
      <c r="K394" s="20" t="s">
        <v>907</v>
      </c>
      <c r="L394" s="20"/>
      <c r="M394" s="172" t="s">
        <v>3586</v>
      </c>
      <c r="N394" s="20" t="s">
        <v>2713</v>
      </c>
      <c r="O394" s="28">
        <v>0.14130000000000001</v>
      </c>
      <c r="P394" s="28">
        <v>3.6903999999999992E-2</v>
      </c>
      <c r="Q394" s="65">
        <f t="shared" si="22"/>
        <v>0.10439600000000002</v>
      </c>
      <c r="R394" s="28">
        <v>8.2639999999999993</v>
      </c>
      <c r="S394" s="28">
        <v>24.599</v>
      </c>
      <c r="T394" s="20">
        <f t="shared" si="23"/>
        <v>203.286136</v>
      </c>
      <c r="W394" s="20" t="s">
        <v>887</v>
      </c>
      <c r="X394" s="20" t="s">
        <v>886</v>
      </c>
      <c r="Y394" s="20" t="s">
        <v>36</v>
      </c>
      <c r="Z394" s="20" t="s">
        <v>36</v>
      </c>
    </row>
    <row r="395" spans="1:26">
      <c r="A395" s="20" t="s">
        <v>923</v>
      </c>
      <c r="B395" s="20" t="s">
        <v>2115</v>
      </c>
      <c r="C395" s="31" t="s">
        <v>2244</v>
      </c>
      <c r="D395" s="49">
        <v>42902</v>
      </c>
      <c r="E395" s="9">
        <v>10.017931000000001</v>
      </c>
      <c r="F395" s="9">
        <v>49.935696999999998</v>
      </c>
      <c r="G395" t="s">
        <v>1687</v>
      </c>
      <c r="H395" t="s">
        <v>2563</v>
      </c>
      <c r="I395" t="s">
        <v>2814</v>
      </c>
      <c r="K395" s="20" t="s">
        <v>907</v>
      </c>
      <c r="L395" s="20"/>
      <c r="M395" s="172" t="s">
        <v>1705</v>
      </c>
      <c r="N395" s="20" t="s">
        <v>3620</v>
      </c>
      <c r="O395" s="28">
        <v>0.1011</v>
      </c>
      <c r="P395" s="28">
        <v>3.6903999999999992E-2</v>
      </c>
      <c r="Q395" s="65">
        <f t="shared" si="22"/>
        <v>6.4196000000000003E-2</v>
      </c>
      <c r="R395" s="20">
        <v>6.0069999999999997</v>
      </c>
      <c r="S395" s="20">
        <f>14.002+9.211</f>
        <v>23.213000000000001</v>
      </c>
      <c r="T395" s="20">
        <f t="shared" si="23"/>
        <v>139.44049100000001</v>
      </c>
      <c r="W395" s="20" t="s">
        <v>887</v>
      </c>
      <c r="X395" s="20" t="s">
        <v>886</v>
      </c>
      <c r="Y395" s="20" t="s">
        <v>36</v>
      </c>
      <c r="Z395" s="20" t="s">
        <v>36</v>
      </c>
    </row>
    <row r="396" spans="1:26">
      <c r="A396" s="20" t="s">
        <v>922</v>
      </c>
      <c r="B396" s="20" t="s">
        <v>2115</v>
      </c>
      <c r="C396" s="31" t="s">
        <v>2230</v>
      </c>
      <c r="D396" s="49">
        <v>42902</v>
      </c>
      <c r="E396" s="9">
        <v>10.124091999999999</v>
      </c>
      <c r="F396" s="9">
        <v>49.906236</v>
      </c>
      <c r="G396" t="s">
        <v>1687</v>
      </c>
      <c r="H396" t="s">
        <v>2563</v>
      </c>
      <c r="I396" t="s">
        <v>2814</v>
      </c>
      <c r="K396" s="20" t="s">
        <v>907</v>
      </c>
      <c r="L396" s="20"/>
      <c r="M396" s="172" t="s">
        <v>1688</v>
      </c>
      <c r="N396" s="20" t="s">
        <v>3620</v>
      </c>
      <c r="O396" s="28">
        <v>7.4700000000000003E-2</v>
      </c>
      <c r="P396" s="28">
        <v>3.6903999999999992E-2</v>
      </c>
      <c r="Q396" s="65">
        <f t="shared" si="22"/>
        <v>3.779600000000001E-2</v>
      </c>
      <c r="R396" s="28">
        <v>5.0410000000000004</v>
      </c>
      <c r="S396" s="28">
        <v>17.132999999999999</v>
      </c>
      <c r="T396" s="20">
        <f t="shared" si="23"/>
        <v>86.367452999999998</v>
      </c>
      <c r="W396" s="20" t="s">
        <v>887</v>
      </c>
      <c r="X396" s="20" t="s">
        <v>886</v>
      </c>
      <c r="Y396" s="20" t="s">
        <v>36</v>
      </c>
      <c r="Z396" s="20" t="s">
        <v>36</v>
      </c>
    </row>
    <row r="397" spans="1:26">
      <c r="A397" s="20" t="s">
        <v>921</v>
      </c>
      <c r="B397" s="20" t="s">
        <v>2115</v>
      </c>
      <c r="C397" s="31" t="s">
        <v>2228</v>
      </c>
      <c r="D397" s="49">
        <v>42902</v>
      </c>
      <c r="E397" s="9">
        <v>10.050008</v>
      </c>
      <c r="F397" s="9">
        <v>49.941994000000001</v>
      </c>
      <c r="G397" t="s">
        <v>1687</v>
      </c>
      <c r="H397" t="s">
        <v>2563</v>
      </c>
      <c r="I397" t="s">
        <v>2814</v>
      </c>
      <c r="K397" s="20" t="s">
        <v>907</v>
      </c>
      <c r="L397" s="20"/>
      <c r="M397" s="172" t="s">
        <v>1705</v>
      </c>
      <c r="N397" s="20" t="s">
        <v>3620</v>
      </c>
      <c r="O397" s="28">
        <v>6.3399999999999998E-2</v>
      </c>
      <c r="P397" s="28">
        <v>3.6903999999999992E-2</v>
      </c>
      <c r="Q397" s="65">
        <f t="shared" si="22"/>
        <v>2.6496000000000006E-2</v>
      </c>
      <c r="R397" s="20">
        <v>4.51</v>
      </c>
      <c r="S397" s="20">
        <f>7.97+4.275+3.307</f>
        <v>15.552000000000001</v>
      </c>
      <c r="T397" s="20">
        <f t="shared" si="23"/>
        <v>70.139520000000005</v>
      </c>
      <c r="W397" s="20" t="s">
        <v>887</v>
      </c>
      <c r="X397" s="20" t="s">
        <v>886</v>
      </c>
      <c r="Y397" s="20" t="s">
        <v>36</v>
      </c>
      <c r="Z397" s="20" t="s">
        <v>36</v>
      </c>
    </row>
    <row r="398" spans="1:26">
      <c r="A398" s="20" t="s">
        <v>920</v>
      </c>
      <c r="B398" s="20" t="s">
        <v>2115</v>
      </c>
      <c r="C398" s="31" t="s">
        <v>2244</v>
      </c>
      <c r="D398" s="49">
        <v>42902</v>
      </c>
      <c r="E398" s="9">
        <v>10.017931000000001</v>
      </c>
      <c r="F398" s="9">
        <v>49.935696999999998</v>
      </c>
      <c r="G398" t="s">
        <v>1687</v>
      </c>
      <c r="H398" t="s">
        <v>2563</v>
      </c>
      <c r="I398" t="s">
        <v>2814</v>
      </c>
      <c r="K398" s="20" t="s">
        <v>907</v>
      </c>
      <c r="L398" s="20"/>
      <c r="M398" s="172" t="s">
        <v>1705</v>
      </c>
      <c r="N398" s="20" t="s">
        <v>3620</v>
      </c>
      <c r="O398" s="28">
        <v>0.12870000000000001</v>
      </c>
      <c r="P398" s="28">
        <v>3.6903999999999992E-2</v>
      </c>
      <c r="Q398" s="65">
        <f t="shared" si="22"/>
        <v>9.1796000000000016E-2</v>
      </c>
      <c r="R398" s="28">
        <v>6.6379999999999999</v>
      </c>
      <c r="S398" s="28">
        <v>24.265999999999998</v>
      </c>
      <c r="T398" s="20">
        <f t="shared" si="23"/>
        <v>161.07770799999997</v>
      </c>
      <c r="W398" s="20" t="s">
        <v>887</v>
      </c>
      <c r="X398" s="20" t="s">
        <v>886</v>
      </c>
      <c r="Y398" s="20" t="s">
        <v>36</v>
      </c>
      <c r="Z398" s="20" t="s">
        <v>36</v>
      </c>
    </row>
    <row r="399" spans="1:26">
      <c r="A399" s="20" t="s">
        <v>919</v>
      </c>
      <c r="B399" s="20" t="s">
        <v>2115</v>
      </c>
      <c r="C399" s="31" t="s">
        <v>2229</v>
      </c>
      <c r="D399" s="49">
        <v>42888</v>
      </c>
      <c r="E399" s="9">
        <v>10.057994000000001</v>
      </c>
      <c r="F399" s="9">
        <v>49.937230999999997</v>
      </c>
      <c r="G399" t="s">
        <v>1687</v>
      </c>
      <c r="H399" t="s">
        <v>2563</v>
      </c>
      <c r="I399" t="s">
        <v>2814</v>
      </c>
      <c r="K399" s="20" t="s">
        <v>907</v>
      </c>
      <c r="L399" s="20"/>
      <c r="M399" s="172" t="s">
        <v>1705</v>
      </c>
      <c r="N399" s="20" t="s">
        <v>3620</v>
      </c>
      <c r="O399" s="28">
        <v>9.9599999999999994E-2</v>
      </c>
      <c r="P399" s="28">
        <v>3.6903999999999992E-2</v>
      </c>
      <c r="Q399" s="65">
        <f t="shared" si="22"/>
        <v>6.2696000000000002E-2</v>
      </c>
      <c r="R399" s="20">
        <v>5.7</v>
      </c>
      <c r="S399" s="20">
        <f>14.667+10.615</f>
        <v>25.282</v>
      </c>
      <c r="T399" s="20">
        <f t="shared" si="23"/>
        <v>144.10740000000001</v>
      </c>
      <c r="W399" s="20" t="s">
        <v>887</v>
      </c>
      <c r="X399" s="20" t="s">
        <v>886</v>
      </c>
      <c r="Y399" s="20" t="s">
        <v>36</v>
      </c>
      <c r="Z399" s="20" t="s">
        <v>36</v>
      </c>
    </row>
    <row r="400" spans="1:26">
      <c r="A400" s="20" t="s">
        <v>918</v>
      </c>
      <c r="B400" s="20" t="s">
        <v>2115</v>
      </c>
      <c r="C400" s="31" t="s">
        <v>2230</v>
      </c>
      <c r="D400" s="49">
        <v>42902</v>
      </c>
      <c r="E400" s="9">
        <v>10.124091999999999</v>
      </c>
      <c r="F400" s="9">
        <v>49.906236</v>
      </c>
      <c r="G400" t="s">
        <v>1687</v>
      </c>
      <c r="H400" t="s">
        <v>2563</v>
      </c>
      <c r="I400" t="s">
        <v>2814</v>
      </c>
      <c r="K400" s="20" t="s">
        <v>907</v>
      </c>
      <c r="L400" s="20"/>
      <c r="M400" s="172" t="s">
        <v>1705</v>
      </c>
      <c r="N400" s="20" t="s">
        <v>3620</v>
      </c>
      <c r="O400" s="50">
        <v>7.0000000000000007E-2</v>
      </c>
      <c r="P400" s="28">
        <v>3.6903999999999992E-2</v>
      </c>
      <c r="Q400" s="65">
        <f t="shared" si="22"/>
        <v>3.3096000000000014E-2</v>
      </c>
      <c r="R400" s="20">
        <v>5.3929999999999998</v>
      </c>
      <c r="S400" s="20">
        <f>3.363+4.34+8.593</f>
        <v>16.295999999999999</v>
      </c>
      <c r="T400" s="20">
        <f t="shared" si="23"/>
        <v>87.884327999999996</v>
      </c>
      <c r="W400" s="20" t="s">
        <v>887</v>
      </c>
      <c r="X400" s="20" t="s">
        <v>886</v>
      </c>
      <c r="Y400" s="20" t="s">
        <v>36</v>
      </c>
      <c r="Z400" s="20" t="s">
        <v>36</v>
      </c>
    </row>
    <row r="401" spans="1:26">
      <c r="A401" s="20" t="s">
        <v>916</v>
      </c>
      <c r="B401" s="20" t="s">
        <v>2115</v>
      </c>
      <c r="C401" s="31" t="s">
        <v>2236</v>
      </c>
      <c r="D401" s="49">
        <v>42902</v>
      </c>
      <c r="E401" s="9">
        <v>10.022767</v>
      </c>
      <c r="F401" s="9">
        <v>49.938633000000003</v>
      </c>
      <c r="G401" t="s">
        <v>1687</v>
      </c>
      <c r="H401" t="s">
        <v>2563</v>
      </c>
      <c r="I401" t="s">
        <v>2814</v>
      </c>
      <c r="K401" s="20" t="s">
        <v>907</v>
      </c>
      <c r="L401" s="20"/>
      <c r="M401" s="172" t="s">
        <v>1688</v>
      </c>
      <c r="N401" s="20" t="s">
        <v>3620</v>
      </c>
      <c r="O401" s="28">
        <v>9.9400000000000002E-2</v>
      </c>
      <c r="P401" s="28">
        <v>3.6903999999999992E-2</v>
      </c>
      <c r="Q401" s="65">
        <f t="shared" si="22"/>
        <v>6.249600000000001E-2</v>
      </c>
      <c r="R401" s="28">
        <v>5.9450000000000003</v>
      </c>
      <c r="S401" s="28">
        <v>20.445</v>
      </c>
      <c r="T401" s="20">
        <f t="shared" si="23"/>
        <v>121.54552500000001</v>
      </c>
      <c r="W401" s="20" t="s">
        <v>887</v>
      </c>
      <c r="X401" s="20" t="s">
        <v>886</v>
      </c>
      <c r="Y401" s="20" t="s">
        <v>36</v>
      </c>
      <c r="Z401" s="20" t="s">
        <v>36</v>
      </c>
    </row>
    <row r="402" spans="1:26">
      <c r="A402" s="20" t="s">
        <v>915</v>
      </c>
      <c r="B402" s="20" t="s">
        <v>2115</v>
      </c>
      <c r="C402" s="31" t="s">
        <v>2233</v>
      </c>
      <c r="D402" s="49">
        <v>42856</v>
      </c>
      <c r="E402" s="9">
        <v>10.086428</v>
      </c>
      <c r="F402" s="9">
        <v>49.909314000000002</v>
      </c>
      <c r="G402" t="s">
        <v>1687</v>
      </c>
      <c r="H402" t="s">
        <v>2563</v>
      </c>
      <c r="I402" t="s">
        <v>2814</v>
      </c>
      <c r="K402" s="20" t="s">
        <v>907</v>
      </c>
      <c r="L402" s="20"/>
      <c r="M402" s="172" t="s">
        <v>1688</v>
      </c>
      <c r="N402" s="20" t="s">
        <v>2713</v>
      </c>
      <c r="O402" s="28">
        <v>0.22550000000000001</v>
      </c>
      <c r="P402" s="28">
        <v>3.6903999999999992E-2</v>
      </c>
      <c r="Q402" s="65">
        <f t="shared" si="22"/>
        <v>0.18859600000000001</v>
      </c>
      <c r="R402" s="28">
        <v>7.9260000000000002</v>
      </c>
      <c r="S402" s="28">
        <v>31.109000000000002</v>
      </c>
      <c r="T402" s="20">
        <f t="shared" si="23"/>
        <v>246.56993400000002</v>
      </c>
      <c r="W402" s="20" t="s">
        <v>887</v>
      </c>
      <c r="X402" s="20" t="s">
        <v>886</v>
      </c>
      <c r="Y402" s="20" t="s">
        <v>36</v>
      </c>
      <c r="Z402" s="20" t="s">
        <v>36</v>
      </c>
    </row>
    <row r="403" spans="1:26">
      <c r="A403" s="20" t="s">
        <v>914</v>
      </c>
      <c r="B403" s="20" t="s">
        <v>2115</v>
      </c>
      <c r="C403" s="31" t="s">
        <v>2230</v>
      </c>
      <c r="D403" s="49">
        <v>42902</v>
      </c>
      <c r="E403" s="9">
        <v>10.124091999999999</v>
      </c>
      <c r="F403" s="9">
        <v>49.906236</v>
      </c>
      <c r="G403" t="s">
        <v>1687</v>
      </c>
      <c r="H403" t="s">
        <v>2563</v>
      </c>
      <c r="I403" t="s">
        <v>2814</v>
      </c>
      <c r="K403" s="20" t="s">
        <v>907</v>
      </c>
      <c r="L403" s="20"/>
      <c r="M403" s="172" t="s">
        <v>1688</v>
      </c>
      <c r="N403" s="20" t="s">
        <v>3620</v>
      </c>
      <c r="O403" s="28">
        <v>6.3700000000000007E-2</v>
      </c>
      <c r="P403" s="28">
        <v>3.6903999999999992E-2</v>
      </c>
      <c r="Q403" s="65">
        <f t="shared" si="22"/>
        <v>2.6796000000000014E-2</v>
      </c>
      <c r="R403" s="28">
        <v>4.4139999999999997</v>
      </c>
      <c r="S403" s="28">
        <v>14.77</v>
      </c>
      <c r="T403" s="20">
        <f t="shared" si="23"/>
        <v>65.194779999999994</v>
      </c>
      <c r="W403" s="20" t="s">
        <v>887</v>
      </c>
      <c r="X403" s="20" t="s">
        <v>886</v>
      </c>
      <c r="Y403" s="20" t="s">
        <v>36</v>
      </c>
      <c r="Z403" s="20" t="s">
        <v>36</v>
      </c>
    </row>
    <row r="404" spans="1:26">
      <c r="A404" s="20" t="s">
        <v>913</v>
      </c>
      <c r="B404" s="20" t="s">
        <v>2115</v>
      </c>
      <c r="C404" s="31" t="s">
        <v>2233</v>
      </c>
      <c r="D404" s="49">
        <v>42856</v>
      </c>
      <c r="E404" s="9">
        <v>10.086428</v>
      </c>
      <c r="F404" s="9">
        <v>49.909314000000002</v>
      </c>
      <c r="G404" t="s">
        <v>1687</v>
      </c>
      <c r="H404" t="s">
        <v>2563</v>
      </c>
      <c r="I404" t="s">
        <v>2814</v>
      </c>
      <c r="K404" s="20" t="s">
        <v>907</v>
      </c>
      <c r="L404" s="20"/>
      <c r="M404" s="172" t="s">
        <v>1688</v>
      </c>
      <c r="N404" s="20" t="s">
        <v>3620</v>
      </c>
      <c r="O404" s="28">
        <v>8.6599999999999996E-2</v>
      </c>
      <c r="P404" s="28">
        <v>3.6903999999999992E-2</v>
      </c>
      <c r="Q404" s="65">
        <f t="shared" si="22"/>
        <v>4.9696000000000004E-2</v>
      </c>
      <c r="R404" s="28">
        <v>5.4740000000000002</v>
      </c>
      <c r="S404" s="28">
        <v>19.510000000000002</v>
      </c>
      <c r="T404" s="20">
        <f t="shared" si="23"/>
        <v>106.79774000000002</v>
      </c>
      <c r="W404" s="20" t="s">
        <v>887</v>
      </c>
      <c r="X404" s="20" t="s">
        <v>886</v>
      </c>
      <c r="Y404" s="20" t="s">
        <v>36</v>
      </c>
      <c r="Z404" s="20" t="s">
        <v>36</v>
      </c>
    </row>
    <row r="405" spans="1:26">
      <c r="A405" s="20" t="s">
        <v>912</v>
      </c>
      <c r="B405" s="20" t="s">
        <v>2115</v>
      </c>
      <c r="C405" s="31" t="s">
        <v>2244</v>
      </c>
      <c r="D405" s="49">
        <v>42902</v>
      </c>
      <c r="E405" s="9">
        <v>10.017931000000001</v>
      </c>
      <c r="F405" s="9">
        <v>49.935696999999998</v>
      </c>
      <c r="G405" t="s">
        <v>1687</v>
      </c>
      <c r="H405" t="s">
        <v>2563</v>
      </c>
      <c r="I405" t="s">
        <v>2814</v>
      </c>
      <c r="K405" s="20" t="s">
        <v>907</v>
      </c>
      <c r="L405" s="20"/>
      <c r="M405" s="172" t="s">
        <v>1688</v>
      </c>
      <c r="N405" s="20" t="s">
        <v>3620</v>
      </c>
      <c r="O405" s="28">
        <v>6.2799999999999995E-2</v>
      </c>
      <c r="P405" s="28">
        <v>3.6903999999999992E-2</v>
      </c>
      <c r="Q405" s="65">
        <f t="shared" si="22"/>
        <v>2.5896000000000002E-2</v>
      </c>
      <c r="R405" s="28">
        <v>4.444</v>
      </c>
      <c r="S405" s="28">
        <v>15.731999999999999</v>
      </c>
      <c r="T405" s="20">
        <f t="shared" si="23"/>
        <v>69.913007999999991</v>
      </c>
      <c r="W405" s="20" t="s">
        <v>887</v>
      </c>
      <c r="X405" s="20" t="s">
        <v>886</v>
      </c>
      <c r="Y405" s="20" t="s">
        <v>36</v>
      </c>
      <c r="Z405" s="20" t="s">
        <v>36</v>
      </c>
    </row>
    <row r="406" spans="1:26">
      <c r="A406" s="20" t="s">
        <v>911</v>
      </c>
      <c r="B406" s="20" t="s">
        <v>2115</v>
      </c>
      <c r="C406" s="31" t="s">
        <v>2238</v>
      </c>
      <c r="D406" s="49">
        <v>42902</v>
      </c>
      <c r="E406" s="9">
        <v>10.135947</v>
      </c>
      <c r="F406" s="9">
        <v>49.868039000000003</v>
      </c>
      <c r="G406" t="s">
        <v>1687</v>
      </c>
      <c r="H406" t="s">
        <v>2563</v>
      </c>
      <c r="I406" t="s">
        <v>2814</v>
      </c>
      <c r="K406" s="20" t="s">
        <v>907</v>
      </c>
      <c r="L406" s="20"/>
      <c r="M406" s="172" t="s">
        <v>1688</v>
      </c>
      <c r="N406" s="20" t="s">
        <v>3620</v>
      </c>
      <c r="O406" s="28">
        <v>6.4199999999999993E-2</v>
      </c>
      <c r="P406" s="28">
        <v>3.6903999999999992E-2</v>
      </c>
      <c r="Q406" s="65">
        <f t="shared" si="22"/>
        <v>2.7296000000000001E-2</v>
      </c>
      <c r="R406" s="28">
        <v>4.9569999999999999</v>
      </c>
      <c r="S406" s="28">
        <v>14.398999999999999</v>
      </c>
      <c r="T406" s="20">
        <f t="shared" si="23"/>
        <v>71.375842999999989</v>
      </c>
      <c r="W406" s="20" t="s">
        <v>887</v>
      </c>
      <c r="X406" s="20" t="s">
        <v>886</v>
      </c>
      <c r="Y406" s="20" t="s">
        <v>36</v>
      </c>
      <c r="Z406" s="20" t="s">
        <v>36</v>
      </c>
    </row>
    <row r="407" spans="1:26">
      <c r="A407" s="20" t="s">
        <v>910</v>
      </c>
      <c r="B407" s="20" t="s">
        <v>2115</v>
      </c>
      <c r="C407" s="31" t="s">
        <v>2232</v>
      </c>
      <c r="D407" s="49">
        <v>42902</v>
      </c>
      <c r="E407" s="9">
        <v>10.065003000000001</v>
      </c>
      <c r="F407" s="9">
        <v>49.916336000000001</v>
      </c>
      <c r="G407" t="s">
        <v>1687</v>
      </c>
      <c r="H407" t="s">
        <v>2563</v>
      </c>
      <c r="I407" t="s">
        <v>2814</v>
      </c>
      <c r="K407" s="20" t="s">
        <v>907</v>
      </c>
      <c r="L407" s="20"/>
      <c r="M407" s="172" t="s">
        <v>1688</v>
      </c>
      <c r="N407" s="20" t="s">
        <v>3620</v>
      </c>
      <c r="O407" s="28">
        <v>7.7399999999999997E-2</v>
      </c>
      <c r="P407" s="28">
        <v>3.6903999999999992E-2</v>
      </c>
      <c r="Q407" s="65">
        <f t="shared" si="22"/>
        <v>4.0496000000000004E-2</v>
      </c>
      <c r="R407" s="28">
        <v>5.3360000000000003</v>
      </c>
      <c r="S407" s="28">
        <v>16.91</v>
      </c>
      <c r="T407" s="20">
        <f t="shared" si="23"/>
        <v>90.231760000000008</v>
      </c>
      <c r="W407" s="20" t="s">
        <v>887</v>
      </c>
      <c r="X407" s="20" t="s">
        <v>886</v>
      </c>
      <c r="Y407" s="20" t="s">
        <v>36</v>
      </c>
      <c r="Z407" s="20" t="s">
        <v>36</v>
      </c>
    </row>
    <row r="408" spans="1:26">
      <c r="A408" s="20" t="s">
        <v>909</v>
      </c>
      <c r="B408" s="20" t="s">
        <v>2115</v>
      </c>
      <c r="C408" s="31" t="s">
        <v>2236</v>
      </c>
      <c r="D408" s="49">
        <v>42902</v>
      </c>
      <c r="E408" s="9">
        <v>10.022767</v>
      </c>
      <c r="F408" s="9">
        <v>49.938633000000003</v>
      </c>
      <c r="G408" t="s">
        <v>1687</v>
      </c>
      <c r="H408" t="s">
        <v>2563</v>
      </c>
      <c r="I408" t="s">
        <v>2814</v>
      </c>
      <c r="K408" s="20" t="s">
        <v>907</v>
      </c>
      <c r="L408" s="20"/>
      <c r="M408" s="172" t="s">
        <v>1688</v>
      </c>
      <c r="N408" s="20" t="s">
        <v>3620</v>
      </c>
      <c r="O408" s="28">
        <v>7.9399999999999998E-2</v>
      </c>
      <c r="P408" s="28">
        <v>3.6903999999999992E-2</v>
      </c>
      <c r="Q408" s="65">
        <f t="shared" si="22"/>
        <v>4.2496000000000006E-2</v>
      </c>
      <c r="R408" s="28">
        <v>5.7960000000000003</v>
      </c>
      <c r="S408" s="28">
        <v>16.207000000000001</v>
      </c>
      <c r="T408" s="20">
        <f t="shared" si="23"/>
        <v>93.935772000000014</v>
      </c>
      <c r="W408" s="20" t="s">
        <v>887</v>
      </c>
      <c r="X408" s="20" t="s">
        <v>886</v>
      </c>
      <c r="Y408" s="20" t="s">
        <v>36</v>
      </c>
      <c r="Z408" s="20" t="s">
        <v>36</v>
      </c>
    </row>
    <row r="409" spans="1:26">
      <c r="A409" s="20" t="s">
        <v>908</v>
      </c>
      <c r="B409" s="20" t="s">
        <v>2115</v>
      </c>
      <c r="C409" s="31" t="s">
        <v>2244</v>
      </c>
      <c r="D409" s="49">
        <v>42872</v>
      </c>
      <c r="E409" s="9">
        <v>10.017931000000001</v>
      </c>
      <c r="F409" s="9">
        <v>49.935696999999998</v>
      </c>
      <c r="G409" t="s">
        <v>1687</v>
      </c>
      <c r="H409" t="s">
        <v>2563</v>
      </c>
      <c r="I409" t="s">
        <v>2814</v>
      </c>
      <c r="K409" s="20" t="s">
        <v>907</v>
      </c>
      <c r="L409" s="20"/>
      <c r="M409" s="172" t="s">
        <v>3587</v>
      </c>
      <c r="N409" s="20" t="s">
        <v>2713</v>
      </c>
      <c r="O409" s="28">
        <v>0.2155</v>
      </c>
      <c r="P409" s="28">
        <v>3.6903999999999992E-2</v>
      </c>
      <c r="Q409" s="65">
        <f t="shared" si="22"/>
        <v>0.178596</v>
      </c>
      <c r="R409" s="28">
        <v>8.9339999999999993</v>
      </c>
      <c r="S409" s="28">
        <v>25.992999999999999</v>
      </c>
      <c r="T409" s="20">
        <f t="shared" si="23"/>
        <v>232.22146199999997</v>
      </c>
      <c r="W409" s="20" t="s">
        <v>887</v>
      </c>
      <c r="X409" s="20" t="s">
        <v>886</v>
      </c>
      <c r="Y409" s="20" t="s">
        <v>36</v>
      </c>
      <c r="Z409" s="20" t="s">
        <v>36</v>
      </c>
    </row>
    <row r="410" spans="1:26">
      <c r="A410" s="20" t="s">
        <v>906</v>
      </c>
      <c r="B410" s="20" t="s">
        <v>2115</v>
      </c>
      <c r="C410" s="31" t="s">
        <v>2234</v>
      </c>
      <c r="D410" s="49">
        <v>42902</v>
      </c>
      <c r="E410" s="9">
        <v>10.053630999999999</v>
      </c>
      <c r="F410" s="9">
        <v>49.900486000000001</v>
      </c>
      <c r="G410" s="20" t="s">
        <v>2566</v>
      </c>
      <c r="H410" s="20" t="s">
        <v>2567</v>
      </c>
      <c r="I410" s="20" t="s">
        <v>2668</v>
      </c>
      <c r="K410" s="20" t="s">
        <v>2600</v>
      </c>
      <c r="L410" s="20"/>
      <c r="M410" s="172" t="s">
        <v>2585</v>
      </c>
      <c r="N410" s="20" t="s">
        <v>2713</v>
      </c>
      <c r="O410" s="28">
        <v>3.9600000000000003E-2</v>
      </c>
      <c r="P410" s="28">
        <v>3.6903999999999992E-2</v>
      </c>
      <c r="Q410" s="65">
        <f t="shared" si="22"/>
        <v>2.6960000000000109E-3</v>
      </c>
      <c r="R410" s="28">
        <v>1.921</v>
      </c>
      <c r="S410" s="28">
        <v>10.672000000000001</v>
      </c>
      <c r="T410" s="20">
        <f t="shared" si="23"/>
        <v>20.500912000000003</v>
      </c>
      <c r="W410" s="20" t="s">
        <v>887</v>
      </c>
      <c r="X410" s="20" t="s">
        <v>886</v>
      </c>
      <c r="Y410" s="20" t="s">
        <v>36</v>
      </c>
      <c r="Z410" s="20" t="s">
        <v>36</v>
      </c>
    </row>
    <row r="411" spans="1:26">
      <c r="A411" s="20" t="s">
        <v>904</v>
      </c>
      <c r="B411" s="20" t="s">
        <v>2115</v>
      </c>
      <c r="C411" s="31" t="s">
        <v>2244</v>
      </c>
      <c r="D411" s="49">
        <v>42902</v>
      </c>
      <c r="E411" s="9">
        <v>10.017931000000001</v>
      </c>
      <c r="F411" s="9">
        <v>49.935696999999998</v>
      </c>
      <c r="G411" s="20" t="s">
        <v>2566</v>
      </c>
      <c r="H411" s="20" t="s">
        <v>2567</v>
      </c>
      <c r="I411" s="20" t="s">
        <v>2668</v>
      </c>
      <c r="K411" s="20" t="s">
        <v>2600</v>
      </c>
      <c r="L411" s="20"/>
      <c r="M411" s="172" t="s">
        <v>2585</v>
      </c>
      <c r="N411" s="20" t="s">
        <v>2713</v>
      </c>
      <c r="O411" s="28">
        <v>4.1399999999999999E-2</v>
      </c>
      <c r="P411" s="28">
        <v>3.6903999999999992E-2</v>
      </c>
      <c r="Q411" s="65">
        <f t="shared" si="22"/>
        <v>4.4960000000000069E-3</v>
      </c>
      <c r="R411" s="28">
        <v>2.0750000000000002</v>
      </c>
      <c r="S411" s="28">
        <v>9.8699999999999992</v>
      </c>
      <c r="T411" s="20">
        <f t="shared" si="23"/>
        <v>20.480250000000002</v>
      </c>
      <c r="W411" s="20" t="s">
        <v>887</v>
      </c>
      <c r="X411" s="20" t="s">
        <v>886</v>
      </c>
      <c r="Y411" s="20" t="s">
        <v>36</v>
      </c>
      <c r="Z411" s="20" t="s">
        <v>36</v>
      </c>
    </row>
    <row r="412" spans="1:26">
      <c r="A412" s="20" t="s">
        <v>903</v>
      </c>
      <c r="B412" s="20" t="s">
        <v>2115</v>
      </c>
      <c r="C412" s="31" t="s">
        <v>2233</v>
      </c>
      <c r="D412" s="49">
        <v>42902</v>
      </c>
      <c r="E412" s="9">
        <v>10.086428</v>
      </c>
      <c r="F412" s="9">
        <v>49.909314000000002</v>
      </c>
      <c r="G412" s="20" t="s">
        <v>2566</v>
      </c>
      <c r="H412" s="20" t="s">
        <v>2567</v>
      </c>
      <c r="I412" s="20" t="s">
        <v>2668</v>
      </c>
      <c r="K412" s="20" t="s">
        <v>2600</v>
      </c>
      <c r="L412" s="20"/>
      <c r="M412" s="172" t="s">
        <v>3588</v>
      </c>
      <c r="N412" s="20" t="s">
        <v>2713</v>
      </c>
      <c r="O412" s="28">
        <v>4.2999999999999997E-2</v>
      </c>
      <c r="P412" s="28">
        <v>3.6903999999999992E-2</v>
      </c>
      <c r="Q412" s="65">
        <f t="shared" si="22"/>
        <v>6.0960000000000042E-3</v>
      </c>
      <c r="R412" s="28">
        <v>2.4180000000000001</v>
      </c>
      <c r="S412" s="28">
        <v>10.153</v>
      </c>
      <c r="T412" s="20">
        <f t="shared" si="23"/>
        <v>24.549954000000003</v>
      </c>
      <c r="W412" s="20" t="s">
        <v>887</v>
      </c>
      <c r="X412" s="20" t="s">
        <v>886</v>
      </c>
      <c r="Y412" s="20" t="s">
        <v>36</v>
      </c>
      <c r="Z412" s="20" t="s">
        <v>36</v>
      </c>
    </row>
    <row r="413" spans="1:26">
      <c r="A413" s="20" t="s">
        <v>902</v>
      </c>
      <c r="B413" s="20" t="s">
        <v>2115</v>
      </c>
      <c r="C413" s="31" t="s">
        <v>2233</v>
      </c>
      <c r="D413" s="49">
        <v>42902</v>
      </c>
      <c r="E413" s="9">
        <v>10.086428</v>
      </c>
      <c r="F413" s="9">
        <v>49.909314000000002</v>
      </c>
      <c r="G413" s="20" t="s">
        <v>2566</v>
      </c>
      <c r="H413" s="20" t="s">
        <v>2567</v>
      </c>
      <c r="I413" s="20" t="s">
        <v>2668</v>
      </c>
      <c r="K413" s="20" t="s">
        <v>2600</v>
      </c>
      <c r="L413" s="20"/>
      <c r="M413" s="172" t="s">
        <v>3588</v>
      </c>
      <c r="N413" s="20" t="s">
        <v>2713</v>
      </c>
      <c r="O413" s="28">
        <v>3.9399999999999998E-2</v>
      </c>
      <c r="P413" s="28">
        <v>3.6903999999999992E-2</v>
      </c>
      <c r="Q413" s="65">
        <f t="shared" si="22"/>
        <v>2.4960000000000052E-3</v>
      </c>
      <c r="R413" s="28">
        <v>2.4180000000000001</v>
      </c>
      <c r="S413" s="28">
        <v>10.045</v>
      </c>
      <c r="T413" s="20">
        <f t="shared" si="23"/>
        <v>24.288810000000002</v>
      </c>
      <c r="W413" s="20" t="s">
        <v>887</v>
      </c>
      <c r="X413" s="20" t="s">
        <v>886</v>
      </c>
      <c r="Y413" s="20" t="s">
        <v>36</v>
      </c>
      <c r="Z413" s="20" t="s">
        <v>36</v>
      </c>
    </row>
    <row r="414" spans="1:26">
      <c r="A414" s="20" t="s">
        <v>901</v>
      </c>
      <c r="B414" s="20" t="s">
        <v>2115</v>
      </c>
      <c r="C414" s="31" t="s">
        <v>2236</v>
      </c>
      <c r="D414" s="49">
        <v>42902</v>
      </c>
      <c r="E414" s="9">
        <v>10.022767</v>
      </c>
      <c r="F414" s="9">
        <v>49.938633000000003</v>
      </c>
      <c r="G414" s="20" t="s">
        <v>2566</v>
      </c>
      <c r="H414" s="20" t="s">
        <v>2567</v>
      </c>
      <c r="I414" s="20" t="s">
        <v>2668</v>
      </c>
      <c r="K414" s="20" t="s">
        <v>2600</v>
      </c>
      <c r="L414" s="20"/>
      <c r="M414" s="172" t="s">
        <v>3588</v>
      </c>
      <c r="N414" s="20" t="s">
        <v>2713</v>
      </c>
      <c r="O414" s="28">
        <v>4.24E-2</v>
      </c>
      <c r="P414" s="28">
        <v>3.6903999999999992E-2</v>
      </c>
      <c r="Q414" s="65">
        <f t="shared" si="22"/>
        <v>5.4960000000000078E-3</v>
      </c>
      <c r="R414" s="28">
        <v>2.2480000000000002</v>
      </c>
      <c r="S414" s="28">
        <v>9.9079999999999995</v>
      </c>
      <c r="T414" s="20">
        <f t="shared" si="23"/>
        <v>22.273184000000001</v>
      </c>
      <c r="W414" s="20" t="s">
        <v>887</v>
      </c>
      <c r="X414" s="20" t="s">
        <v>886</v>
      </c>
      <c r="Y414" s="20" t="s">
        <v>36</v>
      </c>
      <c r="Z414" s="20" t="s">
        <v>36</v>
      </c>
    </row>
    <row r="415" spans="1:26">
      <c r="A415" s="20" t="s">
        <v>900</v>
      </c>
      <c r="B415" s="20" t="s">
        <v>2115</v>
      </c>
      <c r="C415" s="31" t="s">
        <v>2233</v>
      </c>
      <c r="D415" s="49">
        <v>42902</v>
      </c>
      <c r="E415" s="9">
        <v>10.086428</v>
      </c>
      <c r="F415" s="9">
        <v>49.909314000000002</v>
      </c>
      <c r="G415" s="20" t="s">
        <v>2566</v>
      </c>
      <c r="H415" s="20" t="s">
        <v>2567</v>
      </c>
      <c r="I415" s="20" t="s">
        <v>2668</v>
      </c>
      <c r="K415" s="20" t="s">
        <v>2600</v>
      </c>
      <c r="L415" s="20"/>
      <c r="M415" s="172" t="s">
        <v>2585</v>
      </c>
      <c r="N415" s="20" t="s">
        <v>2713</v>
      </c>
      <c r="O415" s="28">
        <v>3.9300000000000002E-2</v>
      </c>
      <c r="P415" s="28">
        <v>3.6903999999999992E-2</v>
      </c>
      <c r="Q415" s="65">
        <f t="shared" si="22"/>
        <v>2.3960000000000092E-3</v>
      </c>
      <c r="R415" s="28">
        <v>1.9119999999999999</v>
      </c>
      <c r="S415" s="28">
        <v>9.3279999999999994</v>
      </c>
      <c r="T415" s="20">
        <f t="shared" si="23"/>
        <v>17.835135999999999</v>
      </c>
      <c r="W415" s="20" t="s">
        <v>887</v>
      </c>
      <c r="X415" s="20" t="s">
        <v>886</v>
      </c>
      <c r="Y415" s="20" t="s">
        <v>36</v>
      </c>
      <c r="Z415" s="20" t="s">
        <v>36</v>
      </c>
    </row>
    <row r="416" spans="1:26">
      <c r="A416" s="20" t="s">
        <v>898</v>
      </c>
      <c r="B416" s="20" t="s">
        <v>2115</v>
      </c>
      <c r="C416" s="31" t="s">
        <v>2236</v>
      </c>
      <c r="D416" s="49">
        <v>42902</v>
      </c>
      <c r="E416" s="9">
        <v>10.022767</v>
      </c>
      <c r="F416" s="9">
        <v>49.938633000000003</v>
      </c>
      <c r="G416" s="20" t="s">
        <v>2566</v>
      </c>
      <c r="H416" s="20" t="s">
        <v>2567</v>
      </c>
      <c r="I416" s="20" t="s">
        <v>2668</v>
      </c>
      <c r="K416" s="20" t="s">
        <v>2600</v>
      </c>
      <c r="L416" s="20"/>
      <c r="M416" s="172" t="s">
        <v>2585</v>
      </c>
      <c r="N416" s="20" t="s">
        <v>2713</v>
      </c>
      <c r="O416" s="28">
        <v>4.0800000000000003E-2</v>
      </c>
      <c r="P416" s="28">
        <v>3.6903999999999992E-2</v>
      </c>
      <c r="Q416" s="65">
        <f t="shared" si="22"/>
        <v>3.8960000000000106E-3</v>
      </c>
      <c r="R416" s="28">
        <v>2.024</v>
      </c>
      <c r="S416" s="28">
        <v>9.3219999999999992</v>
      </c>
      <c r="T416" s="20">
        <f t="shared" si="23"/>
        <v>18.867728</v>
      </c>
      <c r="W416" s="20" t="s">
        <v>887</v>
      </c>
      <c r="X416" s="20" t="s">
        <v>886</v>
      </c>
      <c r="Y416" s="20" t="s">
        <v>36</v>
      </c>
      <c r="Z416" s="20" t="s">
        <v>36</v>
      </c>
    </row>
    <row r="417" spans="1:26">
      <c r="A417" s="20" t="s">
        <v>896</v>
      </c>
      <c r="B417" s="20" t="s">
        <v>2115</v>
      </c>
      <c r="C417" s="31" t="s">
        <v>2236</v>
      </c>
      <c r="D417" s="49">
        <v>42902</v>
      </c>
      <c r="E417" s="9">
        <v>10.022767</v>
      </c>
      <c r="F417" s="9">
        <v>49.938633000000003</v>
      </c>
      <c r="G417" s="20" t="s">
        <v>2566</v>
      </c>
      <c r="H417" s="20" t="s">
        <v>2567</v>
      </c>
      <c r="I417" s="20" t="s">
        <v>2668</v>
      </c>
      <c r="K417" s="20" t="s">
        <v>2600</v>
      </c>
      <c r="L417" s="20"/>
      <c r="M417" s="172" t="s">
        <v>2585</v>
      </c>
      <c r="N417" s="20" t="s">
        <v>2713</v>
      </c>
      <c r="O417" s="28">
        <v>4.2099999999999999E-2</v>
      </c>
      <c r="P417" s="28">
        <v>3.6903999999999992E-2</v>
      </c>
      <c r="Q417" s="65">
        <f t="shared" si="22"/>
        <v>5.1960000000000062E-3</v>
      </c>
      <c r="R417" s="28">
        <v>2.093</v>
      </c>
      <c r="S417" s="28">
        <v>9.8109999999999999</v>
      </c>
      <c r="T417" s="20">
        <f t="shared" si="23"/>
        <v>20.534423</v>
      </c>
      <c r="W417" s="20" t="s">
        <v>887</v>
      </c>
      <c r="X417" s="20" t="s">
        <v>886</v>
      </c>
      <c r="Y417" s="20" t="s">
        <v>36</v>
      </c>
      <c r="Z417" s="20" t="s">
        <v>36</v>
      </c>
    </row>
    <row r="418" spans="1:26">
      <c r="A418" s="20" t="s">
        <v>895</v>
      </c>
      <c r="B418" s="20" t="s">
        <v>2115</v>
      </c>
      <c r="C418" s="31" t="s">
        <v>2233</v>
      </c>
      <c r="D418" s="49">
        <v>42902</v>
      </c>
      <c r="E418" s="9">
        <v>10.086428</v>
      </c>
      <c r="F418" s="9">
        <v>49.909314000000002</v>
      </c>
      <c r="G418" s="20" t="s">
        <v>2566</v>
      </c>
      <c r="H418" s="20" t="s">
        <v>2567</v>
      </c>
      <c r="I418" s="20" t="s">
        <v>2668</v>
      </c>
      <c r="K418" s="20" t="s">
        <v>2600</v>
      </c>
      <c r="L418" s="20"/>
      <c r="M418" s="172" t="s">
        <v>3588</v>
      </c>
      <c r="N418" s="20" t="s">
        <v>2713</v>
      </c>
      <c r="O418" s="28">
        <v>4.2599999999999999E-2</v>
      </c>
      <c r="P418" s="28">
        <v>3.6903999999999992E-2</v>
      </c>
      <c r="Q418" s="65">
        <f t="shared" ref="Q418:Q481" si="24">O418-P418</f>
        <v>5.6960000000000066E-3</v>
      </c>
      <c r="R418" s="28">
        <v>2.33</v>
      </c>
      <c r="S418" s="28">
        <v>9.0150000000000006</v>
      </c>
      <c r="T418" s="20">
        <f t="shared" si="23"/>
        <v>21.004950000000001</v>
      </c>
      <c r="W418" s="20" t="s">
        <v>887</v>
      </c>
      <c r="X418" s="20" t="s">
        <v>886</v>
      </c>
      <c r="Y418" s="20" t="s">
        <v>36</v>
      </c>
      <c r="Z418" s="20" t="s">
        <v>36</v>
      </c>
    </row>
    <row r="419" spans="1:26">
      <c r="A419" s="20" t="s">
        <v>894</v>
      </c>
      <c r="B419" s="20" t="s">
        <v>2115</v>
      </c>
      <c r="C419" s="31" t="s">
        <v>2228</v>
      </c>
      <c r="D419" s="49">
        <v>42902</v>
      </c>
      <c r="E419" s="9">
        <v>10.050008</v>
      </c>
      <c r="F419" s="9">
        <v>49.941994000000001</v>
      </c>
      <c r="G419" s="20" t="s">
        <v>2566</v>
      </c>
      <c r="H419" s="20" t="s">
        <v>2567</v>
      </c>
      <c r="I419" s="20" t="s">
        <v>2668</v>
      </c>
      <c r="K419" s="20" t="s">
        <v>2600</v>
      </c>
      <c r="L419" s="20"/>
      <c r="M419" s="172" t="s">
        <v>2585</v>
      </c>
      <c r="N419" s="20" t="s">
        <v>2713</v>
      </c>
      <c r="O419" s="28">
        <v>4.0300000000000002E-2</v>
      </c>
      <c r="P419" s="28">
        <v>3.6903999999999992E-2</v>
      </c>
      <c r="Q419" s="65">
        <f t="shared" si="24"/>
        <v>3.3960000000000101E-3</v>
      </c>
      <c r="R419" s="28">
        <v>2.0760000000000001</v>
      </c>
      <c r="S419" s="28">
        <v>9.7029999999999994</v>
      </c>
      <c r="T419" s="20">
        <f t="shared" si="23"/>
        <v>20.143428</v>
      </c>
      <c r="W419" s="20" t="s">
        <v>887</v>
      </c>
      <c r="X419" s="20" t="s">
        <v>886</v>
      </c>
      <c r="Y419" s="20" t="s">
        <v>36</v>
      </c>
      <c r="Z419" s="20" t="s">
        <v>36</v>
      </c>
    </row>
    <row r="420" spans="1:26">
      <c r="A420" s="20" t="s">
        <v>893</v>
      </c>
      <c r="B420" s="20" t="s">
        <v>2115</v>
      </c>
      <c r="C420" s="31" t="s">
        <v>2244</v>
      </c>
      <c r="D420" s="49">
        <v>42902</v>
      </c>
      <c r="E420" s="9">
        <v>10.017931000000001</v>
      </c>
      <c r="F420" s="9">
        <v>49.935696999999998</v>
      </c>
      <c r="G420" s="20" t="s">
        <v>2566</v>
      </c>
      <c r="H420" s="20" t="s">
        <v>2567</v>
      </c>
      <c r="I420" s="20" t="s">
        <v>2668</v>
      </c>
      <c r="K420" s="20" t="s">
        <v>2600</v>
      </c>
      <c r="L420" s="20"/>
      <c r="M420" s="172" t="s">
        <v>2585</v>
      </c>
      <c r="N420" s="20" t="s">
        <v>2713</v>
      </c>
      <c r="O420" s="28">
        <v>0.04</v>
      </c>
      <c r="P420" s="28">
        <v>3.6903999999999992E-2</v>
      </c>
      <c r="Q420" s="65">
        <f t="shared" si="24"/>
        <v>3.0960000000000085E-3</v>
      </c>
      <c r="R420" s="28">
        <v>2.157</v>
      </c>
      <c r="S420" s="28">
        <v>10.381</v>
      </c>
      <c r="T420" s="20">
        <f t="shared" si="23"/>
        <v>22.391817</v>
      </c>
      <c r="W420" s="20" t="s">
        <v>887</v>
      </c>
      <c r="X420" s="20" t="s">
        <v>886</v>
      </c>
      <c r="Y420" s="20" t="s">
        <v>36</v>
      </c>
      <c r="Z420" s="20" t="s">
        <v>36</v>
      </c>
    </row>
    <row r="421" spans="1:26">
      <c r="A421" s="20" t="s">
        <v>888</v>
      </c>
      <c r="B421" s="20" t="s">
        <v>2115</v>
      </c>
      <c r="C421" s="31" t="s">
        <v>2233</v>
      </c>
      <c r="D421" s="49">
        <v>42856</v>
      </c>
      <c r="E421" s="9">
        <v>10.086428</v>
      </c>
      <c r="F421" s="9">
        <v>49.909314000000002</v>
      </c>
      <c r="G421" t="s">
        <v>2625</v>
      </c>
      <c r="H421" t="s">
        <v>2806</v>
      </c>
      <c r="I421" t="s">
        <v>2807</v>
      </c>
      <c r="K421" s="20" t="s">
        <v>2602</v>
      </c>
      <c r="L421" s="20"/>
      <c r="M421" s="172" t="s">
        <v>3589</v>
      </c>
      <c r="N421" s="20" t="s">
        <v>2713</v>
      </c>
      <c r="O421" s="28">
        <v>7.0099999999999996E-2</v>
      </c>
      <c r="P421" s="28">
        <v>3.6903999999999992E-2</v>
      </c>
      <c r="Q421" s="65">
        <f t="shared" si="24"/>
        <v>3.3196000000000003E-2</v>
      </c>
      <c r="R421" s="28">
        <v>4.702</v>
      </c>
      <c r="S421" s="28">
        <f>10.634+10.371</f>
        <v>21.005000000000003</v>
      </c>
      <c r="T421" s="20">
        <f t="shared" si="23"/>
        <v>98.765510000000006</v>
      </c>
      <c r="W421" s="20" t="s">
        <v>887</v>
      </c>
      <c r="X421" s="20" t="s">
        <v>886</v>
      </c>
      <c r="Y421" s="20" t="s">
        <v>36</v>
      </c>
      <c r="Z421" s="20" t="s">
        <v>36</v>
      </c>
    </row>
    <row r="422" spans="1:26">
      <c r="A422" s="20" t="s">
        <v>1523</v>
      </c>
      <c r="B422" s="20" t="s">
        <v>2115</v>
      </c>
      <c r="C422" s="60" t="s">
        <v>2240</v>
      </c>
      <c r="D422" s="49">
        <v>42856</v>
      </c>
      <c r="E422" s="9">
        <v>10.094319</v>
      </c>
      <c r="F422" s="9">
        <v>49.925831000000002</v>
      </c>
      <c r="G422" t="s">
        <v>2625</v>
      </c>
      <c r="H422" t="s">
        <v>2806</v>
      </c>
      <c r="I422" t="s">
        <v>2807</v>
      </c>
      <c r="K422" s="20" t="s">
        <v>2602</v>
      </c>
      <c r="L422" s="20"/>
      <c r="M422" s="172" t="s">
        <v>2823</v>
      </c>
      <c r="N422" s="20" t="s">
        <v>2713</v>
      </c>
      <c r="O422" s="28">
        <v>6.2300000000000001E-2</v>
      </c>
      <c r="P422" s="28">
        <v>3.6903999999999992E-2</v>
      </c>
      <c r="Q422" s="65">
        <f t="shared" si="24"/>
        <v>2.5396000000000009E-2</v>
      </c>
      <c r="R422" s="28">
        <v>3.895</v>
      </c>
      <c r="S422" s="28">
        <f>8.515+8.826</f>
        <v>17.341000000000001</v>
      </c>
      <c r="T422" s="20">
        <f t="shared" si="23"/>
        <v>67.543195000000011</v>
      </c>
      <c r="X422" s="20" t="s">
        <v>886</v>
      </c>
      <c r="Y422" s="20" t="s">
        <v>36</v>
      </c>
      <c r="Z422" s="20" t="s">
        <v>36</v>
      </c>
    </row>
    <row r="423" spans="1:26">
      <c r="A423" s="20" t="s">
        <v>1522</v>
      </c>
      <c r="B423" s="20" t="s">
        <v>2115</v>
      </c>
      <c r="C423" s="31" t="s">
        <v>2231</v>
      </c>
      <c r="D423" s="49">
        <v>42856</v>
      </c>
      <c r="E423" s="9">
        <v>10.113375</v>
      </c>
      <c r="F423" s="9">
        <v>49.850391999999999</v>
      </c>
      <c r="G423" t="s">
        <v>2625</v>
      </c>
      <c r="H423" t="s">
        <v>2806</v>
      </c>
      <c r="I423" t="s">
        <v>2807</v>
      </c>
      <c r="K423" s="20" t="s">
        <v>2602</v>
      </c>
      <c r="L423" s="20"/>
      <c r="M423" s="172" t="s">
        <v>2823</v>
      </c>
      <c r="N423" s="20" t="s">
        <v>2713</v>
      </c>
      <c r="O423" s="28">
        <v>5.9700000000000003E-2</v>
      </c>
      <c r="P423" s="28">
        <v>3.6903999999999992E-2</v>
      </c>
      <c r="Q423" s="65">
        <f t="shared" si="24"/>
        <v>2.2796000000000011E-2</v>
      </c>
      <c r="R423" s="28">
        <v>3.819</v>
      </c>
      <c r="S423" s="28">
        <f>9.081+8.168</f>
        <v>17.248999999999999</v>
      </c>
      <c r="T423" s="20">
        <f t="shared" si="23"/>
        <v>65.873930999999999</v>
      </c>
      <c r="X423" s="20" t="s">
        <v>886</v>
      </c>
      <c r="Y423" s="20" t="s">
        <v>36</v>
      </c>
      <c r="Z423" s="20" t="s">
        <v>36</v>
      </c>
    </row>
    <row r="424" spans="1:26">
      <c r="A424" s="20" t="s">
        <v>1521</v>
      </c>
      <c r="B424" s="20" t="s">
        <v>2115</v>
      </c>
      <c r="C424" s="60" t="s">
        <v>2240</v>
      </c>
      <c r="D424" s="49">
        <v>42856</v>
      </c>
      <c r="E424" s="9">
        <v>10.094319</v>
      </c>
      <c r="F424" s="9">
        <v>49.925831000000002</v>
      </c>
      <c r="G424" t="s">
        <v>2625</v>
      </c>
      <c r="H424" t="s">
        <v>2806</v>
      </c>
      <c r="I424" t="s">
        <v>2807</v>
      </c>
      <c r="K424" s="20" t="s">
        <v>2602</v>
      </c>
      <c r="L424" s="20"/>
      <c r="M424" s="172" t="s">
        <v>2823</v>
      </c>
      <c r="N424" s="20" t="s">
        <v>2713</v>
      </c>
      <c r="O424" s="28">
        <v>5.8500000000000003E-2</v>
      </c>
      <c r="P424" s="28">
        <v>3.6903999999999992E-2</v>
      </c>
      <c r="Q424" s="65">
        <f t="shared" si="24"/>
        <v>2.1596000000000011E-2</v>
      </c>
      <c r="R424" s="28">
        <v>3.5579999999999998</v>
      </c>
      <c r="S424" s="28">
        <v>17.405999999999999</v>
      </c>
      <c r="T424" s="20">
        <f t="shared" si="23"/>
        <v>61.930547999999995</v>
      </c>
      <c r="X424" s="20" t="s">
        <v>886</v>
      </c>
      <c r="Y424" s="20" t="s">
        <v>36</v>
      </c>
      <c r="Z424" s="20" t="s">
        <v>36</v>
      </c>
    </row>
    <row r="425" spans="1:26">
      <c r="A425" s="20" t="s">
        <v>1520</v>
      </c>
      <c r="B425" s="20" t="s">
        <v>2115</v>
      </c>
      <c r="C425" s="60" t="s">
        <v>2240</v>
      </c>
      <c r="D425" s="49">
        <v>42856</v>
      </c>
      <c r="E425" s="9">
        <v>10.094319</v>
      </c>
      <c r="F425" s="9">
        <v>49.925831000000002</v>
      </c>
      <c r="G425" t="s">
        <v>2625</v>
      </c>
      <c r="H425" t="s">
        <v>2806</v>
      </c>
      <c r="I425" t="s">
        <v>2807</v>
      </c>
      <c r="K425" s="20" t="s">
        <v>2602</v>
      </c>
      <c r="L425" s="20"/>
      <c r="M425" s="172" t="s">
        <v>2823</v>
      </c>
      <c r="N425" s="20" t="s">
        <v>2713</v>
      </c>
      <c r="O425" s="28">
        <v>6.2199999999999998E-2</v>
      </c>
      <c r="P425" s="28">
        <v>3.6903999999999992E-2</v>
      </c>
      <c r="Q425" s="65">
        <f t="shared" si="24"/>
        <v>2.5296000000000006E-2</v>
      </c>
      <c r="R425" s="28">
        <v>4.056</v>
      </c>
      <c r="S425" s="28">
        <f>9.53+8.296</f>
        <v>17.826000000000001</v>
      </c>
      <c r="T425" s="20">
        <f t="shared" si="23"/>
        <v>72.302256</v>
      </c>
      <c r="X425" s="20" t="s">
        <v>886</v>
      </c>
      <c r="Y425" s="20" t="s">
        <v>36</v>
      </c>
      <c r="Z425" s="20" t="s">
        <v>36</v>
      </c>
    </row>
    <row r="426" spans="1:26">
      <c r="A426" s="20" t="s">
        <v>1519</v>
      </c>
      <c r="B426" s="20" t="s">
        <v>2115</v>
      </c>
      <c r="C426" s="31" t="s">
        <v>2228</v>
      </c>
      <c r="D426" s="49">
        <v>42856</v>
      </c>
      <c r="E426" s="9">
        <v>10.050008</v>
      </c>
      <c r="F426" s="9">
        <v>49.941994000000001</v>
      </c>
      <c r="G426" t="s">
        <v>2625</v>
      </c>
      <c r="H426" t="s">
        <v>2806</v>
      </c>
      <c r="I426" t="s">
        <v>2807</v>
      </c>
      <c r="K426" s="20" t="s">
        <v>2602</v>
      </c>
      <c r="L426" s="20"/>
      <c r="M426" s="172" t="s">
        <v>3589</v>
      </c>
      <c r="N426" s="20" t="s">
        <v>2713</v>
      </c>
      <c r="O426" s="28">
        <v>7.6200000000000004E-2</v>
      </c>
      <c r="P426" s="28">
        <v>3.6903999999999992E-2</v>
      </c>
      <c r="Q426" s="65">
        <f t="shared" si="24"/>
        <v>3.9296000000000011E-2</v>
      </c>
      <c r="R426" s="28">
        <v>4.6449999999999996</v>
      </c>
      <c r="S426" s="28">
        <v>20.715</v>
      </c>
      <c r="T426" s="20">
        <f t="shared" si="23"/>
        <v>96.221174999999988</v>
      </c>
      <c r="X426" s="20" t="s">
        <v>886</v>
      </c>
      <c r="Y426" s="20" t="s">
        <v>36</v>
      </c>
      <c r="Z426" s="20" t="s">
        <v>36</v>
      </c>
    </row>
    <row r="427" spans="1:26">
      <c r="A427" s="20" t="s">
        <v>1518</v>
      </c>
      <c r="B427" s="20" t="s">
        <v>2115</v>
      </c>
      <c r="C427" s="31" t="s">
        <v>2230</v>
      </c>
      <c r="D427" s="49">
        <v>42856</v>
      </c>
      <c r="E427" s="9">
        <v>10.124091999999999</v>
      </c>
      <c r="F427" s="9">
        <v>49.906236</v>
      </c>
      <c r="G427" t="s">
        <v>2625</v>
      </c>
      <c r="H427" t="s">
        <v>2806</v>
      </c>
      <c r="I427" t="s">
        <v>2807</v>
      </c>
      <c r="K427" s="20" t="s">
        <v>2602</v>
      </c>
      <c r="L427" s="20"/>
      <c r="M427" s="172" t="s">
        <v>2823</v>
      </c>
      <c r="N427" s="20" t="s">
        <v>2713</v>
      </c>
      <c r="O427" s="28">
        <v>5.9700000000000003E-2</v>
      </c>
      <c r="P427" s="28">
        <v>3.6903999999999992E-2</v>
      </c>
      <c r="Q427" s="65">
        <f t="shared" si="24"/>
        <v>2.2796000000000011E-2</v>
      </c>
      <c r="R427" s="28">
        <v>3.7410000000000001</v>
      </c>
      <c r="S427" s="28">
        <f>8.859+8.129</f>
        <v>16.988</v>
      </c>
      <c r="T427" s="20">
        <f t="shared" si="23"/>
        <v>63.552107999999997</v>
      </c>
      <c r="X427" s="20" t="s">
        <v>886</v>
      </c>
      <c r="Y427" s="20" t="s">
        <v>36</v>
      </c>
      <c r="Z427" s="20" t="s">
        <v>36</v>
      </c>
    </row>
    <row r="428" spans="1:26">
      <c r="A428" s="20" t="s">
        <v>1517</v>
      </c>
      <c r="B428" s="20" t="s">
        <v>2115</v>
      </c>
      <c r="C428" s="31" t="s">
        <v>2237</v>
      </c>
      <c r="D428" s="49">
        <v>42872</v>
      </c>
      <c r="E428" s="9">
        <v>10.045693999999999</v>
      </c>
      <c r="F428" s="9">
        <v>49.896189</v>
      </c>
      <c r="G428" t="s">
        <v>2625</v>
      </c>
      <c r="H428" t="s">
        <v>2806</v>
      </c>
      <c r="I428" t="s">
        <v>2807</v>
      </c>
      <c r="K428" s="20" t="s">
        <v>2602</v>
      </c>
      <c r="L428" s="20"/>
      <c r="M428" s="172" t="s">
        <v>3590</v>
      </c>
      <c r="N428" s="20" t="s">
        <v>2713</v>
      </c>
      <c r="O428" s="28">
        <v>8.09E-2</v>
      </c>
      <c r="P428" s="28">
        <v>3.6903999999999992E-2</v>
      </c>
      <c r="Q428" s="65">
        <f t="shared" si="24"/>
        <v>4.3996000000000007E-2</v>
      </c>
      <c r="R428" s="28">
        <v>4.6310000000000002</v>
      </c>
      <c r="S428" s="28">
        <v>20.582999999999998</v>
      </c>
      <c r="T428" s="20">
        <f t="shared" si="23"/>
        <v>95.319873000000001</v>
      </c>
      <c r="X428" s="20" t="s">
        <v>886</v>
      </c>
      <c r="Y428" s="20" t="s">
        <v>36</v>
      </c>
      <c r="Z428" s="20" t="s">
        <v>36</v>
      </c>
    </row>
    <row r="429" spans="1:26">
      <c r="A429" s="20" t="s">
        <v>1516</v>
      </c>
      <c r="B429" s="20" t="s">
        <v>2115</v>
      </c>
      <c r="C429" s="31" t="s">
        <v>2234</v>
      </c>
      <c r="D429" s="49">
        <v>42856</v>
      </c>
      <c r="E429" s="9">
        <v>10.053630999999999</v>
      </c>
      <c r="F429" s="9">
        <v>49.900486000000001</v>
      </c>
      <c r="G429" t="s">
        <v>2625</v>
      </c>
      <c r="H429" t="s">
        <v>2806</v>
      </c>
      <c r="I429" t="s">
        <v>2807</v>
      </c>
      <c r="K429" s="20" t="s">
        <v>2602</v>
      </c>
      <c r="L429" s="20"/>
      <c r="M429" s="172" t="s">
        <v>3589</v>
      </c>
      <c r="N429" s="20" t="s">
        <v>2713</v>
      </c>
      <c r="O429" s="28">
        <v>9.3899999999999997E-2</v>
      </c>
      <c r="P429" s="28">
        <v>3.6903999999999992E-2</v>
      </c>
      <c r="Q429" s="65">
        <f t="shared" si="24"/>
        <v>5.6996000000000005E-2</v>
      </c>
      <c r="R429" s="28">
        <v>4.8090000000000002</v>
      </c>
      <c r="S429" s="28">
        <f>11.636+10.365</f>
        <v>22.000999999999998</v>
      </c>
      <c r="T429" s="20">
        <f t="shared" si="23"/>
        <v>105.802809</v>
      </c>
      <c r="X429" s="20" t="s">
        <v>886</v>
      </c>
      <c r="Y429" s="20" t="s">
        <v>36</v>
      </c>
      <c r="Z429" s="20" t="s">
        <v>36</v>
      </c>
    </row>
    <row r="430" spans="1:26">
      <c r="A430" s="20" t="s">
        <v>1515</v>
      </c>
      <c r="B430" s="20" t="s">
        <v>2115</v>
      </c>
      <c r="C430" s="31" t="s">
        <v>2233</v>
      </c>
      <c r="D430" s="49">
        <v>42856</v>
      </c>
      <c r="E430" s="9">
        <v>10.086428</v>
      </c>
      <c r="F430" s="9">
        <v>49.909314000000002</v>
      </c>
      <c r="G430" t="s">
        <v>2625</v>
      </c>
      <c r="H430" t="s">
        <v>2806</v>
      </c>
      <c r="I430" t="s">
        <v>2807</v>
      </c>
      <c r="K430" s="20" t="s">
        <v>2602</v>
      </c>
      <c r="L430" s="20"/>
      <c r="M430" s="172" t="s">
        <v>2823</v>
      </c>
      <c r="N430" s="20" t="s">
        <v>2713</v>
      </c>
      <c r="O430" s="28">
        <v>5.67E-2</v>
      </c>
      <c r="P430" s="28">
        <v>3.6903999999999992E-2</v>
      </c>
      <c r="Q430" s="65">
        <f t="shared" si="24"/>
        <v>1.9796000000000008E-2</v>
      </c>
      <c r="R430" s="20">
        <v>3.4580000000000002</v>
      </c>
      <c r="S430" s="28">
        <v>16.858000000000001</v>
      </c>
      <c r="T430" s="20">
        <f t="shared" si="23"/>
        <v>58.294964000000007</v>
      </c>
      <c r="X430" s="20" t="s">
        <v>886</v>
      </c>
      <c r="Y430" s="20" t="s">
        <v>36</v>
      </c>
      <c r="Z430" s="20" t="s">
        <v>36</v>
      </c>
    </row>
    <row r="431" spans="1:26">
      <c r="A431" s="20" t="s">
        <v>1514</v>
      </c>
      <c r="B431" s="20" t="s">
        <v>2115</v>
      </c>
      <c r="C431" s="31" t="s">
        <v>2242</v>
      </c>
      <c r="D431" s="49">
        <v>42856</v>
      </c>
      <c r="E431" s="9">
        <v>10.131019</v>
      </c>
      <c r="F431" s="9">
        <v>49.871225000000003</v>
      </c>
      <c r="G431" t="s">
        <v>2625</v>
      </c>
      <c r="H431" t="s">
        <v>2806</v>
      </c>
      <c r="I431" t="s">
        <v>2807</v>
      </c>
      <c r="K431" s="20" t="s">
        <v>2602</v>
      </c>
      <c r="L431" s="20"/>
      <c r="M431" s="172" t="s">
        <v>3591</v>
      </c>
      <c r="N431" s="20" t="s">
        <v>2713</v>
      </c>
      <c r="O431" s="28">
        <v>5.9799999999999999E-2</v>
      </c>
      <c r="P431" s="28">
        <v>3.6903999999999992E-2</v>
      </c>
      <c r="Q431" s="65">
        <f t="shared" si="24"/>
        <v>2.2896000000000007E-2</v>
      </c>
      <c r="R431" s="28">
        <v>4.16</v>
      </c>
      <c r="S431" s="28">
        <v>18.170999999999999</v>
      </c>
      <c r="T431" s="20">
        <f t="shared" si="23"/>
        <v>75.591359999999995</v>
      </c>
      <c r="X431" s="20" t="s">
        <v>886</v>
      </c>
      <c r="Y431" s="20" t="s">
        <v>36</v>
      </c>
      <c r="Z431" s="20" t="s">
        <v>36</v>
      </c>
    </row>
    <row r="432" spans="1:26">
      <c r="A432" s="20" t="s">
        <v>1513</v>
      </c>
      <c r="B432" s="20" t="s">
        <v>2115</v>
      </c>
      <c r="C432" s="31" t="s">
        <v>2228</v>
      </c>
      <c r="D432" s="49">
        <v>42856</v>
      </c>
      <c r="E432" s="9">
        <v>10.050008</v>
      </c>
      <c r="F432" s="9">
        <v>49.941994000000001</v>
      </c>
      <c r="G432" t="s">
        <v>2625</v>
      </c>
      <c r="H432" t="s">
        <v>2806</v>
      </c>
      <c r="I432" t="s">
        <v>2807</v>
      </c>
      <c r="K432" s="20" t="s">
        <v>2602</v>
      </c>
      <c r="L432" s="20"/>
      <c r="M432" s="172" t="s">
        <v>3589</v>
      </c>
      <c r="N432" s="20" t="s">
        <v>2713</v>
      </c>
      <c r="O432" s="28">
        <v>8.09E-2</v>
      </c>
      <c r="P432" s="28">
        <v>3.6903999999999992E-2</v>
      </c>
      <c r="Q432" s="65">
        <f t="shared" si="24"/>
        <v>4.3996000000000007E-2</v>
      </c>
      <c r="R432" s="28">
        <v>5.0449999999999999</v>
      </c>
      <c r="S432" s="28">
        <f>11.054+9.885</f>
        <v>20.939</v>
      </c>
      <c r="T432" s="20">
        <f t="shared" si="23"/>
        <v>105.637255</v>
      </c>
      <c r="X432" s="20" t="s">
        <v>886</v>
      </c>
      <c r="Y432" s="20" t="s">
        <v>36</v>
      </c>
      <c r="Z432" s="20" t="s">
        <v>36</v>
      </c>
    </row>
    <row r="433" spans="1:26">
      <c r="A433" s="20" t="s">
        <v>1512</v>
      </c>
      <c r="B433" s="20" t="s">
        <v>2115</v>
      </c>
      <c r="C433" s="31" t="s">
        <v>2231</v>
      </c>
      <c r="D433" s="49">
        <v>42856</v>
      </c>
      <c r="E433" s="9">
        <v>10.113375</v>
      </c>
      <c r="F433" s="9">
        <v>49.850391999999999</v>
      </c>
      <c r="G433" t="s">
        <v>2625</v>
      </c>
      <c r="H433" t="s">
        <v>2806</v>
      </c>
      <c r="I433" t="s">
        <v>2807</v>
      </c>
      <c r="K433" s="20" t="s">
        <v>2602</v>
      </c>
      <c r="L433" s="20"/>
      <c r="M433" s="172" t="s">
        <v>2823</v>
      </c>
      <c r="N433" s="20" t="s">
        <v>2713</v>
      </c>
      <c r="O433" s="28">
        <v>5.7799999999999997E-2</v>
      </c>
      <c r="P433" s="28">
        <v>3.6903999999999992E-2</v>
      </c>
      <c r="Q433" s="65">
        <f t="shared" si="24"/>
        <v>2.0896000000000005E-2</v>
      </c>
      <c r="R433" s="28">
        <v>3.6269999999999998</v>
      </c>
      <c r="S433" s="28">
        <v>18.091999999999999</v>
      </c>
      <c r="T433" s="20">
        <f t="shared" si="23"/>
        <v>65.619683999999992</v>
      </c>
      <c r="X433" s="20" t="s">
        <v>886</v>
      </c>
      <c r="Y433" s="20" t="s">
        <v>36</v>
      </c>
      <c r="Z433" s="20" t="s">
        <v>36</v>
      </c>
    </row>
    <row r="434" spans="1:26">
      <c r="A434" s="20" t="s">
        <v>1511</v>
      </c>
      <c r="B434" s="20" t="s">
        <v>2115</v>
      </c>
      <c r="C434" s="31" t="s">
        <v>2238</v>
      </c>
      <c r="D434" s="49">
        <v>42856</v>
      </c>
      <c r="E434" s="9">
        <v>10.135947</v>
      </c>
      <c r="F434" s="9">
        <v>49.868039000000003</v>
      </c>
      <c r="G434" t="s">
        <v>2625</v>
      </c>
      <c r="H434" t="s">
        <v>2806</v>
      </c>
      <c r="I434" t="s">
        <v>2807</v>
      </c>
      <c r="K434" s="20" t="s">
        <v>2602</v>
      </c>
      <c r="L434" s="20"/>
      <c r="M434" s="172" t="s">
        <v>2823</v>
      </c>
      <c r="N434" s="20" t="s">
        <v>2713</v>
      </c>
      <c r="O434" s="28">
        <v>6.0400000000000002E-2</v>
      </c>
      <c r="P434" s="28">
        <v>3.6903999999999992E-2</v>
      </c>
      <c r="Q434" s="65">
        <f t="shared" si="24"/>
        <v>2.349600000000001E-2</v>
      </c>
      <c r="R434" s="28">
        <v>3.8359999999999999</v>
      </c>
      <c r="S434" s="28">
        <v>18.042000000000002</v>
      </c>
      <c r="T434" s="20">
        <f t="shared" si="23"/>
        <v>69.209112000000005</v>
      </c>
      <c r="X434" s="20" t="s">
        <v>886</v>
      </c>
      <c r="Y434" s="20" t="s">
        <v>36</v>
      </c>
      <c r="Z434" s="20" t="s">
        <v>36</v>
      </c>
    </row>
    <row r="435" spans="1:26">
      <c r="A435" s="20" t="s">
        <v>1510</v>
      </c>
      <c r="B435" s="20" t="s">
        <v>2115</v>
      </c>
      <c r="C435" s="60" t="s">
        <v>2240</v>
      </c>
      <c r="D435" s="49">
        <v>42856</v>
      </c>
      <c r="E435" s="9">
        <v>10.094319</v>
      </c>
      <c r="F435" s="9">
        <v>49.925831000000002</v>
      </c>
      <c r="G435" t="s">
        <v>2625</v>
      </c>
      <c r="H435" t="s">
        <v>2806</v>
      </c>
      <c r="I435" t="s">
        <v>2807</v>
      </c>
      <c r="K435" s="20" t="s">
        <v>2602</v>
      </c>
      <c r="L435" s="20"/>
      <c r="M435" s="172" t="s">
        <v>3589</v>
      </c>
      <c r="N435" s="20" t="s">
        <v>2713</v>
      </c>
      <c r="O435" s="28">
        <v>7.3899999999999993E-2</v>
      </c>
      <c r="P435" s="28">
        <v>3.6903999999999992E-2</v>
      </c>
      <c r="Q435" s="65">
        <f t="shared" si="24"/>
        <v>3.6996000000000001E-2</v>
      </c>
      <c r="R435" s="28">
        <v>4.5869999999999997</v>
      </c>
      <c r="S435" s="28">
        <v>20.788</v>
      </c>
      <c r="T435" s="20">
        <f t="shared" si="23"/>
        <v>95.354556000000002</v>
      </c>
      <c r="X435" s="20" t="s">
        <v>886</v>
      </c>
      <c r="Y435" s="20" t="s">
        <v>36</v>
      </c>
      <c r="Z435" s="20" t="s">
        <v>36</v>
      </c>
    </row>
    <row r="436" spans="1:26">
      <c r="A436" s="20" t="s">
        <v>1509</v>
      </c>
      <c r="B436" s="20" t="s">
        <v>2115</v>
      </c>
      <c r="C436" s="31" t="s">
        <v>2236</v>
      </c>
      <c r="D436" s="49">
        <v>42888</v>
      </c>
      <c r="E436" s="9">
        <v>10.022767</v>
      </c>
      <c r="F436" s="9">
        <v>49.938633000000003</v>
      </c>
      <c r="G436" t="s">
        <v>2625</v>
      </c>
      <c r="H436" t="s">
        <v>2806</v>
      </c>
      <c r="I436" t="s">
        <v>2807</v>
      </c>
      <c r="K436" s="20" t="s">
        <v>2602</v>
      </c>
      <c r="L436" s="20"/>
      <c r="M436" s="172" t="s">
        <v>3590</v>
      </c>
      <c r="N436" s="20" t="s">
        <v>2713</v>
      </c>
      <c r="O436" s="28">
        <v>6.93E-2</v>
      </c>
      <c r="P436" s="28">
        <v>3.6903999999999992E-2</v>
      </c>
      <c r="Q436" s="65">
        <f t="shared" si="24"/>
        <v>3.2396000000000008E-2</v>
      </c>
      <c r="R436" s="28">
        <v>4.3959999999999999</v>
      </c>
      <c r="S436" s="28">
        <v>20.963000000000001</v>
      </c>
      <c r="T436" s="20">
        <f t="shared" si="23"/>
        <v>92.153348000000008</v>
      </c>
      <c r="X436" s="20" t="s">
        <v>886</v>
      </c>
      <c r="Y436" s="20" t="s">
        <v>36</v>
      </c>
      <c r="Z436" s="20" t="s">
        <v>36</v>
      </c>
    </row>
    <row r="437" spans="1:26">
      <c r="A437" s="20" t="s">
        <v>1508</v>
      </c>
      <c r="B437" s="20" t="s">
        <v>2115</v>
      </c>
      <c r="C437" s="31" t="s">
        <v>2227</v>
      </c>
      <c r="D437" s="49">
        <v>42902</v>
      </c>
      <c r="E437" s="9">
        <v>10.040881000000001</v>
      </c>
      <c r="F437" s="9">
        <v>49.937356000000001</v>
      </c>
      <c r="G437" t="s">
        <v>2625</v>
      </c>
      <c r="H437" t="s">
        <v>2806</v>
      </c>
      <c r="I437" t="s">
        <v>2807</v>
      </c>
      <c r="K437" s="20" t="s">
        <v>2602</v>
      </c>
      <c r="L437" s="20"/>
      <c r="M437" s="172" t="s">
        <v>2823</v>
      </c>
      <c r="N437" s="20" t="s">
        <v>2713</v>
      </c>
      <c r="O437" s="28">
        <v>5.62E-2</v>
      </c>
      <c r="P437" s="28">
        <v>3.6903999999999992E-2</v>
      </c>
      <c r="Q437" s="65">
        <f t="shared" si="24"/>
        <v>1.9296000000000008E-2</v>
      </c>
      <c r="R437" s="28">
        <v>3.645</v>
      </c>
      <c r="S437" s="28">
        <f>7.993+8.931</f>
        <v>16.923999999999999</v>
      </c>
      <c r="T437" s="20">
        <f t="shared" si="23"/>
        <v>61.687979999999996</v>
      </c>
      <c r="X437" s="20" t="s">
        <v>886</v>
      </c>
      <c r="Y437" s="20" t="s">
        <v>36</v>
      </c>
      <c r="Z437" s="20" t="s">
        <v>36</v>
      </c>
    </row>
    <row r="438" spans="1:26">
      <c r="A438" s="20" t="s">
        <v>1507</v>
      </c>
      <c r="B438" s="20" t="s">
        <v>2115</v>
      </c>
      <c r="C438" s="31" t="s">
        <v>2238</v>
      </c>
      <c r="D438" s="49">
        <v>42856</v>
      </c>
      <c r="E438" s="9">
        <v>10.135947</v>
      </c>
      <c r="F438" s="9">
        <v>49.868039000000003</v>
      </c>
      <c r="G438" t="s">
        <v>2625</v>
      </c>
      <c r="H438" t="s">
        <v>2806</v>
      </c>
      <c r="I438" t="s">
        <v>2807</v>
      </c>
      <c r="K438" s="20" t="s">
        <v>2602</v>
      </c>
      <c r="L438" s="20"/>
      <c r="M438" s="172" t="s">
        <v>2823</v>
      </c>
      <c r="N438" s="20" t="s">
        <v>2713</v>
      </c>
      <c r="O438" s="28">
        <v>5.6000000000000001E-2</v>
      </c>
      <c r="P438" s="28">
        <v>3.6903999999999992E-2</v>
      </c>
      <c r="Q438" s="65">
        <f t="shared" si="24"/>
        <v>1.9096000000000009E-2</v>
      </c>
      <c r="R438" s="28">
        <v>3.7010000000000001</v>
      </c>
      <c r="S438" s="28">
        <f>9.118+7.495</f>
        <v>16.613</v>
      </c>
      <c r="T438" s="20">
        <f t="shared" si="23"/>
        <v>61.484712999999999</v>
      </c>
      <c r="X438" s="20" t="s">
        <v>886</v>
      </c>
      <c r="Y438" s="20" t="s">
        <v>36</v>
      </c>
      <c r="Z438" s="20" t="s">
        <v>36</v>
      </c>
    </row>
    <row r="439" spans="1:26">
      <c r="A439" s="20" t="s">
        <v>1506</v>
      </c>
      <c r="B439" s="20" t="s">
        <v>2115</v>
      </c>
      <c r="C439" s="60" t="s">
        <v>2240</v>
      </c>
      <c r="D439" s="49">
        <v>42856</v>
      </c>
      <c r="E439" s="9">
        <v>10.094319</v>
      </c>
      <c r="F439" s="9">
        <v>49.925831000000002</v>
      </c>
      <c r="G439" t="s">
        <v>2625</v>
      </c>
      <c r="H439" t="s">
        <v>2806</v>
      </c>
      <c r="I439" t="s">
        <v>2807</v>
      </c>
      <c r="K439" s="20" t="s">
        <v>2602</v>
      </c>
      <c r="L439" s="20"/>
      <c r="M439" s="172" t="s">
        <v>2823</v>
      </c>
      <c r="N439" s="20" t="s">
        <v>2713</v>
      </c>
      <c r="O439" s="28">
        <v>6.0900000000000003E-2</v>
      </c>
      <c r="P439" s="28">
        <v>3.6903999999999992E-2</v>
      </c>
      <c r="Q439" s="65">
        <f t="shared" si="24"/>
        <v>2.399600000000001E-2</v>
      </c>
      <c r="R439" s="28">
        <v>3.83</v>
      </c>
      <c r="S439" s="28">
        <f>8.616+7.812</f>
        <v>16.428000000000001</v>
      </c>
      <c r="T439" s="20">
        <f t="shared" si="23"/>
        <v>62.919240000000002</v>
      </c>
      <c r="X439" s="20" t="s">
        <v>886</v>
      </c>
      <c r="Y439" s="20" t="s">
        <v>36</v>
      </c>
      <c r="Z439" s="20" t="s">
        <v>36</v>
      </c>
    </row>
    <row r="440" spans="1:26">
      <c r="A440" s="20" t="s">
        <v>1505</v>
      </c>
      <c r="B440" s="20" t="s">
        <v>2115</v>
      </c>
      <c r="C440" s="31" t="s">
        <v>2231</v>
      </c>
      <c r="D440" s="49">
        <v>42856</v>
      </c>
      <c r="E440" s="9">
        <v>10.113375</v>
      </c>
      <c r="F440" s="9">
        <v>49.850391999999999</v>
      </c>
      <c r="G440" t="s">
        <v>2625</v>
      </c>
      <c r="H440" t="s">
        <v>2806</v>
      </c>
      <c r="I440" t="s">
        <v>2807</v>
      </c>
      <c r="K440" s="20" t="s">
        <v>2602</v>
      </c>
      <c r="L440" s="20"/>
      <c r="M440" s="172" t="s">
        <v>3589</v>
      </c>
      <c r="N440" s="20" t="s">
        <v>2713</v>
      </c>
      <c r="O440" s="28">
        <v>7.2400000000000006E-2</v>
      </c>
      <c r="P440" s="28">
        <v>3.6903999999999992E-2</v>
      </c>
      <c r="Q440" s="65">
        <f t="shared" si="24"/>
        <v>3.5496000000000014E-2</v>
      </c>
      <c r="R440" s="28">
        <v>4.3280000000000003</v>
      </c>
      <c r="S440" s="28">
        <v>21.109000000000002</v>
      </c>
      <c r="T440" s="20">
        <f t="shared" ref="T440:T503" si="25">R440*S440</f>
        <v>91.359752000000015</v>
      </c>
      <c r="X440" s="20" t="s">
        <v>886</v>
      </c>
      <c r="Y440" s="20" t="s">
        <v>36</v>
      </c>
      <c r="Z440" s="20" t="s">
        <v>36</v>
      </c>
    </row>
    <row r="441" spans="1:26">
      <c r="A441" s="20" t="s">
        <v>1504</v>
      </c>
      <c r="B441" s="20" t="s">
        <v>2115</v>
      </c>
      <c r="C441" s="31" t="s">
        <v>2242</v>
      </c>
      <c r="D441" s="49">
        <v>42856</v>
      </c>
      <c r="E441" s="9">
        <v>10.131019</v>
      </c>
      <c r="F441" s="9">
        <v>49.871225000000003</v>
      </c>
      <c r="G441" t="s">
        <v>2625</v>
      </c>
      <c r="H441" t="s">
        <v>2806</v>
      </c>
      <c r="I441" t="s">
        <v>2807</v>
      </c>
      <c r="K441" s="20" t="s">
        <v>2602</v>
      </c>
      <c r="L441" s="20"/>
      <c r="M441" s="172" t="s">
        <v>2823</v>
      </c>
      <c r="N441" s="20" t="s">
        <v>2713</v>
      </c>
      <c r="O441" s="28">
        <v>5.8900000000000001E-2</v>
      </c>
      <c r="P441" s="28">
        <v>3.6903999999999992E-2</v>
      </c>
      <c r="Q441" s="65">
        <f t="shared" si="24"/>
        <v>2.1996000000000009E-2</v>
      </c>
      <c r="R441" s="28">
        <v>3.331</v>
      </c>
      <c r="S441" s="28">
        <f>7.558+8.847</f>
        <v>16.405000000000001</v>
      </c>
      <c r="T441" s="20">
        <f t="shared" si="25"/>
        <v>54.645055000000006</v>
      </c>
      <c r="X441" s="20" t="s">
        <v>886</v>
      </c>
      <c r="Y441" s="20" t="s">
        <v>36</v>
      </c>
      <c r="Z441" s="20" t="s">
        <v>36</v>
      </c>
    </row>
    <row r="442" spans="1:26">
      <c r="A442" s="20" t="s">
        <v>1503</v>
      </c>
      <c r="B442" s="20" t="s">
        <v>2115</v>
      </c>
      <c r="C442" s="31" t="s">
        <v>2238</v>
      </c>
      <c r="D442" s="49">
        <v>42856</v>
      </c>
      <c r="E442" s="9">
        <v>10.135947</v>
      </c>
      <c r="F442" s="9">
        <v>49.868039000000003</v>
      </c>
      <c r="G442" t="s">
        <v>2625</v>
      </c>
      <c r="H442" t="s">
        <v>2806</v>
      </c>
      <c r="I442" t="s">
        <v>2807</v>
      </c>
      <c r="K442" s="20" t="s">
        <v>2602</v>
      </c>
      <c r="L442" s="20"/>
      <c r="M442" s="172" t="s">
        <v>3589</v>
      </c>
      <c r="N442" s="20" t="s">
        <v>2713</v>
      </c>
      <c r="O442" s="28">
        <v>7.5499999999999998E-2</v>
      </c>
      <c r="P442" s="28">
        <v>3.6903999999999992E-2</v>
      </c>
      <c r="Q442" s="65">
        <f t="shared" si="24"/>
        <v>3.8596000000000005E-2</v>
      </c>
      <c r="R442" s="28">
        <v>4.4039999999999999</v>
      </c>
      <c r="S442" s="28">
        <v>21.094999999999999</v>
      </c>
      <c r="T442" s="20">
        <f t="shared" si="25"/>
        <v>92.902379999999994</v>
      </c>
      <c r="X442" s="20" t="s">
        <v>886</v>
      </c>
      <c r="Y442" s="20" t="s">
        <v>36</v>
      </c>
      <c r="Z442" s="20" t="s">
        <v>36</v>
      </c>
    </row>
    <row r="443" spans="1:26">
      <c r="A443" s="20" t="s">
        <v>1502</v>
      </c>
      <c r="B443" s="20" t="s">
        <v>2115</v>
      </c>
      <c r="C443" s="31" t="s">
        <v>2229</v>
      </c>
      <c r="D443" s="49">
        <v>42888</v>
      </c>
      <c r="E443" s="9">
        <v>10.057994000000001</v>
      </c>
      <c r="F443" s="9">
        <v>49.937230999999997</v>
      </c>
      <c r="G443" t="s">
        <v>2625</v>
      </c>
      <c r="H443" t="s">
        <v>2806</v>
      </c>
      <c r="I443" t="s">
        <v>2807</v>
      </c>
      <c r="K443" s="20" t="s">
        <v>2602</v>
      </c>
      <c r="L443" s="20"/>
      <c r="M443" s="172" t="s">
        <v>2823</v>
      </c>
      <c r="N443" s="20" t="s">
        <v>2713</v>
      </c>
      <c r="O443" s="28">
        <v>6.0900000000000003E-2</v>
      </c>
      <c r="P443" s="28">
        <v>3.6903999999999992E-2</v>
      </c>
      <c r="Q443" s="65">
        <f t="shared" si="24"/>
        <v>2.399600000000001E-2</v>
      </c>
      <c r="R443" s="28">
        <v>3.9180000000000001</v>
      </c>
      <c r="S443" s="28">
        <f>8.189+11.166</f>
        <v>19.355</v>
      </c>
      <c r="T443" s="20">
        <f t="shared" si="25"/>
        <v>75.832890000000006</v>
      </c>
      <c r="X443" s="20" t="s">
        <v>886</v>
      </c>
      <c r="Y443" s="20" t="s">
        <v>36</v>
      </c>
      <c r="Z443" s="20" t="s">
        <v>36</v>
      </c>
    </row>
    <row r="444" spans="1:26">
      <c r="A444" s="20" t="s">
        <v>1501</v>
      </c>
      <c r="B444" s="20" t="s">
        <v>2115</v>
      </c>
      <c r="C444" s="31" t="s">
        <v>2231</v>
      </c>
      <c r="D444" s="49">
        <v>42888</v>
      </c>
      <c r="E444" s="9">
        <v>10.113375</v>
      </c>
      <c r="F444" s="9">
        <v>49.850391999999999</v>
      </c>
      <c r="G444" t="s">
        <v>2625</v>
      </c>
      <c r="H444" t="s">
        <v>2806</v>
      </c>
      <c r="I444" t="s">
        <v>2807</v>
      </c>
      <c r="K444" s="20" t="s">
        <v>2602</v>
      </c>
      <c r="L444" s="20"/>
      <c r="M444" s="172" t="s">
        <v>3590</v>
      </c>
      <c r="N444" s="20" t="s">
        <v>2713</v>
      </c>
      <c r="O444" s="28">
        <v>6.7299999999999999E-2</v>
      </c>
      <c r="P444" s="28">
        <v>3.6903999999999992E-2</v>
      </c>
      <c r="Q444" s="65">
        <f t="shared" si="24"/>
        <v>3.0396000000000006E-2</v>
      </c>
      <c r="R444" s="28">
        <v>4.1849999999999996</v>
      </c>
      <c r="S444" s="28">
        <v>21.837</v>
      </c>
      <c r="T444" s="20">
        <f t="shared" si="25"/>
        <v>91.387844999999984</v>
      </c>
      <c r="X444" s="20" t="s">
        <v>886</v>
      </c>
      <c r="Y444" s="20" t="s">
        <v>36</v>
      </c>
      <c r="Z444" s="20" t="s">
        <v>36</v>
      </c>
    </row>
    <row r="445" spans="1:26">
      <c r="A445" s="20" t="s">
        <v>1500</v>
      </c>
      <c r="B445" s="20" t="s">
        <v>2115</v>
      </c>
      <c r="C445" s="31" t="s">
        <v>2244</v>
      </c>
      <c r="D445" s="49">
        <v>42856</v>
      </c>
      <c r="E445" s="9">
        <v>10.017931000000001</v>
      </c>
      <c r="F445" s="9">
        <v>49.935696999999998</v>
      </c>
      <c r="G445" t="s">
        <v>2625</v>
      </c>
      <c r="H445" t="s">
        <v>2806</v>
      </c>
      <c r="I445" t="s">
        <v>2807</v>
      </c>
      <c r="K445" s="20" t="s">
        <v>2602</v>
      </c>
      <c r="L445" s="20"/>
      <c r="M445" s="172" t="s">
        <v>3592</v>
      </c>
      <c r="N445" s="20" t="s">
        <v>2713</v>
      </c>
      <c r="O445" s="28">
        <v>6.9800000000000001E-2</v>
      </c>
      <c r="P445" s="28">
        <v>3.6903999999999992E-2</v>
      </c>
      <c r="Q445" s="65">
        <f t="shared" si="24"/>
        <v>3.2896000000000009E-2</v>
      </c>
      <c r="R445" s="28">
        <v>4.6429999999999998</v>
      </c>
      <c r="S445" s="28">
        <f>9.97+9.289</f>
        <v>19.259</v>
      </c>
      <c r="T445" s="20">
        <f t="shared" si="25"/>
        <v>89.419536999999991</v>
      </c>
      <c r="X445" s="20" t="s">
        <v>886</v>
      </c>
      <c r="Y445" s="20" t="s">
        <v>36</v>
      </c>
      <c r="Z445" s="20" t="s">
        <v>36</v>
      </c>
    </row>
    <row r="446" spans="1:26">
      <c r="A446" s="20" t="s">
        <v>1499</v>
      </c>
      <c r="B446" s="20" t="s">
        <v>2115</v>
      </c>
      <c r="C446" s="31" t="s">
        <v>2228</v>
      </c>
      <c r="D446" s="49">
        <v>42856</v>
      </c>
      <c r="E446" s="9">
        <v>10.050008</v>
      </c>
      <c r="F446" s="9">
        <v>49.941994000000001</v>
      </c>
      <c r="G446" t="s">
        <v>2625</v>
      </c>
      <c r="H446" t="s">
        <v>2806</v>
      </c>
      <c r="I446" t="s">
        <v>2807</v>
      </c>
      <c r="K446" s="20" t="s">
        <v>2602</v>
      </c>
      <c r="L446" s="20"/>
      <c r="M446" s="172" t="s">
        <v>3589</v>
      </c>
      <c r="N446" s="20" t="s">
        <v>2713</v>
      </c>
      <c r="O446" s="28">
        <v>8.5300000000000001E-2</v>
      </c>
      <c r="P446" s="28">
        <v>3.6903999999999992E-2</v>
      </c>
      <c r="Q446" s="65">
        <f t="shared" si="24"/>
        <v>4.8396000000000008E-2</v>
      </c>
      <c r="R446" s="28">
        <v>4.79</v>
      </c>
      <c r="S446" s="28">
        <v>21.885000000000002</v>
      </c>
      <c r="T446" s="20">
        <f t="shared" si="25"/>
        <v>104.82915000000001</v>
      </c>
      <c r="X446" s="20" t="s">
        <v>886</v>
      </c>
      <c r="Y446" s="20" t="s">
        <v>36</v>
      </c>
      <c r="Z446" s="20" t="s">
        <v>36</v>
      </c>
    </row>
    <row r="447" spans="1:26">
      <c r="A447" s="20" t="s">
        <v>1498</v>
      </c>
      <c r="B447" s="20" t="s">
        <v>2115</v>
      </c>
      <c r="C447" s="31" t="s">
        <v>2230</v>
      </c>
      <c r="D447" s="49">
        <v>42856</v>
      </c>
      <c r="E447" s="9">
        <v>10.124091999999999</v>
      </c>
      <c r="F447" s="9">
        <v>49.906236</v>
      </c>
      <c r="G447" t="s">
        <v>2625</v>
      </c>
      <c r="H447" t="s">
        <v>2806</v>
      </c>
      <c r="I447" t="s">
        <v>2807</v>
      </c>
      <c r="K447" s="20" t="s">
        <v>2602</v>
      </c>
      <c r="L447" s="20"/>
      <c r="M447" s="172" t="s">
        <v>3589</v>
      </c>
      <c r="N447" s="20" t="s">
        <v>2713</v>
      </c>
      <c r="O447" s="28">
        <v>6.9599999999999995E-2</v>
      </c>
      <c r="P447" s="28">
        <v>3.6903999999999992E-2</v>
      </c>
      <c r="Q447" s="65">
        <f t="shared" si="24"/>
        <v>3.2696000000000003E-2</v>
      </c>
      <c r="R447" s="28">
        <v>4.43</v>
      </c>
      <c r="S447" s="28">
        <f>9.609+9.598</f>
        <v>19.207000000000001</v>
      </c>
      <c r="T447" s="20">
        <f t="shared" si="25"/>
        <v>85.087009999999992</v>
      </c>
      <c r="X447" s="20" t="s">
        <v>886</v>
      </c>
      <c r="Y447" s="20" t="s">
        <v>36</v>
      </c>
      <c r="Z447" s="20" t="s">
        <v>36</v>
      </c>
    </row>
    <row r="448" spans="1:26">
      <c r="A448" s="20" t="s">
        <v>1497</v>
      </c>
      <c r="B448" s="20" t="s">
        <v>2115</v>
      </c>
      <c r="C448" s="31" t="s">
        <v>2230</v>
      </c>
      <c r="D448" s="49">
        <v>42856</v>
      </c>
      <c r="E448" s="9">
        <v>10.124091999999999</v>
      </c>
      <c r="F448" s="9">
        <v>49.906236</v>
      </c>
      <c r="G448" t="s">
        <v>2625</v>
      </c>
      <c r="H448" t="s">
        <v>2806</v>
      </c>
      <c r="I448" t="s">
        <v>2807</v>
      </c>
      <c r="K448" s="20" t="s">
        <v>2602</v>
      </c>
      <c r="L448" s="20"/>
      <c r="M448" s="172" t="s">
        <v>2823</v>
      </c>
      <c r="N448" s="20" t="s">
        <v>2713</v>
      </c>
      <c r="O448" s="28">
        <v>6.1100000000000002E-2</v>
      </c>
      <c r="P448" s="28">
        <v>3.6903999999999992E-2</v>
      </c>
      <c r="Q448" s="65">
        <f t="shared" si="24"/>
        <v>2.4196000000000009E-2</v>
      </c>
      <c r="R448" s="28">
        <v>3.6779999999999999</v>
      </c>
      <c r="S448" s="28">
        <v>17.82</v>
      </c>
      <c r="T448" s="20">
        <f t="shared" si="25"/>
        <v>65.541960000000003</v>
      </c>
      <c r="X448" s="20" t="s">
        <v>886</v>
      </c>
      <c r="Y448" s="20" t="s">
        <v>36</v>
      </c>
      <c r="Z448" s="20" t="s">
        <v>36</v>
      </c>
    </row>
    <row r="449" spans="1:26">
      <c r="A449" s="20" t="s">
        <v>1496</v>
      </c>
      <c r="B449" s="20" t="s">
        <v>2115</v>
      </c>
      <c r="C449" s="60" t="s">
        <v>2240</v>
      </c>
      <c r="D449" s="49">
        <v>42856</v>
      </c>
      <c r="E449" s="9">
        <v>10.094319</v>
      </c>
      <c r="F449" s="9">
        <v>49.925831000000002</v>
      </c>
      <c r="G449" t="s">
        <v>2625</v>
      </c>
      <c r="H449" t="s">
        <v>2806</v>
      </c>
      <c r="I449" t="s">
        <v>2807</v>
      </c>
      <c r="K449" s="20" t="s">
        <v>2602</v>
      </c>
      <c r="L449" s="20"/>
      <c r="M449" s="172" t="s">
        <v>2823</v>
      </c>
      <c r="N449" s="20" t="s">
        <v>2713</v>
      </c>
      <c r="O449" s="28">
        <v>5.5899999999999998E-2</v>
      </c>
      <c r="P449" s="28">
        <v>3.6903999999999992E-2</v>
      </c>
      <c r="Q449" s="65">
        <f t="shared" si="24"/>
        <v>1.8996000000000006E-2</v>
      </c>
      <c r="R449" s="28">
        <v>3.581</v>
      </c>
      <c r="S449" s="28">
        <v>16.594000000000001</v>
      </c>
      <c r="T449" s="20">
        <f t="shared" si="25"/>
        <v>59.423114000000005</v>
      </c>
      <c r="X449" s="20" t="s">
        <v>886</v>
      </c>
      <c r="Y449" s="20" t="s">
        <v>36</v>
      </c>
      <c r="Z449" s="20" t="s">
        <v>36</v>
      </c>
    </row>
    <row r="450" spans="1:26">
      <c r="A450" s="20" t="s">
        <v>1495</v>
      </c>
      <c r="B450" s="20" t="s">
        <v>2115</v>
      </c>
      <c r="C450" s="31" t="s">
        <v>2238</v>
      </c>
      <c r="D450" s="49">
        <v>42856</v>
      </c>
      <c r="E450" s="9">
        <v>10.135947</v>
      </c>
      <c r="F450" s="9">
        <v>49.868039000000003</v>
      </c>
      <c r="G450" t="s">
        <v>2625</v>
      </c>
      <c r="H450" t="s">
        <v>2806</v>
      </c>
      <c r="I450" t="s">
        <v>2807</v>
      </c>
      <c r="K450" s="20" t="s">
        <v>2602</v>
      </c>
      <c r="L450" s="20"/>
      <c r="M450" s="172" t="s">
        <v>2823</v>
      </c>
      <c r="N450" s="20" t="s">
        <v>2713</v>
      </c>
      <c r="O450" s="28">
        <v>6.3899999999999998E-2</v>
      </c>
      <c r="P450" s="28">
        <v>3.6903999999999992E-2</v>
      </c>
      <c r="Q450" s="65">
        <f t="shared" si="24"/>
        <v>2.6996000000000006E-2</v>
      </c>
      <c r="R450" s="28">
        <v>3.851</v>
      </c>
      <c r="S450" s="28">
        <f>8.819+9.005</f>
        <v>17.824000000000002</v>
      </c>
      <c r="T450" s="20">
        <f t="shared" si="25"/>
        <v>68.640224000000003</v>
      </c>
      <c r="X450" s="20" t="s">
        <v>886</v>
      </c>
      <c r="Y450" s="20" t="s">
        <v>36</v>
      </c>
      <c r="Z450" s="20" t="s">
        <v>36</v>
      </c>
    </row>
    <row r="451" spans="1:26">
      <c r="A451" s="20" t="s">
        <v>1494</v>
      </c>
      <c r="B451" s="20" t="s">
        <v>2115</v>
      </c>
      <c r="C451" s="60" t="s">
        <v>2240</v>
      </c>
      <c r="D451" s="49">
        <v>42856</v>
      </c>
      <c r="E451" s="9">
        <v>10.094319</v>
      </c>
      <c r="F451" s="9">
        <v>49.925831000000002</v>
      </c>
      <c r="G451" t="s">
        <v>2625</v>
      </c>
      <c r="H451" t="s">
        <v>2806</v>
      </c>
      <c r="I451" t="s">
        <v>2807</v>
      </c>
      <c r="K451" s="20" t="s">
        <v>2602</v>
      </c>
      <c r="L451" s="20"/>
      <c r="M451" s="172" t="s">
        <v>2823</v>
      </c>
      <c r="N451" s="20" t="s">
        <v>2713</v>
      </c>
      <c r="O451" s="28">
        <v>5.6899999999999999E-2</v>
      </c>
      <c r="P451" s="28">
        <v>3.6903999999999992E-2</v>
      </c>
      <c r="Q451" s="65">
        <f t="shared" si="24"/>
        <v>1.9996000000000007E-2</v>
      </c>
      <c r="R451" s="28">
        <v>3.6019999999999999</v>
      </c>
      <c r="S451" s="28">
        <v>17.215</v>
      </c>
      <c r="T451" s="20">
        <f t="shared" si="25"/>
        <v>62.008429999999997</v>
      </c>
      <c r="X451" s="20" t="s">
        <v>886</v>
      </c>
      <c r="Y451" s="20" t="s">
        <v>36</v>
      </c>
      <c r="Z451" s="20" t="s">
        <v>36</v>
      </c>
    </row>
    <row r="452" spans="1:26">
      <c r="A452" s="20" t="s">
        <v>1493</v>
      </c>
      <c r="B452" s="20" t="s">
        <v>2115</v>
      </c>
      <c r="C452" s="60" t="s">
        <v>2240</v>
      </c>
      <c r="D452" s="49">
        <v>42856</v>
      </c>
      <c r="E452" s="9">
        <v>10.094319</v>
      </c>
      <c r="F452" s="9">
        <v>49.925831000000002</v>
      </c>
      <c r="G452" t="s">
        <v>2625</v>
      </c>
      <c r="H452" t="s">
        <v>2806</v>
      </c>
      <c r="I452" t="s">
        <v>2807</v>
      </c>
      <c r="K452" s="20" t="s">
        <v>2602</v>
      </c>
      <c r="L452" s="20"/>
      <c r="M452" s="172" t="s">
        <v>3591</v>
      </c>
      <c r="N452" s="20" t="s">
        <v>2713</v>
      </c>
      <c r="O452" s="28">
        <v>7.3200000000000001E-2</v>
      </c>
      <c r="P452" s="28">
        <v>3.6903999999999992E-2</v>
      </c>
      <c r="Q452" s="65">
        <f t="shared" si="24"/>
        <v>3.6296000000000009E-2</v>
      </c>
      <c r="R452" s="28">
        <v>4.0880000000000001</v>
      </c>
      <c r="S452" s="28">
        <f>10.401+8.402</f>
        <v>18.802999999999997</v>
      </c>
      <c r="T452" s="20">
        <f t="shared" si="25"/>
        <v>76.866663999999986</v>
      </c>
      <c r="X452" s="20" t="s">
        <v>886</v>
      </c>
      <c r="Y452" s="20" t="s">
        <v>36</v>
      </c>
      <c r="Z452" s="20" t="s">
        <v>36</v>
      </c>
    </row>
    <row r="453" spans="1:26">
      <c r="A453" s="20" t="s">
        <v>1492</v>
      </c>
      <c r="B453" s="20" t="s">
        <v>2115</v>
      </c>
      <c r="C453" s="31" t="s">
        <v>2230</v>
      </c>
      <c r="D453" s="49">
        <v>42856</v>
      </c>
      <c r="E453" s="9">
        <v>10.124091999999999</v>
      </c>
      <c r="F453" s="9">
        <v>49.906236</v>
      </c>
      <c r="G453" t="s">
        <v>2625</v>
      </c>
      <c r="H453" t="s">
        <v>2806</v>
      </c>
      <c r="I453" t="s">
        <v>2807</v>
      </c>
      <c r="K453" s="20" t="s">
        <v>2602</v>
      </c>
      <c r="L453" s="20"/>
      <c r="M453" s="172" t="s">
        <v>3593</v>
      </c>
      <c r="N453" s="20" t="s">
        <v>2713</v>
      </c>
      <c r="O453" s="28">
        <v>7.1999999999999995E-2</v>
      </c>
      <c r="P453" s="28">
        <v>3.6903999999999992E-2</v>
      </c>
      <c r="Q453" s="65">
        <f t="shared" si="24"/>
        <v>3.5096000000000002E-2</v>
      </c>
      <c r="R453" s="28">
        <v>4.4020000000000001</v>
      </c>
      <c r="S453" s="28">
        <f>10.516+12.339</f>
        <v>22.855</v>
      </c>
      <c r="T453" s="20">
        <f t="shared" si="25"/>
        <v>100.60771000000001</v>
      </c>
      <c r="X453" s="20" t="s">
        <v>886</v>
      </c>
      <c r="Y453" s="20" t="s">
        <v>36</v>
      </c>
      <c r="Z453" s="20" t="s">
        <v>36</v>
      </c>
    </row>
    <row r="454" spans="1:26">
      <c r="A454" s="20" t="s">
        <v>1491</v>
      </c>
      <c r="B454" s="20" t="s">
        <v>2115</v>
      </c>
      <c r="C454" s="31" t="s">
        <v>2242</v>
      </c>
      <c r="D454" s="49">
        <v>42888</v>
      </c>
      <c r="E454" s="9">
        <v>10.131019</v>
      </c>
      <c r="F454" s="9">
        <v>49.871225000000003</v>
      </c>
      <c r="G454" t="s">
        <v>2625</v>
      </c>
      <c r="H454" t="s">
        <v>2806</v>
      </c>
      <c r="I454" t="s">
        <v>2807</v>
      </c>
      <c r="K454" s="20" t="s">
        <v>2602</v>
      </c>
      <c r="L454" s="20"/>
      <c r="M454" s="172" t="s">
        <v>3594</v>
      </c>
      <c r="N454" s="20" t="s">
        <v>2713</v>
      </c>
      <c r="O454" s="28">
        <v>6.0199999999999997E-2</v>
      </c>
      <c r="P454" s="28">
        <v>3.6903999999999992E-2</v>
      </c>
      <c r="Q454" s="65">
        <f t="shared" si="24"/>
        <v>2.3296000000000004E-2</v>
      </c>
      <c r="R454" s="28">
        <v>4.0659999999999998</v>
      </c>
      <c r="S454" s="28">
        <f>7.777+9.203</f>
        <v>16.98</v>
      </c>
      <c r="T454" s="20">
        <f t="shared" si="25"/>
        <v>69.040679999999995</v>
      </c>
      <c r="X454" s="20" t="s">
        <v>886</v>
      </c>
      <c r="Y454" s="20" t="s">
        <v>36</v>
      </c>
      <c r="Z454" s="20" t="s">
        <v>36</v>
      </c>
    </row>
    <row r="455" spans="1:26">
      <c r="A455" s="20" t="s">
        <v>1490</v>
      </c>
      <c r="B455" s="20" t="s">
        <v>2115</v>
      </c>
      <c r="C455" s="31" t="s">
        <v>2236</v>
      </c>
      <c r="D455" s="49">
        <v>42888</v>
      </c>
      <c r="E455" s="9">
        <v>10.022767</v>
      </c>
      <c r="F455" s="9">
        <v>49.938633000000003</v>
      </c>
      <c r="G455" t="s">
        <v>2625</v>
      </c>
      <c r="H455" t="s">
        <v>2806</v>
      </c>
      <c r="I455" t="s">
        <v>2807</v>
      </c>
      <c r="K455" s="20" t="s">
        <v>2602</v>
      </c>
      <c r="L455" s="20"/>
      <c r="M455" s="172" t="s">
        <v>3590</v>
      </c>
      <c r="N455" s="20" t="s">
        <v>2713</v>
      </c>
      <c r="O455" s="28">
        <v>7.7700000000000005E-2</v>
      </c>
      <c r="P455" s="28">
        <v>3.6903999999999992E-2</v>
      </c>
      <c r="Q455" s="65">
        <f t="shared" si="24"/>
        <v>4.0796000000000013E-2</v>
      </c>
      <c r="R455" s="28">
        <v>4.4580000000000002</v>
      </c>
      <c r="S455" s="28">
        <v>20.355</v>
      </c>
      <c r="T455" s="20">
        <f t="shared" si="25"/>
        <v>90.742590000000007</v>
      </c>
      <c r="X455" s="20" t="s">
        <v>886</v>
      </c>
      <c r="Y455" s="20" t="s">
        <v>36</v>
      </c>
      <c r="Z455" s="20" t="s">
        <v>36</v>
      </c>
    </row>
    <row r="456" spans="1:26">
      <c r="A456" s="20" t="s">
        <v>1489</v>
      </c>
      <c r="B456" s="20" t="s">
        <v>2115</v>
      </c>
      <c r="C456" s="60" t="s">
        <v>2240</v>
      </c>
      <c r="D456" s="49">
        <v>42856</v>
      </c>
      <c r="E456" s="9">
        <v>10.094319</v>
      </c>
      <c r="F456" s="9">
        <v>49.925831000000002</v>
      </c>
      <c r="G456" t="s">
        <v>2625</v>
      </c>
      <c r="H456" t="s">
        <v>2806</v>
      </c>
      <c r="I456" t="s">
        <v>2807</v>
      </c>
      <c r="K456" s="20" t="s">
        <v>2602</v>
      </c>
      <c r="L456" s="20"/>
      <c r="M456" s="172" t="s">
        <v>2823</v>
      </c>
      <c r="N456" s="20" t="s">
        <v>2713</v>
      </c>
      <c r="O456" s="28">
        <v>5.6800000000000003E-2</v>
      </c>
      <c r="P456" s="28">
        <v>3.6903999999999992E-2</v>
      </c>
      <c r="Q456" s="65">
        <f t="shared" si="24"/>
        <v>1.9896000000000011E-2</v>
      </c>
      <c r="R456" s="28">
        <v>3.722</v>
      </c>
      <c r="S456" s="28">
        <v>17.091000000000001</v>
      </c>
      <c r="T456" s="20">
        <f t="shared" si="25"/>
        <v>63.612702000000006</v>
      </c>
      <c r="X456" s="20" t="s">
        <v>886</v>
      </c>
      <c r="Y456" s="20" t="s">
        <v>36</v>
      </c>
      <c r="Z456" s="20" t="s">
        <v>36</v>
      </c>
    </row>
    <row r="457" spans="1:26">
      <c r="A457" s="20" t="s">
        <v>1488</v>
      </c>
      <c r="B457" s="20" t="s">
        <v>2115</v>
      </c>
      <c r="C457" s="31" t="s">
        <v>2233</v>
      </c>
      <c r="D457" s="49">
        <v>42856</v>
      </c>
      <c r="E457" s="9">
        <v>10.086428</v>
      </c>
      <c r="F457" s="9">
        <v>49.909314000000002</v>
      </c>
      <c r="G457" t="s">
        <v>2625</v>
      </c>
      <c r="H457" t="s">
        <v>2806</v>
      </c>
      <c r="I457" t="s">
        <v>2807</v>
      </c>
      <c r="K457" s="20" t="s">
        <v>2602</v>
      </c>
      <c r="L457" s="20"/>
      <c r="M457" s="172" t="s">
        <v>3593</v>
      </c>
      <c r="N457" s="20" t="s">
        <v>2713</v>
      </c>
      <c r="O457" s="28">
        <v>7.9600000000000004E-2</v>
      </c>
      <c r="P457" s="28">
        <v>3.6903999999999992E-2</v>
      </c>
      <c r="Q457" s="65">
        <f t="shared" si="24"/>
        <v>4.2696000000000012E-2</v>
      </c>
      <c r="R457" s="28">
        <v>4.6769999999999996</v>
      </c>
      <c r="S457" s="28">
        <f>10.477+12.887</f>
        <v>23.364000000000001</v>
      </c>
      <c r="T457" s="20">
        <f t="shared" si="25"/>
        <v>109.273428</v>
      </c>
      <c r="X457" s="20" t="s">
        <v>886</v>
      </c>
      <c r="Y457" s="20" t="s">
        <v>36</v>
      </c>
      <c r="Z457" s="20" t="s">
        <v>36</v>
      </c>
    </row>
    <row r="458" spans="1:26">
      <c r="A458" s="20" t="s">
        <v>1487</v>
      </c>
      <c r="B458" s="20" t="s">
        <v>2115</v>
      </c>
      <c r="C458" s="31" t="s">
        <v>2230</v>
      </c>
      <c r="D458" s="49">
        <v>42856</v>
      </c>
      <c r="E458" s="9">
        <v>10.124091999999999</v>
      </c>
      <c r="F458" s="9">
        <v>49.906236</v>
      </c>
      <c r="G458" t="s">
        <v>2625</v>
      </c>
      <c r="H458" t="s">
        <v>2806</v>
      </c>
      <c r="I458" t="s">
        <v>2807</v>
      </c>
      <c r="K458" s="20" t="s">
        <v>2602</v>
      </c>
      <c r="L458" s="20"/>
      <c r="M458" s="172" t="s">
        <v>3589</v>
      </c>
      <c r="N458" s="20" t="s">
        <v>2713</v>
      </c>
      <c r="O458" s="28">
        <v>6.6900000000000001E-2</v>
      </c>
      <c r="P458" s="28">
        <v>3.6903999999999992E-2</v>
      </c>
      <c r="Q458" s="65">
        <f t="shared" si="24"/>
        <v>2.9996000000000009E-2</v>
      </c>
      <c r="R458" s="28">
        <v>4.7190000000000003</v>
      </c>
      <c r="S458" s="28">
        <v>20.41</v>
      </c>
      <c r="T458" s="20">
        <f t="shared" si="25"/>
        <v>96.314790000000002</v>
      </c>
      <c r="X458" s="20" t="s">
        <v>886</v>
      </c>
      <c r="Y458" s="20" t="s">
        <v>36</v>
      </c>
      <c r="Z458" s="20" t="s">
        <v>36</v>
      </c>
    </row>
    <row r="459" spans="1:26">
      <c r="A459" s="20" t="s">
        <v>1486</v>
      </c>
      <c r="B459" s="20" t="s">
        <v>2115</v>
      </c>
      <c r="C459" s="31" t="s">
        <v>2230</v>
      </c>
      <c r="D459" s="49">
        <v>42856</v>
      </c>
      <c r="E459" s="9">
        <v>10.124091999999999</v>
      </c>
      <c r="F459" s="9">
        <v>49.906236</v>
      </c>
      <c r="G459" t="s">
        <v>2625</v>
      </c>
      <c r="H459" t="s">
        <v>2806</v>
      </c>
      <c r="I459" t="s">
        <v>2807</v>
      </c>
      <c r="K459" s="20" t="s">
        <v>2602</v>
      </c>
      <c r="L459" s="20"/>
      <c r="M459" s="172" t="s">
        <v>2823</v>
      </c>
      <c r="N459" s="20" t="s">
        <v>2713</v>
      </c>
      <c r="O459" s="28">
        <v>7.1900000000000006E-2</v>
      </c>
      <c r="P459" s="28">
        <v>3.6903999999999992E-2</v>
      </c>
      <c r="Q459" s="65">
        <f t="shared" si="24"/>
        <v>3.4996000000000013E-2</v>
      </c>
      <c r="R459" s="28">
        <v>3.8559999999999999</v>
      </c>
      <c r="S459" s="28">
        <v>17.82</v>
      </c>
      <c r="T459" s="20">
        <f t="shared" si="25"/>
        <v>68.713920000000002</v>
      </c>
      <c r="X459" s="20" t="s">
        <v>886</v>
      </c>
      <c r="Y459" s="20" t="s">
        <v>36</v>
      </c>
      <c r="Z459" s="20" t="s">
        <v>36</v>
      </c>
    </row>
    <row r="460" spans="1:26">
      <c r="A460" s="20" t="s">
        <v>1485</v>
      </c>
      <c r="B460" s="20" t="s">
        <v>2115</v>
      </c>
      <c r="C460" s="60" t="s">
        <v>2240</v>
      </c>
      <c r="D460" s="49">
        <v>42856</v>
      </c>
      <c r="E460" s="9">
        <v>10.094319</v>
      </c>
      <c r="F460" s="9">
        <v>49.925831000000002</v>
      </c>
      <c r="G460" t="s">
        <v>2625</v>
      </c>
      <c r="H460" t="s">
        <v>2806</v>
      </c>
      <c r="I460" t="s">
        <v>2807</v>
      </c>
      <c r="K460" s="20" t="s">
        <v>2602</v>
      </c>
      <c r="L460" s="20"/>
      <c r="M460" s="172" t="s">
        <v>3594</v>
      </c>
      <c r="N460" s="20" t="s">
        <v>2713</v>
      </c>
      <c r="O460" s="28">
        <v>5.7099999999999998E-2</v>
      </c>
      <c r="P460" s="28">
        <v>3.6903999999999992E-2</v>
      </c>
      <c r="Q460" s="65">
        <f t="shared" si="24"/>
        <v>2.0196000000000006E-2</v>
      </c>
      <c r="R460" s="28">
        <v>4.0839999999999996</v>
      </c>
      <c r="S460" s="28">
        <f>9.172+7.892</f>
        <v>17.064</v>
      </c>
      <c r="T460" s="20">
        <f t="shared" si="25"/>
        <v>69.689375999999996</v>
      </c>
      <c r="X460" s="20" t="s">
        <v>886</v>
      </c>
      <c r="Y460" s="20" t="s">
        <v>36</v>
      </c>
      <c r="Z460" s="20" t="s">
        <v>36</v>
      </c>
    </row>
    <row r="461" spans="1:26">
      <c r="A461" s="20" t="s">
        <v>1484</v>
      </c>
      <c r="B461" s="20" t="s">
        <v>2115</v>
      </c>
      <c r="C461" s="31" t="s">
        <v>2233</v>
      </c>
      <c r="D461" s="49">
        <v>42888</v>
      </c>
      <c r="E461" s="9">
        <v>10.086428</v>
      </c>
      <c r="F461" s="9">
        <v>49.909314000000002</v>
      </c>
      <c r="G461" t="s">
        <v>2625</v>
      </c>
      <c r="H461" t="s">
        <v>2806</v>
      </c>
      <c r="I461" t="s">
        <v>2807</v>
      </c>
      <c r="K461" s="20" t="s">
        <v>2602</v>
      </c>
      <c r="L461" s="20"/>
      <c r="M461" s="172" t="s">
        <v>3590</v>
      </c>
      <c r="N461" s="20" t="s">
        <v>2713</v>
      </c>
      <c r="O461" s="28">
        <v>7.7499999999999999E-2</v>
      </c>
      <c r="P461" s="28">
        <v>3.6903999999999992E-2</v>
      </c>
      <c r="Q461" s="65">
        <f t="shared" si="24"/>
        <v>4.0596000000000007E-2</v>
      </c>
      <c r="R461" s="28">
        <v>4.4169999999999998</v>
      </c>
      <c r="S461" s="28">
        <v>22.536000000000001</v>
      </c>
      <c r="T461" s="20">
        <f t="shared" si="25"/>
        <v>99.541511999999997</v>
      </c>
      <c r="X461" s="20" t="s">
        <v>886</v>
      </c>
      <c r="Y461" s="20" t="s">
        <v>36</v>
      </c>
      <c r="Z461" s="20" t="s">
        <v>36</v>
      </c>
    </row>
    <row r="462" spans="1:26">
      <c r="A462" s="20" t="s">
        <v>1483</v>
      </c>
      <c r="B462" s="20" t="s">
        <v>2115</v>
      </c>
      <c r="C462" s="31" t="s">
        <v>2242</v>
      </c>
      <c r="D462" s="49">
        <v>42856</v>
      </c>
      <c r="E462" s="9">
        <v>10.131019</v>
      </c>
      <c r="F462" s="9">
        <v>49.871225000000003</v>
      </c>
      <c r="G462" t="s">
        <v>2625</v>
      </c>
      <c r="H462" t="s">
        <v>2806</v>
      </c>
      <c r="I462" t="s">
        <v>2807</v>
      </c>
      <c r="K462" s="20" t="s">
        <v>2602</v>
      </c>
      <c r="L462" s="20"/>
      <c r="M462" s="172" t="s">
        <v>3591</v>
      </c>
      <c r="N462" s="20" t="s">
        <v>2713</v>
      </c>
      <c r="O462" s="28">
        <v>6.7500000000000004E-2</v>
      </c>
      <c r="P462" s="28">
        <v>3.6903999999999992E-2</v>
      </c>
      <c r="Q462" s="65">
        <f t="shared" si="24"/>
        <v>3.0596000000000012E-2</v>
      </c>
      <c r="R462" s="28">
        <v>4.359</v>
      </c>
      <c r="S462" s="28">
        <v>19.841000000000001</v>
      </c>
      <c r="T462" s="20">
        <f t="shared" si="25"/>
        <v>86.486919</v>
      </c>
      <c r="X462" s="20" t="s">
        <v>886</v>
      </c>
      <c r="Y462" s="20" t="s">
        <v>36</v>
      </c>
      <c r="Z462" s="20" t="s">
        <v>36</v>
      </c>
    </row>
    <row r="463" spans="1:26">
      <c r="A463" s="20" t="s">
        <v>1482</v>
      </c>
      <c r="B463" s="20" t="s">
        <v>2115</v>
      </c>
      <c r="C463" s="31" t="s">
        <v>2231</v>
      </c>
      <c r="D463" s="49">
        <v>42856</v>
      </c>
      <c r="E463" s="9">
        <v>10.113375</v>
      </c>
      <c r="F463" s="9">
        <v>49.850391999999999</v>
      </c>
      <c r="G463" t="s">
        <v>2625</v>
      </c>
      <c r="H463" t="s">
        <v>2806</v>
      </c>
      <c r="I463" t="s">
        <v>2807</v>
      </c>
      <c r="K463" s="20" t="s">
        <v>2602</v>
      </c>
      <c r="L463" s="20"/>
      <c r="M463" s="172" t="s">
        <v>2823</v>
      </c>
      <c r="N463" s="20" t="s">
        <v>2713</v>
      </c>
      <c r="O463" s="28">
        <v>6.2799999999999995E-2</v>
      </c>
      <c r="P463" s="28">
        <v>3.6903999999999992E-2</v>
      </c>
      <c r="Q463" s="65">
        <f t="shared" si="24"/>
        <v>2.5896000000000002E-2</v>
      </c>
      <c r="R463" s="28">
        <v>3.8279999999999998</v>
      </c>
      <c r="S463" s="28">
        <f>8.044+9.347</f>
        <v>17.390999999999998</v>
      </c>
      <c r="T463" s="20">
        <f t="shared" si="25"/>
        <v>66.57274799999999</v>
      </c>
      <c r="X463" s="20" t="s">
        <v>886</v>
      </c>
      <c r="Y463" s="20" t="s">
        <v>36</v>
      </c>
      <c r="Z463" s="20" t="s">
        <v>36</v>
      </c>
    </row>
    <row r="464" spans="1:26">
      <c r="A464" s="20" t="s">
        <v>1481</v>
      </c>
      <c r="B464" s="20" t="s">
        <v>2115</v>
      </c>
      <c r="C464" s="31" t="s">
        <v>2228</v>
      </c>
      <c r="D464" s="49">
        <v>42888</v>
      </c>
      <c r="E464" s="9">
        <v>10.050008</v>
      </c>
      <c r="F464" s="9">
        <v>49.941994000000001</v>
      </c>
      <c r="G464" t="s">
        <v>2625</v>
      </c>
      <c r="H464" t="s">
        <v>2806</v>
      </c>
      <c r="I464" t="s">
        <v>2807</v>
      </c>
      <c r="K464" s="20" t="s">
        <v>2602</v>
      </c>
      <c r="L464" s="20"/>
      <c r="M464" s="172" t="s">
        <v>3591</v>
      </c>
      <c r="N464" s="20" t="s">
        <v>2713</v>
      </c>
      <c r="O464" s="28">
        <v>6.54E-2</v>
      </c>
      <c r="P464" s="28">
        <v>3.6903999999999992E-2</v>
      </c>
      <c r="Q464" s="65">
        <f t="shared" si="24"/>
        <v>2.8496000000000007E-2</v>
      </c>
      <c r="R464" s="28">
        <v>3.9910000000000001</v>
      </c>
      <c r="S464" s="28">
        <f>9.605+9.248</f>
        <v>18.853000000000002</v>
      </c>
      <c r="T464" s="20">
        <f t="shared" si="25"/>
        <v>75.242323000000013</v>
      </c>
      <c r="X464" s="20" t="s">
        <v>886</v>
      </c>
      <c r="Y464" s="20" t="s">
        <v>36</v>
      </c>
      <c r="Z464" s="20" t="s">
        <v>36</v>
      </c>
    </row>
    <row r="465" spans="1:26">
      <c r="A465" s="20" t="s">
        <v>1480</v>
      </c>
      <c r="B465" s="20" t="s">
        <v>2115</v>
      </c>
      <c r="C465" s="31" t="s">
        <v>2231</v>
      </c>
      <c r="D465" s="49">
        <v>42888</v>
      </c>
      <c r="E465" s="9">
        <v>10.113375</v>
      </c>
      <c r="F465" s="9">
        <v>49.850391999999999</v>
      </c>
      <c r="G465" t="s">
        <v>2625</v>
      </c>
      <c r="H465" t="s">
        <v>2806</v>
      </c>
      <c r="I465" t="s">
        <v>2807</v>
      </c>
      <c r="K465" s="20" t="s">
        <v>2602</v>
      </c>
      <c r="L465" s="20"/>
      <c r="M465" s="172" t="s">
        <v>3590</v>
      </c>
      <c r="N465" s="20" t="s">
        <v>2713</v>
      </c>
      <c r="O465" s="28">
        <v>7.9299999999999995E-2</v>
      </c>
      <c r="P465" s="28">
        <v>3.6903999999999992E-2</v>
      </c>
      <c r="Q465" s="65">
        <f t="shared" si="24"/>
        <v>4.2396000000000003E-2</v>
      </c>
      <c r="R465" s="28">
        <v>4.33</v>
      </c>
      <c r="S465" s="28">
        <f>9.668+11.574</f>
        <v>21.241999999999997</v>
      </c>
      <c r="T465" s="20">
        <f t="shared" si="25"/>
        <v>91.977859999999993</v>
      </c>
      <c r="X465" s="20" t="s">
        <v>886</v>
      </c>
      <c r="Y465" s="20" t="s">
        <v>36</v>
      </c>
      <c r="Z465" s="20" t="s">
        <v>36</v>
      </c>
    </row>
    <row r="466" spans="1:26">
      <c r="A466" s="20" t="s">
        <v>1479</v>
      </c>
      <c r="B466" s="20" t="s">
        <v>2115</v>
      </c>
      <c r="C466" s="31" t="s">
        <v>2231</v>
      </c>
      <c r="D466" s="49">
        <v>42856</v>
      </c>
      <c r="E466" s="9">
        <v>10.113375</v>
      </c>
      <c r="F466" s="9">
        <v>49.850391999999999</v>
      </c>
      <c r="G466" t="s">
        <v>2625</v>
      </c>
      <c r="H466" t="s">
        <v>2806</v>
      </c>
      <c r="I466" t="s">
        <v>2807</v>
      </c>
      <c r="K466" s="20" t="s">
        <v>2602</v>
      </c>
      <c r="L466" s="20"/>
      <c r="M466" s="172" t="s">
        <v>2823</v>
      </c>
      <c r="N466" s="20" t="s">
        <v>2712</v>
      </c>
      <c r="O466" s="28">
        <v>4.6800000000000001E-2</v>
      </c>
      <c r="P466" s="28">
        <v>3.6903999999999992E-2</v>
      </c>
      <c r="Q466" s="65">
        <f t="shared" si="24"/>
        <v>9.896000000000009E-3</v>
      </c>
      <c r="R466" s="28">
        <v>2.851</v>
      </c>
      <c r="S466" s="28">
        <f>6.441+8.448</f>
        <v>14.888999999999999</v>
      </c>
      <c r="T466" s="20">
        <f t="shared" si="25"/>
        <v>42.448538999999997</v>
      </c>
      <c r="X466" s="20" t="s">
        <v>886</v>
      </c>
      <c r="Y466" s="20" t="s">
        <v>36</v>
      </c>
      <c r="Z466" s="20" t="s">
        <v>36</v>
      </c>
    </row>
    <row r="467" spans="1:26">
      <c r="A467" s="20" t="s">
        <v>1478</v>
      </c>
      <c r="B467" s="20" t="s">
        <v>2115</v>
      </c>
      <c r="C467" s="31" t="s">
        <v>2227</v>
      </c>
      <c r="D467" s="49">
        <v>42856</v>
      </c>
      <c r="E467" s="9">
        <v>10.040881000000001</v>
      </c>
      <c r="F467" s="9">
        <v>49.937356000000001</v>
      </c>
      <c r="G467" t="s">
        <v>2625</v>
      </c>
      <c r="H467" t="s">
        <v>2806</v>
      </c>
      <c r="I467" t="s">
        <v>2807</v>
      </c>
      <c r="K467" s="20" t="s">
        <v>2602</v>
      </c>
      <c r="L467" s="20"/>
      <c r="M467" s="172" t="s">
        <v>2823</v>
      </c>
      <c r="N467" s="20" t="s">
        <v>2712</v>
      </c>
      <c r="O467" s="28">
        <v>5.33E-2</v>
      </c>
      <c r="P467" s="28">
        <v>3.6903999999999992E-2</v>
      </c>
      <c r="Q467" s="65">
        <f t="shared" si="24"/>
        <v>1.6396000000000008E-2</v>
      </c>
      <c r="R467" s="28">
        <v>3.0750000000000002</v>
      </c>
      <c r="S467" s="28">
        <v>15.385</v>
      </c>
      <c r="T467" s="20">
        <f t="shared" si="25"/>
        <v>47.308875</v>
      </c>
      <c r="X467" s="20" t="s">
        <v>886</v>
      </c>
      <c r="Y467" s="20" t="s">
        <v>36</v>
      </c>
      <c r="Z467" s="20" t="s">
        <v>36</v>
      </c>
    </row>
    <row r="468" spans="1:26">
      <c r="A468" s="20" t="s">
        <v>1477</v>
      </c>
      <c r="B468" s="20" t="s">
        <v>2115</v>
      </c>
      <c r="C468" s="31" t="s">
        <v>2231</v>
      </c>
      <c r="D468" s="49">
        <v>42856</v>
      </c>
      <c r="E468" s="9">
        <v>10.113375</v>
      </c>
      <c r="F468" s="9">
        <v>49.850391999999999</v>
      </c>
      <c r="G468" t="s">
        <v>2625</v>
      </c>
      <c r="H468" t="s">
        <v>2806</v>
      </c>
      <c r="I468" t="s">
        <v>2807</v>
      </c>
      <c r="K468" s="20" t="s">
        <v>2602</v>
      </c>
      <c r="L468" s="20"/>
      <c r="M468" s="172" t="s">
        <v>2823</v>
      </c>
      <c r="N468" s="20" t="s">
        <v>2713</v>
      </c>
      <c r="O468" s="28">
        <v>5.6099999999999997E-2</v>
      </c>
      <c r="P468" s="28">
        <v>3.6903999999999992E-2</v>
      </c>
      <c r="Q468" s="65">
        <f t="shared" si="24"/>
        <v>1.9196000000000005E-2</v>
      </c>
      <c r="R468" s="28">
        <v>3.3940000000000001</v>
      </c>
      <c r="S468" s="28">
        <v>16.693000000000001</v>
      </c>
      <c r="T468" s="20">
        <f t="shared" si="25"/>
        <v>56.656042000000006</v>
      </c>
      <c r="X468" s="20" t="s">
        <v>886</v>
      </c>
      <c r="Y468" s="20" t="s">
        <v>36</v>
      </c>
      <c r="Z468" s="20" t="s">
        <v>36</v>
      </c>
    </row>
    <row r="469" spans="1:26">
      <c r="A469" s="20" t="s">
        <v>1476</v>
      </c>
      <c r="B469" s="20" t="s">
        <v>2115</v>
      </c>
      <c r="C469" s="31" t="s">
        <v>2228</v>
      </c>
      <c r="D469" s="49">
        <v>42888</v>
      </c>
      <c r="E469" s="9">
        <v>10.050008</v>
      </c>
      <c r="F469" s="9">
        <v>49.941994000000001</v>
      </c>
      <c r="G469" t="s">
        <v>2625</v>
      </c>
      <c r="H469" t="s">
        <v>2806</v>
      </c>
      <c r="I469" t="s">
        <v>2807</v>
      </c>
      <c r="K469" s="20" t="s">
        <v>2602</v>
      </c>
      <c r="L469" s="20"/>
      <c r="M469" s="172" t="s">
        <v>3595</v>
      </c>
      <c r="N469" s="20" t="s">
        <v>2713</v>
      </c>
      <c r="O469" s="28">
        <v>5.0099999999999999E-2</v>
      </c>
      <c r="P469" s="28">
        <v>3.6903999999999992E-2</v>
      </c>
      <c r="Q469" s="65">
        <f t="shared" si="24"/>
        <v>1.3196000000000006E-2</v>
      </c>
      <c r="R469" s="28">
        <v>3.2909999999999999</v>
      </c>
      <c r="S469" s="28">
        <f>8.127+6.623</f>
        <v>14.75</v>
      </c>
      <c r="T469" s="20">
        <f t="shared" si="25"/>
        <v>48.542249999999996</v>
      </c>
      <c r="X469" s="20" t="s">
        <v>886</v>
      </c>
      <c r="Y469" s="20" t="s">
        <v>36</v>
      </c>
      <c r="Z469" s="20" t="s">
        <v>36</v>
      </c>
    </row>
    <row r="470" spans="1:26">
      <c r="A470" s="20" t="s">
        <v>1475</v>
      </c>
      <c r="B470" s="20" t="s">
        <v>2115</v>
      </c>
      <c r="C470" s="31" t="s">
        <v>2231</v>
      </c>
      <c r="D470" s="49">
        <v>42856</v>
      </c>
      <c r="E470" s="9">
        <v>10.113375</v>
      </c>
      <c r="F470" s="9">
        <v>49.850391999999999</v>
      </c>
      <c r="G470" t="s">
        <v>2625</v>
      </c>
      <c r="H470" t="s">
        <v>2806</v>
      </c>
      <c r="I470" t="s">
        <v>2807</v>
      </c>
      <c r="K470" s="20" t="s">
        <v>2602</v>
      </c>
      <c r="L470" s="20"/>
      <c r="M470" s="172" t="s">
        <v>2823</v>
      </c>
      <c r="N470" s="20" t="s">
        <v>2712</v>
      </c>
      <c r="O470" s="28">
        <v>4.7100000000000003E-2</v>
      </c>
      <c r="P470" s="28">
        <v>3.6903999999999992E-2</v>
      </c>
      <c r="Q470" s="65">
        <f t="shared" si="24"/>
        <v>1.0196000000000011E-2</v>
      </c>
      <c r="R470" s="28">
        <v>3.2530000000000001</v>
      </c>
      <c r="S470" s="28">
        <v>14.976000000000001</v>
      </c>
      <c r="T470" s="20">
        <f t="shared" si="25"/>
        <v>48.716928000000003</v>
      </c>
      <c r="X470" s="20" t="s">
        <v>886</v>
      </c>
      <c r="Y470" s="20" t="s">
        <v>36</v>
      </c>
      <c r="Z470" s="20" t="s">
        <v>36</v>
      </c>
    </row>
    <row r="471" spans="1:26">
      <c r="A471" s="20" t="s">
        <v>1474</v>
      </c>
      <c r="B471" s="20" t="s">
        <v>2115</v>
      </c>
      <c r="C471" s="60" t="s">
        <v>2240</v>
      </c>
      <c r="D471" s="49">
        <v>42856</v>
      </c>
      <c r="E471" s="9">
        <v>10.094319</v>
      </c>
      <c r="F471" s="9">
        <v>49.925831000000002</v>
      </c>
      <c r="G471" t="s">
        <v>2625</v>
      </c>
      <c r="H471" t="s">
        <v>2806</v>
      </c>
      <c r="I471" t="s">
        <v>2807</v>
      </c>
      <c r="K471" s="20" t="s">
        <v>2602</v>
      </c>
      <c r="L471" s="20"/>
      <c r="M471" s="172" t="s">
        <v>3593</v>
      </c>
      <c r="N471" s="20" t="s">
        <v>2713</v>
      </c>
      <c r="O471" s="28">
        <v>7.5899999999999995E-2</v>
      </c>
      <c r="P471" s="28">
        <v>3.6903999999999992E-2</v>
      </c>
      <c r="Q471" s="65">
        <f t="shared" si="24"/>
        <v>3.8996000000000003E-2</v>
      </c>
      <c r="R471" s="28">
        <v>4.6239999999999997</v>
      </c>
      <c r="S471" s="28">
        <v>21.105</v>
      </c>
      <c r="T471" s="20">
        <f t="shared" si="25"/>
        <v>97.589519999999993</v>
      </c>
      <c r="X471" s="20" t="s">
        <v>886</v>
      </c>
      <c r="Y471" s="20" t="s">
        <v>36</v>
      </c>
      <c r="Z471" s="20" t="s">
        <v>36</v>
      </c>
    </row>
    <row r="472" spans="1:26">
      <c r="A472" s="20" t="s">
        <v>1473</v>
      </c>
      <c r="B472" s="20" t="s">
        <v>2115</v>
      </c>
      <c r="C472" s="31" t="s">
        <v>2233</v>
      </c>
      <c r="D472" s="49">
        <v>42856</v>
      </c>
      <c r="E472" s="9">
        <v>10.086428</v>
      </c>
      <c r="F472" s="9">
        <v>49.909314000000002</v>
      </c>
      <c r="G472" t="s">
        <v>2625</v>
      </c>
      <c r="H472" t="s">
        <v>2806</v>
      </c>
      <c r="I472" t="s">
        <v>2807</v>
      </c>
      <c r="K472" s="20" t="s">
        <v>2602</v>
      </c>
      <c r="L472" s="20"/>
      <c r="M472" s="172" t="s">
        <v>3593</v>
      </c>
      <c r="N472" s="20" t="s">
        <v>2713</v>
      </c>
      <c r="O472" s="28">
        <v>8.3000000000000004E-2</v>
      </c>
      <c r="P472" s="28">
        <v>3.6903999999999992E-2</v>
      </c>
      <c r="Q472" s="65">
        <f t="shared" si="24"/>
        <v>4.6096000000000012E-2</v>
      </c>
      <c r="R472" s="28">
        <v>4.6120000000000001</v>
      </c>
      <c r="S472" s="28">
        <f>10.412+12.181</f>
        <v>22.593</v>
      </c>
      <c r="T472" s="20">
        <f t="shared" si="25"/>
        <v>104.198916</v>
      </c>
      <c r="X472" s="20" t="s">
        <v>886</v>
      </c>
      <c r="Y472" s="20" t="s">
        <v>36</v>
      </c>
      <c r="Z472" s="20" t="s">
        <v>36</v>
      </c>
    </row>
    <row r="473" spans="1:26">
      <c r="A473" s="20" t="s">
        <v>1472</v>
      </c>
      <c r="B473" s="20" t="s">
        <v>2115</v>
      </c>
      <c r="C473" s="31" t="s">
        <v>2230</v>
      </c>
      <c r="D473" s="49">
        <v>42856</v>
      </c>
      <c r="E473" s="9">
        <v>10.124091999999999</v>
      </c>
      <c r="F473" s="9">
        <v>49.906236</v>
      </c>
      <c r="G473" t="s">
        <v>2625</v>
      </c>
      <c r="H473" t="s">
        <v>2806</v>
      </c>
      <c r="I473" t="s">
        <v>2807</v>
      </c>
      <c r="K473" s="20" t="s">
        <v>2602</v>
      </c>
      <c r="L473" s="20"/>
      <c r="M473" s="172" t="s">
        <v>2823</v>
      </c>
      <c r="N473" s="20" t="s">
        <v>2713</v>
      </c>
      <c r="O473" s="28">
        <v>6.4000000000000001E-2</v>
      </c>
      <c r="P473" s="28">
        <v>3.6903999999999992E-2</v>
      </c>
      <c r="Q473" s="65">
        <f t="shared" si="24"/>
        <v>2.7096000000000009E-2</v>
      </c>
      <c r="R473" s="28">
        <v>3.7989999999999999</v>
      </c>
      <c r="S473" s="28">
        <f>9.217+8.192</f>
        <v>17.408999999999999</v>
      </c>
      <c r="T473" s="20">
        <f t="shared" si="25"/>
        <v>66.136790999999988</v>
      </c>
      <c r="X473" s="20" t="s">
        <v>886</v>
      </c>
      <c r="Y473" s="20" t="s">
        <v>36</v>
      </c>
      <c r="Z473" s="20" t="s">
        <v>36</v>
      </c>
    </row>
    <row r="474" spans="1:26">
      <c r="A474" s="20" t="s">
        <v>1471</v>
      </c>
      <c r="B474" s="20" t="s">
        <v>2115</v>
      </c>
      <c r="C474" s="31" t="s">
        <v>2238</v>
      </c>
      <c r="D474" s="49">
        <v>42856</v>
      </c>
      <c r="E474" s="9">
        <v>10.135947</v>
      </c>
      <c r="F474" s="9">
        <v>49.868039000000003</v>
      </c>
      <c r="G474" t="s">
        <v>2625</v>
      </c>
      <c r="H474" t="s">
        <v>2806</v>
      </c>
      <c r="I474" t="s">
        <v>2807</v>
      </c>
      <c r="K474" s="20" t="s">
        <v>2602</v>
      </c>
      <c r="L474" s="20"/>
      <c r="M474" s="172" t="s">
        <v>2823</v>
      </c>
      <c r="N474" s="20" t="s">
        <v>2712</v>
      </c>
      <c r="O474" s="28">
        <v>4.9500000000000002E-2</v>
      </c>
      <c r="P474" s="28">
        <v>3.6903999999999992E-2</v>
      </c>
      <c r="Q474" s="65">
        <f t="shared" si="24"/>
        <v>1.259600000000001E-2</v>
      </c>
      <c r="R474" s="28">
        <v>2.9940000000000002</v>
      </c>
      <c r="S474" s="28">
        <f>7.06+7.934</f>
        <v>14.994</v>
      </c>
      <c r="T474" s="20">
        <f t="shared" si="25"/>
        <v>44.892036000000004</v>
      </c>
      <c r="X474" s="20" t="s">
        <v>886</v>
      </c>
      <c r="Y474" s="20" t="s">
        <v>36</v>
      </c>
      <c r="Z474" s="20" t="s">
        <v>36</v>
      </c>
    </row>
    <row r="475" spans="1:26">
      <c r="A475" s="20" t="s">
        <v>1470</v>
      </c>
      <c r="B475" s="20" t="s">
        <v>2115</v>
      </c>
      <c r="C475" s="31" t="s">
        <v>2234</v>
      </c>
      <c r="D475" s="49">
        <v>42856</v>
      </c>
      <c r="E475" s="9">
        <v>10.053630999999999</v>
      </c>
      <c r="F475" s="9">
        <v>49.900486000000001</v>
      </c>
      <c r="G475" t="s">
        <v>2625</v>
      </c>
      <c r="H475" t="s">
        <v>2806</v>
      </c>
      <c r="I475" t="s">
        <v>2807</v>
      </c>
      <c r="K475" s="20" t="s">
        <v>2602</v>
      </c>
      <c r="L475" s="20"/>
      <c r="M475" s="172" t="s">
        <v>3596</v>
      </c>
      <c r="N475" s="20" t="s">
        <v>2712</v>
      </c>
      <c r="O475" s="28">
        <v>4.5999999999999999E-2</v>
      </c>
      <c r="P475" s="28">
        <v>3.6903999999999992E-2</v>
      </c>
      <c r="Q475" s="65">
        <f t="shared" si="24"/>
        <v>9.0960000000000069E-3</v>
      </c>
      <c r="R475" s="28">
        <v>2.74</v>
      </c>
      <c r="S475" s="28">
        <f>6.183+1.066+5.736</f>
        <v>12.984999999999999</v>
      </c>
      <c r="T475" s="20">
        <f t="shared" si="25"/>
        <v>35.578900000000004</v>
      </c>
      <c r="X475" s="20" t="s">
        <v>886</v>
      </c>
      <c r="Y475" s="20" t="s">
        <v>36</v>
      </c>
      <c r="Z475" s="20" t="s">
        <v>36</v>
      </c>
    </row>
    <row r="476" spans="1:26">
      <c r="A476" s="20" t="s">
        <v>1469</v>
      </c>
      <c r="B476" s="20" t="s">
        <v>2115</v>
      </c>
      <c r="C476" s="31" t="s">
        <v>2231</v>
      </c>
      <c r="D476" s="49">
        <v>42856</v>
      </c>
      <c r="E476" s="9">
        <v>10.113375</v>
      </c>
      <c r="F476" s="9">
        <v>49.850391999999999</v>
      </c>
      <c r="G476" t="s">
        <v>2625</v>
      </c>
      <c r="H476" t="s">
        <v>2806</v>
      </c>
      <c r="I476" t="s">
        <v>2807</v>
      </c>
      <c r="K476" s="20" t="s">
        <v>2602</v>
      </c>
      <c r="L476" s="20"/>
      <c r="M476" s="172" t="s">
        <v>2823</v>
      </c>
      <c r="N476" s="20" t="s">
        <v>2712</v>
      </c>
      <c r="O476" s="28">
        <v>4.6100000000000002E-2</v>
      </c>
      <c r="P476" s="28">
        <v>3.6903999999999992E-2</v>
      </c>
      <c r="Q476" s="65">
        <f t="shared" si="24"/>
        <v>9.1960000000000097E-3</v>
      </c>
      <c r="R476" s="28">
        <v>3.0960000000000001</v>
      </c>
      <c r="S476" s="28">
        <f>7.586+8.591</f>
        <v>16.177</v>
      </c>
      <c r="T476" s="20">
        <f t="shared" si="25"/>
        <v>50.083992000000002</v>
      </c>
      <c r="X476" s="20" t="s">
        <v>886</v>
      </c>
      <c r="Y476" s="20" t="s">
        <v>36</v>
      </c>
      <c r="Z476" s="20" t="s">
        <v>36</v>
      </c>
    </row>
    <row r="477" spans="1:26">
      <c r="A477" s="20" t="s">
        <v>1468</v>
      </c>
      <c r="B477" s="20" t="s">
        <v>2115</v>
      </c>
      <c r="C477" s="31" t="s">
        <v>2227</v>
      </c>
      <c r="D477" s="49">
        <v>42856</v>
      </c>
      <c r="E477" s="9">
        <v>10.040881000000001</v>
      </c>
      <c r="F477" s="9">
        <v>49.937356000000001</v>
      </c>
      <c r="G477" t="s">
        <v>2625</v>
      </c>
      <c r="H477" t="s">
        <v>2806</v>
      </c>
      <c r="I477" t="s">
        <v>2807</v>
      </c>
      <c r="K477" s="20" t="s">
        <v>2602</v>
      </c>
      <c r="L477" s="20"/>
      <c r="M477" s="172" t="s">
        <v>2823</v>
      </c>
      <c r="N477" s="20" t="s">
        <v>2712</v>
      </c>
      <c r="O477" s="28">
        <v>4.48E-2</v>
      </c>
      <c r="P477" s="28">
        <v>3.6903999999999992E-2</v>
      </c>
      <c r="Q477" s="65">
        <f t="shared" si="24"/>
        <v>7.8960000000000072E-3</v>
      </c>
      <c r="R477" s="28">
        <v>2.907</v>
      </c>
      <c r="S477" s="28">
        <f>6.898+7.257</f>
        <v>14.154999999999999</v>
      </c>
      <c r="T477" s="20">
        <f t="shared" si="25"/>
        <v>41.148584999999997</v>
      </c>
      <c r="X477" s="20" t="s">
        <v>886</v>
      </c>
      <c r="Y477" s="20" t="s">
        <v>36</v>
      </c>
      <c r="Z477" s="20" t="s">
        <v>36</v>
      </c>
    </row>
    <row r="478" spans="1:26">
      <c r="A478" s="20" t="s">
        <v>1467</v>
      </c>
      <c r="B478" s="20" t="s">
        <v>2115</v>
      </c>
      <c r="C478" s="60" t="s">
        <v>2240</v>
      </c>
      <c r="D478" s="49">
        <v>42856</v>
      </c>
      <c r="E478" s="9">
        <v>10.094319</v>
      </c>
      <c r="F478" s="9">
        <v>49.925831000000002</v>
      </c>
      <c r="G478" t="s">
        <v>2625</v>
      </c>
      <c r="H478" t="s">
        <v>2806</v>
      </c>
      <c r="I478" t="s">
        <v>2807</v>
      </c>
      <c r="K478" s="20" t="s">
        <v>2602</v>
      </c>
      <c r="L478" s="20"/>
      <c r="M478" s="172" t="s">
        <v>2823</v>
      </c>
      <c r="N478" s="20" t="s">
        <v>2713</v>
      </c>
      <c r="O478" s="28">
        <v>6.7799999999999999E-2</v>
      </c>
      <c r="P478" s="28">
        <v>3.6903999999999992E-2</v>
      </c>
      <c r="Q478" s="65">
        <f t="shared" si="24"/>
        <v>3.0896000000000007E-2</v>
      </c>
      <c r="R478" s="28">
        <v>3.7970000000000002</v>
      </c>
      <c r="S478" s="28">
        <v>17.707999999999998</v>
      </c>
      <c r="T478" s="20">
        <f t="shared" si="25"/>
        <v>67.237275999999994</v>
      </c>
      <c r="X478" s="20" t="s">
        <v>886</v>
      </c>
      <c r="Y478" s="20" t="s">
        <v>36</v>
      </c>
      <c r="Z478" s="20" t="s">
        <v>36</v>
      </c>
    </row>
    <row r="479" spans="1:26">
      <c r="A479" s="20" t="s">
        <v>1466</v>
      </c>
      <c r="B479" s="20" t="s">
        <v>2115</v>
      </c>
      <c r="C479" s="31" t="s">
        <v>2238</v>
      </c>
      <c r="D479" s="49">
        <v>42856</v>
      </c>
      <c r="E479" s="9">
        <v>10.135947</v>
      </c>
      <c r="F479" s="9">
        <v>49.868039000000003</v>
      </c>
      <c r="G479" t="s">
        <v>2625</v>
      </c>
      <c r="H479" t="s">
        <v>2806</v>
      </c>
      <c r="I479" t="s">
        <v>2807</v>
      </c>
      <c r="K479" s="20" t="s">
        <v>2602</v>
      </c>
      <c r="L479" s="20"/>
      <c r="M479" s="172" t="s">
        <v>3589</v>
      </c>
      <c r="N479" s="20" t="s">
        <v>2712</v>
      </c>
      <c r="O479" s="28">
        <v>4.7300000000000002E-2</v>
      </c>
      <c r="P479" s="28">
        <v>3.6903999999999992E-2</v>
      </c>
      <c r="Q479" s="65">
        <f t="shared" si="24"/>
        <v>1.0396000000000009E-2</v>
      </c>
      <c r="R479" s="28">
        <v>3.3479999999999999</v>
      </c>
      <c r="S479" s="28">
        <v>15.446999999999999</v>
      </c>
      <c r="T479" s="20">
        <f t="shared" si="25"/>
        <v>51.716555999999997</v>
      </c>
      <c r="X479" s="20" t="s">
        <v>886</v>
      </c>
      <c r="Y479" s="20" t="s">
        <v>36</v>
      </c>
      <c r="Z479" s="20" t="s">
        <v>36</v>
      </c>
    </row>
    <row r="480" spans="1:26">
      <c r="A480" s="20" t="s">
        <v>1465</v>
      </c>
      <c r="B480" s="20" t="s">
        <v>2115</v>
      </c>
      <c r="C480" s="31" t="s">
        <v>2227</v>
      </c>
      <c r="D480" s="49">
        <v>42856</v>
      </c>
      <c r="E480" s="9">
        <v>10.040881000000001</v>
      </c>
      <c r="F480" s="9">
        <v>49.937356000000001</v>
      </c>
      <c r="G480" t="s">
        <v>2625</v>
      </c>
      <c r="H480" t="s">
        <v>2806</v>
      </c>
      <c r="I480" t="s">
        <v>2807</v>
      </c>
      <c r="K480" s="20" t="s">
        <v>2602</v>
      </c>
      <c r="L480" s="20"/>
      <c r="M480" s="172" t="s">
        <v>2823</v>
      </c>
      <c r="N480" s="20" t="s">
        <v>2712</v>
      </c>
      <c r="O480" s="28">
        <v>4.7100000000000003E-2</v>
      </c>
      <c r="P480" s="28">
        <v>3.6903999999999992E-2</v>
      </c>
      <c r="Q480" s="65">
        <f t="shared" si="24"/>
        <v>1.0196000000000011E-2</v>
      </c>
      <c r="R480" s="28">
        <v>2.7440000000000002</v>
      </c>
      <c r="S480" s="28">
        <v>14.314</v>
      </c>
      <c r="T480" s="20">
        <f t="shared" si="25"/>
        <v>39.277616000000002</v>
      </c>
      <c r="X480" s="20" t="s">
        <v>886</v>
      </c>
      <c r="Y480" s="20" t="s">
        <v>36</v>
      </c>
      <c r="Z480" s="20" t="s">
        <v>36</v>
      </c>
    </row>
    <row r="481" spans="1:26">
      <c r="A481" s="20" t="s">
        <v>1464</v>
      </c>
      <c r="B481" s="20" t="s">
        <v>2115</v>
      </c>
      <c r="C481" s="31" t="s">
        <v>2234</v>
      </c>
      <c r="D481" s="49">
        <v>42872</v>
      </c>
      <c r="E481" s="9">
        <v>10.053630999999999</v>
      </c>
      <c r="F481" s="9">
        <v>49.900486000000001</v>
      </c>
      <c r="G481" t="s">
        <v>2625</v>
      </c>
      <c r="H481" t="s">
        <v>2806</v>
      </c>
      <c r="I481" t="s">
        <v>2807</v>
      </c>
      <c r="K481" s="20" t="s">
        <v>2602</v>
      </c>
      <c r="L481" s="20"/>
      <c r="M481" s="172" t="s">
        <v>3592</v>
      </c>
      <c r="N481" s="20" t="s">
        <v>2712</v>
      </c>
      <c r="O481" s="28">
        <v>4.2200000000000001E-2</v>
      </c>
      <c r="P481" s="28">
        <v>3.6903999999999992E-2</v>
      </c>
      <c r="Q481" s="65">
        <f t="shared" si="24"/>
        <v>5.296000000000009E-3</v>
      </c>
      <c r="R481" s="28">
        <v>2.5390000000000001</v>
      </c>
      <c r="S481" s="28">
        <f>5.367+7.48</f>
        <v>12.847000000000001</v>
      </c>
      <c r="T481" s="20">
        <f t="shared" si="25"/>
        <v>32.618533000000006</v>
      </c>
      <c r="X481" s="20" t="s">
        <v>886</v>
      </c>
      <c r="Y481" s="20" t="s">
        <v>36</v>
      </c>
      <c r="Z481" s="20" t="s">
        <v>36</v>
      </c>
    </row>
    <row r="482" spans="1:26">
      <c r="A482" s="20" t="s">
        <v>1463</v>
      </c>
      <c r="B482" s="20" t="s">
        <v>2115</v>
      </c>
      <c r="C482" s="31" t="s">
        <v>2235</v>
      </c>
      <c r="D482" s="49">
        <v>42856</v>
      </c>
      <c r="E482" s="9">
        <v>10.057294000000001</v>
      </c>
      <c r="F482" s="9">
        <v>49.902307999999998</v>
      </c>
      <c r="G482" t="s">
        <v>2625</v>
      </c>
      <c r="H482" t="s">
        <v>2806</v>
      </c>
      <c r="I482" t="s">
        <v>2807</v>
      </c>
      <c r="K482" s="20" t="s">
        <v>2602</v>
      </c>
      <c r="L482" s="20"/>
      <c r="M482" s="172" t="s">
        <v>3594</v>
      </c>
      <c r="N482" s="20" t="s">
        <v>2712</v>
      </c>
      <c r="O482" s="28">
        <v>4.4999999999999998E-2</v>
      </c>
      <c r="P482" s="28">
        <v>3.6903999999999992E-2</v>
      </c>
      <c r="Q482" s="65">
        <f t="shared" ref="Q482:Q545" si="26">O482-P482</f>
        <v>8.096000000000006E-3</v>
      </c>
      <c r="R482" s="28">
        <v>2.8450000000000002</v>
      </c>
      <c r="S482" s="28">
        <f>6.703+5.763</f>
        <v>12.466000000000001</v>
      </c>
      <c r="T482" s="20">
        <f t="shared" si="25"/>
        <v>35.465770000000006</v>
      </c>
      <c r="X482" s="20" t="s">
        <v>886</v>
      </c>
      <c r="Y482" s="20" t="s">
        <v>36</v>
      </c>
      <c r="Z482" s="20" t="s">
        <v>36</v>
      </c>
    </row>
    <row r="483" spans="1:26">
      <c r="A483" s="20" t="s">
        <v>1462</v>
      </c>
      <c r="B483" s="20" t="s">
        <v>2115</v>
      </c>
      <c r="C483" s="31" t="s">
        <v>2238</v>
      </c>
      <c r="D483" s="49">
        <v>42856</v>
      </c>
      <c r="E483" s="9">
        <v>10.135947</v>
      </c>
      <c r="F483" s="9">
        <v>49.868039000000003</v>
      </c>
      <c r="G483" t="s">
        <v>2625</v>
      </c>
      <c r="H483" t="s">
        <v>2806</v>
      </c>
      <c r="I483" t="s">
        <v>2807</v>
      </c>
      <c r="K483" s="20" t="s">
        <v>2602</v>
      </c>
      <c r="L483" s="20"/>
      <c r="M483" s="172" t="s">
        <v>2823</v>
      </c>
      <c r="N483" s="20" t="s">
        <v>2712</v>
      </c>
      <c r="O483" s="28">
        <v>4.8899999999999999E-2</v>
      </c>
      <c r="P483" s="28">
        <v>3.6903999999999992E-2</v>
      </c>
      <c r="Q483" s="65">
        <f t="shared" si="26"/>
        <v>1.1996000000000007E-2</v>
      </c>
      <c r="R483" s="28">
        <v>2.927</v>
      </c>
      <c r="S483" s="28">
        <f>8.367+7.023</f>
        <v>15.39</v>
      </c>
      <c r="T483" s="20">
        <f t="shared" si="25"/>
        <v>45.046530000000004</v>
      </c>
      <c r="X483" s="20" t="s">
        <v>886</v>
      </c>
      <c r="Y483" s="20" t="s">
        <v>36</v>
      </c>
      <c r="Z483" s="20" t="s">
        <v>36</v>
      </c>
    </row>
    <row r="484" spans="1:26">
      <c r="A484" s="20" t="s">
        <v>1461</v>
      </c>
      <c r="B484" s="20" t="s">
        <v>2115</v>
      </c>
      <c r="C484" s="31" t="s">
        <v>2231</v>
      </c>
      <c r="D484" s="49">
        <v>42856</v>
      </c>
      <c r="E484" s="9">
        <v>10.113375</v>
      </c>
      <c r="F484" s="9">
        <v>49.850391999999999</v>
      </c>
      <c r="G484" t="s">
        <v>2625</v>
      </c>
      <c r="H484" t="s">
        <v>2806</v>
      </c>
      <c r="I484" t="s">
        <v>2807</v>
      </c>
      <c r="K484" s="20" t="s">
        <v>2602</v>
      </c>
      <c r="L484" s="20"/>
      <c r="M484" s="172" t="s">
        <v>2823</v>
      </c>
      <c r="N484" s="20" t="s">
        <v>2712</v>
      </c>
      <c r="O484" s="28">
        <v>4.7899999999999998E-2</v>
      </c>
      <c r="P484" s="28">
        <v>3.6903999999999992E-2</v>
      </c>
      <c r="Q484" s="65">
        <f t="shared" si="26"/>
        <v>1.0996000000000006E-2</v>
      </c>
      <c r="R484" s="28">
        <v>3.1269999999999998</v>
      </c>
      <c r="S484" s="28">
        <f>7.352+8.178</f>
        <v>15.530000000000001</v>
      </c>
      <c r="T484" s="20">
        <f t="shared" si="25"/>
        <v>48.562310000000004</v>
      </c>
      <c r="X484" s="20" t="s">
        <v>886</v>
      </c>
      <c r="Y484" s="20" t="s">
        <v>36</v>
      </c>
      <c r="Z484" s="20" t="s">
        <v>36</v>
      </c>
    </row>
    <row r="485" spans="1:26">
      <c r="A485" s="20" t="s">
        <v>1460</v>
      </c>
      <c r="B485" s="20" t="s">
        <v>2115</v>
      </c>
      <c r="C485" s="31" t="s">
        <v>2238</v>
      </c>
      <c r="D485" s="49">
        <v>42872</v>
      </c>
      <c r="E485" s="9">
        <v>10.135947</v>
      </c>
      <c r="F485" s="9">
        <v>49.868039000000003</v>
      </c>
      <c r="G485" t="s">
        <v>2625</v>
      </c>
      <c r="H485" t="s">
        <v>2806</v>
      </c>
      <c r="I485" t="s">
        <v>2807</v>
      </c>
      <c r="K485" s="20" t="s">
        <v>2602</v>
      </c>
      <c r="L485" s="20"/>
      <c r="M485" s="172" t="s">
        <v>3593</v>
      </c>
      <c r="N485" s="20" t="s">
        <v>2713</v>
      </c>
      <c r="O485" s="28">
        <v>7.2800000000000004E-2</v>
      </c>
      <c r="P485" s="28">
        <v>3.6903999999999992E-2</v>
      </c>
      <c r="Q485" s="65">
        <f t="shared" si="26"/>
        <v>3.5896000000000011E-2</v>
      </c>
      <c r="R485" s="28">
        <v>4.7729999999999997</v>
      </c>
      <c r="S485" s="28">
        <f>12.428+9.796</f>
        <v>22.224</v>
      </c>
      <c r="T485" s="20">
        <f t="shared" si="25"/>
        <v>106.07515199999999</v>
      </c>
      <c r="X485" s="20" t="s">
        <v>886</v>
      </c>
      <c r="Y485" s="20" t="s">
        <v>36</v>
      </c>
      <c r="Z485" s="20" t="s">
        <v>36</v>
      </c>
    </row>
    <row r="486" spans="1:26">
      <c r="A486" s="20" t="s">
        <v>1459</v>
      </c>
      <c r="B486" s="20" t="s">
        <v>2115</v>
      </c>
      <c r="C486" s="31" t="s">
        <v>2233</v>
      </c>
      <c r="D486" s="49">
        <v>42856</v>
      </c>
      <c r="E486" s="9">
        <v>10.086428</v>
      </c>
      <c r="F486" s="9">
        <v>49.909314000000002</v>
      </c>
      <c r="G486" t="s">
        <v>2625</v>
      </c>
      <c r="H486" t="s">
        <v>2806</v>
      </c>
      <c r="I486" t="s">
        <v>2807</v>
      </c>
      <c r="K486" s="20" t="s">
        <v>2602</v>
      </c>
      <c r="L486" s="20"/>
      <c r="M486" s="172" t="s">
        <v>3590</v>
      </c>
      <c r="N486" s="20" t="s">
        <v>2713</v>
      </c>
      <c r="O486" s="28">
        <v>7.1199999999999999E-2</v>
      </c>
      <c r="P486" s="28">
        <v>3.6903999999999992E-2</v>
      </c>
      <c r="Q486" s="65">
        <f t="shared" si="26"/>
        <v>3.4296000000000007E-2</v>
      </c>
      <c r="R486" s="28">
        <v>4.3719999999999999</v>
      </c>
      <c r="S486" s="28">
        <f>11.335+9.393</f>
        <v>20.728000000000002</v>
      </c>
      <c r="T486" s="20">
        <f t="shared" si="25"/>
        <v>90.622816</v>
      </c>
      <c r="X486" s="20" t="s">
        <v>886</v>
      </c>
      <c r="Y486" s="20" t="s">
        <v>36</v>
      </c>
      <c r="Z486" s="20" t="s">
        <v>36</v>
      </c>
    </row>
    <row r="487" spans="1:26">
      <c r="A487" s="20" t="s">
        <v>1458</v>
      </c>
      <c r="B487" s="20" t="s">
        <v>2115</v>
      </c>
      <c r="C487" s="31" t="s">
        <v>2227</v>
      </c>
      <c r="D487" s="49">
        <v>42856</v>
      </c>
      <c r="E487" s="9">
        <v>10.040881000000001</v>
      </c>
      <c r="F487" s="9">
        <v>49.937356000000001</v>
      </c>
      <c r="G487" t="s">
        <v>2625</v>
      </c>
      <c r="H487" t="s">
        <v>2806</v>
      </c>
      <c r="I487" t="s">
        <v>2807</v>
      </c>
      <c r="K487" s="20" t="s">
        <v>2602</v>
      </c>
      <c r="L487" s="20"/>
      <c r="M487" s="172" t="s">
        <v>2823</v>
      </c>
      <c r="N487" s="20" t="s">
        <v>2712</v>
      </c>
      <c r="O487" s="28">
        <v>4.3499999999999997E-2</v>
      </c>
      <c r="P487" s="28">
        <v>3.6903999999999992E-2</v>
      </c>
      <c r="Q487" s="65">
        <f t="shared" si="26"/>
        <v>6.5960000000000046E-3</v>
      </c>
      <c r="R487" s="28">
        <v>2.9529999999999998</v>
      </c>
      <c r="S487" s="28">
        <f>7.03+6.81</f>
        <v>13.84</v>
      </c>
      <c r="T487" s="20">
        <f t="shared" si="25"/>
        <v>40.869519999999994</v>
      </c>
      <c r="X487" s="20" t="s">
        <v>886</v>
      </c>
      <c r="Y487" s="20" t="s">
        <v>36</v>
      </c>
      <c r="Z487" s="20" t="s">
        <v>36</v>
      </c>
    </row>
    <row r="488" spans="1:26">
      <c r="A488" s="20" t="s">
        <v>1457</v>
      </c>
      <c r="B488" s="20" t="s">
        <v>2115</v>
      </c>
      <c r="C488" s="31" t="s">
        <v>2227</v>
      </c>
      <c r="D488" s="49">
        <v>42856</v>
      </c>
      <c r="E488" s="9">
        <v>10.040881000000001</v>
      </c>
      <c r="F488" s="9">
        <v>49.937356000000001</v>
      </c>
      <c r="G488" t="s">
        <v>2625</v>
      </c>
      <c r="H488" t="s">
        <v>2806</v>
      </c>
      <c r="I488" t="s">
        <v>2807</v>
      </c>
      <c r="K488" s="20" t="s">
        <v>2602</v>
      </c>
      <c r="L488" s="20"/>
      <c r="M488" s="172" t="s">
        <v>3596</v>
      </c>
      <c r="N488" s="20" t="s">
        <v>2713</v>
      </c>
      <c r="O488" s="28">
        <v>5.2400000000000002E-2</v>
      </c>
      <c r="P488" s="28">
        <v>3.6903999999999992E-2</v>
      </c>
      <c r="Q488" s="65">
        <f t="shared" si="26"/>
        <v>1.549600000000001E-2</v>
      </c>
      <c r="R488" s="28">
        <v>3.2730000000000001</v>
      </c>
      <c r="S488" s="28">
        <f>9.349+6.497</f>
        <v>15.846</v>
      </c>
      <c r="T488" s="20">
        <f t="shared" si="25"/>
        <v>51.863958000000004</v>
      </c>
      <c r="X488" s="20" t="s">
        <v>886</v>
      </c>
      <c r="Y488" s="20" t="s">
        <v>36</v>
      </c>
      <c r="Z488" s="20" t="s">
        <v>36</v>
      </c>
    </row>
    <row r="489" spans="1:26">
      <c r="A489" s="20" t="s">
        <v>1456</v>
      </c>
      <c r="B489" s="20" t="s">
        <v>2115</v>
      </c>
      <c r="C489" s="60" t="s">
        <v>2240</v>
      </c>
      <c r="D489" s="49">
        <v>42856</v>
      </c>
      <c r="E489" s="9">
        <v>10.094319</v>
      </c>
      <c r="F489" s="9">
        <v>49.925831000000002</v>
      </c>
      <c r="G489" t="s">
        <v>2625</v>
      </c>
      <c r="H489" t="s">
        <v>2806</v>
      </c>
      <c r="I489" t="s">
        <v>2807</v>
      </c>
      <c r="K489" s="20" t="s">
        <v>2602</v>
      </c>
      <c r="L489" s="20"/>
      <c r="M489" s="172" t="s">
        <v>3589</v>
      </c>
      <c r="N489" s="20" t="s">
        <v>2712</v>
      </c>
      <c r="O489" s="28">
        <v>4.9599999999999998E-2</v>
      </c>
      <c r="P489" s="28">
        <v>3.6903999999999992E-2</v>
      </c>
      <c r="Q489" s="65">
        <f t="shared" si="26"/>
        <v>1.2696000000000006E-2</v>
      </c>
      <c r="R489" s="28">
        <v>3.3639999999999999</v>
      </c>
      <c r="S489" s="28">
        <f>7.541+3.619+4.479</f>
        <v>15.638999999999999</v>
      </c>
      <c r="T489" s="20">
        <f t="shared" si="25"/>
        <v>52.609595999999996</v>
      </c>
      <c r="X489" s="20" t="s">
        <v>886</v>
      </c>
      <c r="Y489" s="20" t="s">
        <v>36</v>
      </c>
      <c r="Z489" s="20" t="s">
        <v>36</v>
      </c>
    </row>
    <row r="490" spans="1:26">
      <c r="A490" s="20" t="s">
        <v>1455</v>
      </c>
      <c r="B490" s="20" t="s">
        <v>2115</v>
      </c>
      <c r="C490" s="31" t="s">
        <v>2234</v>
      </c>
      <c r="D490" s="49">
        <v>42872</v>
      </c>
      <c r="E490" s="9">
        <v>10.053630999999999</v>
      </c>
      <c r="F490" s="9">
        <v>49.900486000000001</v>
      </c>
      <c r="G490" t="s">
        <v>2625</v>
      </c>
      <c r="H490" t="s">
        <v>2806</v>
      </c>
      <c r="I490" t="s">
        <v>2807</v>
      </c>
      <c r="K490" s="20" t="s">
        <v>2602</v>
      </c>
      <c r="L490" s="20"/>
      <c r="M490" s="172" t="s">
        <v>3596</v>
      </c>
      <c r="N490" s="20" t="s">
        <v>2712</v>
      </c>
      <c r="O490" s="28">
        <v>4.0800000000000003E-2</v>
      </c>
      <c r="P490" s="28">
        <v>3.6903999999999992E-2</v>
      </c>
      <c r="Q490" s="65">
        <f t="shared" si="26"/>
        <v>3.8960000000000106E-3</v>
      </c>
      <c r="R490" s="28">
        <v>2.1459999999999999</v>
      </c>
      <c r="S490" s="28">
        <f>5.652+5.329</f>
        <v>10.981</v>
      </c>
      <c r="T490" s="20">
        <f t="shared" si="25"/>
        <v>23.565225999999999</v>
      </c>
      <c r="X490" s="20" t="s">
        <v>886</v>
      </c>
      <c r="Y490" s="20" t="s">
        <v>36</v>
      </c>
      <c r="Z490" s="20" t="s">
        <v>36</v>
      </c>
    </row>
    <row r="491" spans="1:26">
      <c r="A491" s="20" t="s">
        <v>1454</v>
      </c>
      <c r="B491" s="20" t="s">
        <v>2115</v>
      </c>
      <c r="C491" s="31" t="s">
        <v>2244</v>
      </c>
      <c r="D491" s="49">
        <v>42888</v>
      </c>
      <c r="E491" s="9">
        <v>10.017931000000001</v>
      </c>
      <c r="F491" s="9">
        <v>49.935696999999998</v>
      </c>
      <c r="G491" t="s">
        <v>2625</v>
      </c>
      <c r="H491" t="s">
        <v>2806</v>
      </c>
      <c r="I491" t="s">
        <v>2807</v>
      </c>
      <c r="K491" s="20" t="s">
        <v>2602</v>
      </c>
      <c r="L491" s="20"/>
      <c r="M491" s="172" t="s">
        <v>3590</v>
      </c>
      <c r="N491" s="20" t="s">
        <v>2713</v>
      </c>
      <c r="O491" s="28">
        <v>7.7100000000000002E-2</v>
      </c>
      <c r="P491" s="28">
        <v>3.6903999999999992E-2</v>
      </c>
      <c r="Q491" s="65">
        <f t="shared" si="26"/>
        <v>4.0196000000000009E-2</v>
      </c>
      <c r="R491" s="28">
        <v>4.7249999999999996</v>
      </c>
      <c r="S491" s="28">
        <v>21.861000000000001</v>
      </c>
      <c r="T491" s="20">
        <f t="shared" si="25"/>
        <v>103.29322499999999</v>
      </c>
      <c r="X491" s="20" t="s">
        <v>886</v>
      </c>
      <c r="Y491" s="20" t="s">
        <v>36</v>
      </c>
      <c r="Z491" s="20" t="s">
        <v>36</v>
      </c>
    </row>
    <row r="492" spans="1:26">
      <c r="A492" s="20" t="s">
        <v>1453</v>
      </c>
      <c r="B492" s="20" t="s">
        <v>2115</v>
      </c>
      <c r="C492" s="31" t="s">
        <v>2242</v>
      </c>
      <c r="D492" s="49">
        <v>42872</v>
      </c>
      <c r="E492" s="9">
        <v>10.131019</v>
      </c>
      <c r="F492" s="9">
        <v>49.871225000000003</v>
      </c>
      <c r="G492" t="s">
        <v>2625</v>
      </c>
      <c r="H492" t="s">
        <v>2806</v>
      </c>
      <c r="I492" t="s">
        <v>2807</v>
      </c>
      <c r="K492" s="20" t="s">
        <v>2602</v>
      </c>
      <c r="L492" s="20"/>
      <c r="M492" s="172" t="s">
        <v>3591</v>
      </c>
      <c r="N492" s="20" t="s">
        <v>2713</v>
      </c>
      <c r="O492" s="28">
        <v>6.4600000000000005E-2</v>
      </c>
      <c r="P492" s="28">
        <v>3.6903999999999992E-2</v>
      </c>
      <c r="Q492" s="65">
        <f t="shared" si="26"/>
        <v>2.7696000000000012E-2</v>
      </c>
      <c r="R492" s="28">
        <v>4.0940000000000003</v>
      </c>
      <c r="S492" s="28">
        <f>10.409+8.45</f>
        <v>18.859000000000002</v>
      </c>
      <c r="T492" s="20">
        <f t="shared" si="25"/>
        <v>77.208746000000019</v>
      </c>
      <c r="X492" s="20" t="s">
        <v>886</v>
      </c>
      <c r="Y492" s="20" t="s">
        <v>36</v>
      </c>
      <c r="Z492" s="20" t="s">
        <v>36</v>
      </c>
    </row>
    <row r="493" spans="1:26">
      <c r="A493" s="20" t="s">
        <v>1452</v>
      </c>
      <c r="B493" s="20" t="s">
        <v>2115</v>
      </c>
      <c r="C493" s="31" t="s">
        <v>2244</v>
      </c>
      <c r="D493" s="49">
        <v>42872</v>
      </c>
      <c r="E493" s="9">
        <v>10.017931000000001</v>
      </c>
      <c r="F493" s="9">
        <v>49.935696999999998</v>
      </c>
      <c r="G493" t="s">
        <v>2625</v>
      </c>
      <c r="H493" t="s">
        <v>2806</v>
      </c>
      <c r="I493" t="s">
        <v>2807</v>
      </c>
      <c r="K493" s="20" t="s">
        <v>2602</v>
      </c>
      <c r="L493" s="20"/>
      <c r="M493" s="172" t="s">
        <v>3589</v>
      </c>
      <c r="N493" s="20" t="s">
        <v>2713</v>
      </c>
      <c r="O493" s="28">
        <v>6.1899999999999997E-2</v>
      </c>
      <c r="P493" s="28">
        <v>3.6903999999999992E-2</v>
      </c>
      <c r="Q493" s="65">
        <f t="shared" si="26"/>
        <v>2.4996000000000004E-2</v>
      </c>
      <c r="R493" s="28">
        <v>4.343</v>
      </c>
      <c r="S493" s="28">
        <f>8.974+9.209</f>
        <v>18.183</v>
      </c>
      <c r="T493" s="20">
        <f t="shared" si="25"/>
        <v>78.968768999999995</v>
      </c>
      <c r="X493" s="20" t="s">
        <v>886</v>
      </c>
      <c r="Y493" s="20" t="s">
        <v>36</v>
      </c>
      <c r="Z493" s="20" t="s">
        <v>36</v>
      </c>
    </row>
    <row r="494" spans="1:26">
      <c r="A494" s="20" t="s">
        <v>1451</v>
      </c>
      <c r="B494" s="20" t="s">
        <v>2115</v>
      </c>
      <c r="C494" s="31" t="s">
        <v>2233</v>
      </c>
      <c r="D494" s="49">
        <v>42856</v>
      </c>
      <c r="E494" s="9">
        <v>10.086428</v>
      </c>
      <c r="F494" s="9">
        <v>49.909314000000002</v>
      </c>
      <c r="G494" t="s">
        <v>2625</v>
      </c>
      <c r="H494" t="s">
        <v>2806</v>
      </c>
      <c r="I494" t="s">
        <v>2807</v>
      </c>
      <c r="K494" s="20" t="s">
        <v>2602</v>
      </c>
      <c r="L494" s="20"/>
      <c r="M494" s="172" t="s">
        <v>3592</v>
      </c>
      <c r="N494" s="20" t="s">
        <v>2713</v>
      </c>
      <c r="O494" s="28">
        <v>6.8699999999999997E-2</v>
      </c>
      <c r="P494" s="28">
        <v>3.6903999999999992E-2</v>
      </c>
      <c r="Q494" s="65">
        <f t="shared" si="26"/>
        <v>3.1796000000000005E-2</v>
      </c>
      <c r="R494" s="28">
        <v>4.2359999999999998</v>
      </c>
      <c r="S494" s="28">
        <f>9.527+9.463</f>
        <v>18.989999999999998</v>
      </c>
      <c r="T494" s="20">
        <f t="shared" si="25"/>
        <v>80.441639999999992</v>
      </c>
      <c r="X494" s="20" t="s">
        <v>886</v>
      </c>
      <c r="Y494" s="20" t="s">
        <v>36</v>
      </c>
      <c r="Z494" s="20" t="s">
        <v>36</v>
      </c>
    </row>
    <row r="495" spans="1:26">
      <c r="A495" s="20" t="s">
        <v>1450</v>
      </c>
      <c r="B495" s="20" t="s">
        <v>2115</v>
      </c>
      <c r="C495" s="60" t="s">
        <v>2240</v>
      </c>
      <c r="D495" s="49">
        <v>42856</v>
      </c>
      <c r="E495" s="9">
        <v>10.094319</v>
      </c>
      <c r="F495" s="9">
        <v>49.925831000000002</v>
      </c>
      <c r="G495" t="s">
        <v>2625</v>
      </c>
      <c r="H495" t="s">
        <v>2806</v>
      </c>
      <c r="I495" t="s">
        <v>2807</v>
      </c>
      <c r="K495" s="20" t="s">
        <v>2602</v>
      </c>
      <c r="L495" s="20"/>
      <c r="M495" s="172" t="s">
        <v>3590</v>
      </c>
      <c r="N495" s="20" t="s">
        <v>2713</v>
      </c>
      <c r="O495" s="28">
        <v>7.1099999999999997E-2</v>
      </c>
      <c r="P495" s="28">
        <v>3.6903999999999992E-2</v>
      </c>
      <c r="Q495" s="65">
        <f t="shared" si="26"/>
        <v>3.4196000000000004E-2</v>
      </c>
      <c r="R495" s="28">
        <v>4.5750000000000002</v>
      </c>
      <c r="S495" s="28">
        <f>9.905+11.528</f>
        <v>21.433</v>
      </c>
      <c r="T495" s="20">
        <f t="shared" si="25"/>
        <v>98.055975000000004</v>
      </c>
      <c r="X495" s="20" t="s">
        <v>886</v>
      </c>
      <c r="Y495" s="20" t="s">
        <v>36</v>
      </c>
      <c r="Z495" s="20" t="s">
        <v>36</v>
      </c>
    </row>
    <row r="496" spans="1:26">
      <c r="A496" s="20" t="s">
        <v>1449</v>
      </c>
      <c r="B496" s="20" t="s">
        <v>2115</v>
      </c>
      <c r="C496" s="31" t="s">
        <v>2241</v>
      </c>
      <c r="D496" s="49">
        <v>42902</v>
      </c>
      <c r="E496" s="20">
        <v>10.109500000000001</v>
      </c>
      <c r="F496" s="9">
        <v>49.861344000000003</v>
      </c>
      <c r="G496" t="s">
        <v>2625</v>
      </c>
      <c r="H496" t="s">
        <v>2806</v>
      </c>
      <c r="I496" t="s">
        <v>2807</v>
      </c>
      <c r="K496" s="20" t="s">
        <v>2602</v>
      </c>
      <c r="L496" s="20"/>
      <c r="M496" s="172" t="s">
        <v>2823</v>
      </c>
      <c r="N496" s="20" t="s">
        <v>2713</v>
      </c>
      <c r="O496" s="28">
        <v>5.3100000000000001E-2</v>
      </c>
      <c r="P496" s="28">
        <v>3.6903999999999992E-2</v>
      </c>
      <c r="Q496" s="65">
        <f t="shared" si="26"/>
        <v>1.6196000000000009E-2</v>
      </c>
      <c r="R496" s="28">
        <v>3.8239999999999998</v>
      </c>
      <c r="S496" s="28">
        <f>8.279+7.83</f>
        <v>16.109000000000002</v>
      </c>
      <c r="T496" s="20">
        <f t="shared" si="25"/>
        <v>61.600816000000002</v>
      </c>
      <c r="X496" s="20" t="s">
        <v>886</v>
      </c>
      <c r="Y496" s="20" t="s">
        <v>36</v>
      </c>
      <c r="Z496" s="20" t="s">
        <v>36</v>
      </c>
    </row>
    <row r="497" spans="1:26">
      <c r="A497" s="20" t="s">
        <v>1448</v>
      </c>
      <c r="B497" s="20" t="s">
        <v>2115</v>
      </c>
      <c r="C497" s="31" t="s">
        <v>2230</v>
      </c>
      <c r="D497" s="49">
        <v>42856</v>
      </c>
      <c r="E497" s="9">
        <v>10.124091999999999</v>
      </c>
      <c r="F497" s="9">
        <v>49.906236</v>
      </c>
      <c r="G497" t="s">
        <v>2625</v>
      </c>
      <c r="H497" t="s">
        <v>2806</v>
      </c>
      <c r="I497" t="s">
        <v>2807</v>
      </c>
      <c r="K497" s="20" t="s">
        <v>2602</v>
      </c>
      <c r="L497" s="20"/>
      <c r="M497" s="172" t="s">
        <v>3591</v>
      </c>
      <c r="N497" s="20" t="s">
        <v>2713</v>
      </c>
      <c r="O497" s="28">
        <v>6.4600000000000005E-2</v>
      </c>
      <c r="P497" s="28">
        <v>3.6903999999999992E-2</v>
      </c>
      <c r="Q497" s="65">
        <f t="shared" si="26"/>
        <v>2.7696000000000012E-2</v>
      </c>
      <c r="R497" s="28">
        <v>3.9740000000000002</v>
      </c>
      <c r="S497" s="28">
        <f>10.818+8.73</f>
        <v>19.548000000000002</v>
      </c>
      <c r="T497" s="20">
        <f t="shared" si="25"/>
        <v>77.683752000000013</v>
      </c>
      <c r="X497" s="20" t="s">
        <v>886</v>
      </c>
      <c r="Y497" s="20" t="s">
        <v>36</v>
      </c>
      <c r="Z497" s="20" t="s">
        <v>36</v>
      </c>
    </row>
    <row r="498" spans="1:26">
      <c r="A498" s="20" t="s">
        <v>1447</v>
      </c>
      <c r="B498" s="20" t="s">
        <v>2115</v>
      </c>
      <c r="C498" s="31" t="s">
        <v>2243</v>
      </c>
      <c r="D498" s="49">
        <v>42888</v>
      </c>
      <c r="E498" s="9">
        <v>10.069680999999999</v>
      </c>
      <c r="F498" s="9">
        <v>49.368496999999998</v>
      </c>
      <c r="G498" t="s">
        <v>2625</v>
      </c>
      <c r="H498" t="s">
        <v>2806</v>
      </c>
      <c r="I498" t="s">
        <v>2807</v>
      </c>
      <c r="K498" s="20" t="s">
        <v>2602</v>
      </c>
      <c r="L498" s="20"/>
      <c r="M498" s="172" t="s">
        <v>3597</v>
      </c>
      <c r="N498" s="20" t="s">
        <v>2713</v>
      </c>
      <c r="O498" s="28">
        <v>5.45E-2</v>
      </c>
      <c r="P498" s="28">
        <v>3.6903999999999992E-2</v>
      </c>
      <c r="Q498" s="65">
        <f t="shared" si="26"/>
        <v>1.7596000000000007E-2</v>
      </c>
      <c r="R498" s="28">
        <v>3.8220000000000001</v>
      </c>
      <c r="S498" s="28">
        <f>7.572+8.846</f>
        <v>16.417999999999999</v>
      </c>
      <c r="T498" s="20">
        <f t="shared" si="25"/>
        <v>62.749595999999997</v>
      </c>
      <c r="X498" s="20" t="s">
        <v>886</v>
      </c>
      <c r="Y498" s="20" t="s">
        <v>36</v>
      </c>
      <c r="Z498" s="20" t="s">
        <v>36</v>
      </c>
    </row>
    <row r="499" spans="1:26">
      <c r="A499" s="20" t="s">
        <v>1446</v>
      </c>
      <c r="B499" s="20" t="s">
        <v>2115</v>
      </c>
      <c r="C499" s="31" t="s">
        <v>2244</v>
      </c>
      <c r="D499" s="49">
        <v>42872</v>
      </c>
      <c r="E499" s="9">
        <v>10.017931000000001</v>
      </c>
      <c r="F499" s="9">
        <v>49.935696999999998</v>
      </c>
      <c r="G499" t="s">
        <v>2625</v>
      </c>
      <c r="H499" t="s">
        <v>2806</v>
      </c>
      <c r="I499" t="s">
        <v>2807</v>
      </c>
      <c r="K499" s="20" t="s">
        <v>2602</v>
      </c>
      <c r="L499" s="20"/>
      <c r="M499" s="172" t="s">
        <v>3594</v>
      </c>
      <c r="N499" s="20" t="s">
        <v>2713</v>
      </c>
      <c r="O499" s="28">
        <v>6.9800000000000001E-2</v>
      </c>
      <c r="P499" s="28">
        <v>3.6903999999999992E-2</v>
      </c>
      <c r="Q499" s="65">
        <f t="shared" si="26"/>
        <v>3.2896000000000009E-2</v>
      </c>
      <c r="R499" s="28">
        <v>4.1050000000000004</v>
      </c>
      <c r="S499" s="28">
        <v>16.808</v>
      </c>
      <c r="T499" s="20">
        <f t="shared" si="25"/>
        <v>68.996840000000006</v>
      </c>
      <c r="X499" s="20" t="s">
        <v>886</v>
      </c>
      <c r="Y499" s="20" t="s">
        <v>36</v>
      </c>
      <c r="Z499" s="20" t="s">
        <v>36</v>
      </c>
    </row>
    <row r="500" spans="1:26">
      <c r="A500" s="20" t="s">
        <v>1445</v>
      </c>
      <c r="B500" s="20" t="s">
        <v>2115</v>
      </c>
      <c r="C500" s="60" t="s">
        <v>2240</v>
      </c>
      <c r="D500" s="49">
        <v>42856</v>
      </c>
      <c r="E500" s="9">
        <v>10.094319</v>
      </c>
      <c r="F500" s="9">
        <v>49.925831000000002</v>
      </c>
      <c r="G500" t="s">
        <v>2625</v>
      </c>
      <c r="H500" t="s">
        <v>2806</v>
      </c>
      <c r="I500" t="s">
        <v>2807</v>
      </c>
      <c r="K500" s="20" t="s">
        <v>2602</v>
      </c>
      <c r="L500" s="20"/>
      <c r="M500" s="172" t="s">
        <v>3594</v>
      </c>
      <c r="N500" s="20" t="s">
        <v>2713</v>
      </c>
      <c r="O500" s="28">
        <v>5.79E-2</v>
      </c>
      <c r="P500" s="28">
        <v>3.6903999999999992E-2</v>
      </c>
      <c r="Q500" s="65">
        <f t="shared" si="26"/>
        <v>2.0996000000000008E-2</v>
      </c>
      <c r="R500" s="28">
        <v>4.1980000000000004</v>
      </c>
      <c r="S500" s="28">
        <f>9.978+8.023</f>
        <v>18.000999999999998</v>
      </c>
      <c r="T500" s="20">
        <f t="shared" si="25"/>
        <v>75.568197999999995</v>
      </c>
      <c r="X500" s="20" t="s">
        <v>886</v>
      </c>
      <c r="Y500" s="20" t="s">
        <v>36</v>
      </c>
      <c r="Z500" s="20" t="s">
        <v>36</v>
      </c>
    </row>
    <row r="501" spans="1:26">
      <c r="A501" s="20" t="s">
        <v>1444</v>
      </c>
      <c r="B501" s="20" t="s">
        <v>2115</v>
      </c>
      <c r="C501" s="31" t="s">
        <v>2233</v>
      </c>
      <c r="D501" s="49">
        <v>42856</v>
      </c>
      <c r="E501" s="9">
        <v>10.086428</v>
      </c>
      <c r="F501" s="9">
        <v>49.909314000000002</v>
      </c>
      <c r="G501" t="s">
        <v>2625</v>
      </c>
      <c r="H501" t="s">
        <v>2806</v>
      </c>
      <c r="I501" t="s">
        <v>2807</v>
      </c>
      <c r="K501" s="20" t="s">
        <v>2602</v>
      </c>
      <c r="L501" s="20"/>
      <c r="M501" s="172" t="s">
        <v>3594</v>
      </c>
      <c r="N501" s="20" t="s">
        <v>2713</v>
      </c>
      <c r="O501" s="28">
        <v>6.9099999999999995E-2</v>
      </c>
      <c r="P501" s="28">
        <v>3.6903999999999992E-2</v>
      </c>
      <c r="Q501" s="65">
        <f t="shared" si="26"/>
        <v>3.2196000000000002E-2</v>
      </c>
      <c r="R501" s="28">
        <v>4.258</v>
      </c>
      <c r="S501" s="28">
        <f>8.606+10.403</f>
        <v>19.009</v>
      </c>
      <c r="T501" s="20">
        <f t="shared" si="25"/>
        <v>80.940321999999995</v>
      </c>
      <c r="X501" s="20" t="s">
        <v>886</v>
      </c>
      <c r="Y501" s="20" t="s">
        <v>36</v>
      </c>
      <c r="Z501" s="20" t="s">
        <v>36</v>
      </c>
    </row>
    <row r="502" spans="1:26">
      <c r="A502" s="20" t="s">
        <v>1443</v>
      </c>
      <c r="B502" s="20" t="s">
        <v>2115</v>
      </c>
      <c r="C502" s="31" t="s">
        <v>2233</v>
      </c>
      <c r="D502" s="49">
        <v>42856</v>
      </c>
      <c r="E502" s="9">
        <v>10.086428</v>
      </c>
      <c r="F502" s="9">
        <v>49.909314000000002</v>
      </c>
      <c r="G502" t="s">
        <v>2625</v>
      </c>
      <c r="H502" t="s">
        <v>2806</v>
      </c>
      <c r="I502" t="s">
        <v>2807</v>
      </c>
      <c r="K502" s="20" t="s">
        <v>2602</v>
      </c>
      <c r="L502" s="20"/>
      <c r="M502" s="172" t="s">
        <v>3598</v>
      </c>
      <c r="N502" s="20" t="s">
        <v>2713</v>
      </c>
      <c r="O502" s="28">
        <v>4.0800000000000003E-2</v>
      </c>
      <c r="P502" s="28">
        <v>3.6903999999999992E-2</v>
      </c>
      <c r="Q502" s="65">
        <f t="shared" si="26"/>
        <v>3.8960000000000106E-3</v>
      </c>
      <c r="R502" s="28">
        <v>2.9009999999999998</v>
      </c>
      <c r="S502" s="28">
        <f>6.617+7.478</f>
        <v>14.094999999999999</v>
      </c>
      <c r="T502" s="20">
        <f t="shared" si="25"/>
        <v>40.889594999999993</v>
      </c>
      <c r="X502" s="20" t="s">
        <v>886</v>
      </c>
      <c r="Y502" s="20" t="s">
        <v>36</v>
      </c>
      <c r="Z502" s="20" t="s">
        <v>36</v>
      </c>
    </row>
    <row r="503" spans="1:26">
      <c r="A503" s="20" t="s">
        <v>1442</v>
      </c>
      <c r="B503" s="20" t="s">
        <v>2115</v>
      </c>
      <c r="C503" s="31" t="s">
        <v>2233</v>
      </c>
      <c r="D503" s="49">
        <v>42856</v>
      </c>
      <c r="E503" s="9">
        <v>10.086428</v>
      </c>
      <c r="F503" s="9">
        <v>49.909314000000002</v>
      </c>
      <c r="G503" t="s">
        <v>2625</v>
      </c>
      <c r="H503" t="s">
        <v>2806</v>
      </c>
      <c r="I503" t="s">
        <v>2807</v>
      </c>
      <c r="K503" s="20" t="s">
        <v>2602</v>
      </c>
      <c r="L503" s="20"/>
      <c r="M503" s="172" t="s">
        <v>3592</v>
      </c>
      <c r="N503" s="20" t="s">
        <v>2713</v>
      </c>
      <c r="O503" s="28">
        <v>6.6100000000000006E-2</v>
      </c>
      <c r="P503" s="28">
        <v>3.6903999999999992E-2</v>
      </c>
      <c r="Q503" s="65">
        <f t="shared" si="26"/>
        <v>2.9196000000000014E-2</v>
      </c>
      <c r="R503" s="28">
        <v>4.101</v>
      </c>
      <c r="S503" s="28">
        <f>9.61+8.685</f>
        <v>18.295000000000002</v>
      </c>
      <c r="T503" s="20">
        <f t="shared" si="25"/>
        <v>75.027795000000012</v>
      </c>
      <c r="X503" s="20" t="s">
        <v>886</v>
      </c>
      <c r="Y503" s="20" t="s">
        <v>36</v>
      </c>
      <c r="Z503" s="20" t="s">
        <v>36</v>
      </c>
    </row>
    <row r="504" spans="1:26">
      <c r="A504" s="20" t="s">
        <v>1441</v>
      </c>
      <c r="B504" s="20" t="s">
        <v>2115</v>
      </c>
      <c r="C504" s="31" t="s">
        <v>2241</v>
      </c>
      <c r="D504" s="49">
        <v>42872</v>
      </c>
      <c r="E504" s="20">
        <v>10.109500000000001</v>
      </c>
      <c r="F504" s="9">
        <v>49.861344000000003</v>
      </c>
      <c r="G504" t="s">
        <v>2625</v>
      </c>
      <c r="H504" t="s">
        <v>2806</v>
      </c>
      <c r="I504" t="s">
        <v>2807</v>
      </c>
      <c r="K504" s="20" t="s">
        <v>2602</v>
      </c>
      <c r="L504" s="20"/>
      <c r="M504" s="172" t="s">
        <v>3589</v>
      </c>
      <c r="N504" s="20" t="s">
        <v>2713</v>
      </c>
      <c r="O504" s="28">
        <v>7.1999999999999995E-2</v>
      </c>
      <c r="P504" s="28">
        <v>3.6903999999999992E-2</v>
      </c>
      <c r="Q504" s="65">
        <f t="shared" si="26"/>
        <v>3.5096000000000002E-2</v>
      </c>
      <c r="R504" s="28">
        <v>4.4820000000000002</v>
      </c>
      <c r="S504" s="28">
        <f>11.571+10.071</f>
        <v>21.641999999999999</v>
      </c>
      <c r="T504" s="20">
        <f t="shared" ref="T504:T567" si="27">R504*S504</f>
        <v>96.999443999999997</v>
      </c>
      <c r="X504" s="20" t="s">
        <v>886</v>
      </c>
      <c r="Y504" s="20" t="s">
        <v>36</v>
      </c>
      <c r="Z504" s="20" t="s">
        <v>36</v>
      </c>
    </row>
    <row r="505" spans="1:26">
      <c r="A505" s="20" t="s">
        <v>1440</v>
      </c>
      <c r="B505" s="20" t="s">
        <v>2115</v>
      </c>
      <c r="C505" s="31" t="s">
        <v>2227</v>
      </c>
      <c r="D505" s="49">
        <v>42856</v>
      </c>
      <c r="E505" s="9">
        <v>10.040881000000001</v>
      </c>
      <c r="F505" s="9">
        <v>49.937356000000001</v>
      </c>
      <c r="G505" t="s">
        <v>2625</v>
      </c>
      <c r="H505" t="s">
        <v>2806</v>
      </c>
      <c r="I505" t="s">
        <v>2807</v>
      </c>
      <c r="K505" s="20" t="s">
        <v>2602</v>
      </c>
      <c r="L505" s="20"/>
      <c r="M505" s="172" t="s">
        <v>3589</v>
      </c>
      <c r="N505" s="20" t="s">
        <v>2712</v>
      </c>
      <c r="O505" s="28">
        <v>4.8500000000000001E-2</v>
      </c>
      <c r="P505" s="28">
        <v>3.6903999999999992E-2</v>
      </c>
      <c r="Q505" s="65">
        <f t="shared" si="26"/>
        <v>1.1596000000000009E-2</v>
      </c>
      <c r="R505" s="28">
        <v>3.101</v>
      </c>
      <c r="S505" s="28">
        <f>7.607+7.45</f>
        <v>15.057</v>
      </c>
      <c r="T505" s="20">
        <f t="shared" si="27"/>
        <v>46.691757000000003</v>
      </c>
      <c r="X505" s="20" t="s">
        <v>886</v>
      </c>
      <c r="Y505" s="20" t="s">
        <v>36</v>
      </c>
      <c r="Z505" s="20" t="s">
        <v>36</v>
      </c>
    </row>
    <row r="506" spans="1:26">
      <c r="A506" s="20" t="s">
        <v>1439</v>
      </c>
      <c r="B506" s="20" t="s">
        <v>2115</v>
      </c>
      <c r="C506" s="31" t="s">
        <v>2228</v>
      </c>
      <c r="D506" s="49">
        <v>42872</v>
      </c>
      <c r="E506" s="9">
        <v>10.050008</v>
      </c>
      <c r="F506" s="9">
        <v>49.941994000000001</v>
      </c>
      <c r="G506" t="s">
        <v>2625</v>
      </c>
      <c r="H506" t="s">
        <v>2806</v>
      </c>
      <c r="I506" t="s">
        <v>2807</v>
      </c>
      <c r="K506" s="20" t="s">
        <v>2602</v>
      </c>
      <c r="L506" s="20"/>
      <c r="M506" s="172" t="s">
        <v>3592</v>
      </c>
      <c r="N506" s="20" t="s">
        <v>2713</v>
      </c>
      <c r="O506" s="28">
        <v>5.8400000000000001E-2</v>
      </c>
      <c r="P506" s="28">
        <v>3.6903999999999992E-2</v>
      </c>
      <c r="Q506" s="65">
        <f t="shared" si="26"/>
        <v>2.1496000000000008E-2</v>
      </c>
      <c r="R506" s="28">
        <v>3.903</v>
      </c>
      <c r="S506" s="28">
        <f>8.172+10.229</f>
        <v>18.401</v>
      </c>
      <c r="T506" s="20">
        <f t="shared" si="27"/>
        <v>71.819102999999998</v>
      </c>
      <c r="X506" s="20" t="s">
        <v>886</v>
      </c>
      <c r="Y506" s="20" t="s">
        <v>36</v>
      </c>
      <c r="Z506" s="20" t="s">
        <v>36</v>
      </c>
    </row>
    <row r="507" spans="1:26">
      <c r="A507" s="20" t="s">
        <v>1438</v>
      </c>
      <c r="B507" s="20" t="s">
        <v>2115</v>
      </c>
      <c r="C507" s="31" t="s">
        <v>2242</v>
      </c>
      <c r="D507" s="49">
        <v>42872</v>
      </c>
      <c r="E507" s="9">
        <v>10.131019</v>
      </c>
      <c r="F507" s="9">
        <v>49.871225000000003</v>
      </c>
      <c r="G507" t="s">
        <v>2625</v>
      </c>
      <c r="H507" t="s">
        <v>2806</v>
      </c>
      <c r="I507" t="s">
        <v>2807</v>
      </c>
      <c r="K507" s="20" t="s">
        <v>2602</v>
      </c>
      <c r="L507" s="20"/>
      <c r="M507" s="172" t="s">
        <v>3591</v>
      </c>
      <c r="N507" s="20" t="s">
        <v>2713</v>
      </c>
      <c r="O507" s="28">
        <v>6.8500000000000005E-2</v>
      </c>
      <c r="P507" s="28">
        <v>3.6903999999999992E-2</v>
      </c>
      <c r="Q507" s="65">
        <f t="shared" si="26"/>
        <v>3.1596000000000013E-2</v>
      </c>
      <c r="R507" s="28">
        <v>4.319</v>
      </c>
      <c r="S507" s="28">
        <f>8.79+9.717</f>
        <v>18.506999999999998</v>
      </c>
      <c r="T507" s="20">
        <f t="shared" si="27"/>
        <v>79.931732999999994</v>
      </c>
      <c r="X507" s="20" t="s">
        <v>886</v>
      </c>
      <c r="Y507" s="20" t="s">
        <v>36</v>
      </c>
      <c r="Z507" s="20" t="s">
        <v>36</v>
      </c>
    </row>
    <row r="508" spans="1:26">
      <c r="A508" s="20" t="s">
        <v>1437</v>
      </c>
      <c r="B508" s="20" t="s">
        <v>2115</v>
      </c>
      <c r="C508" s="31" t="s">
        <v>2231</v>
      </c>
      <c r="D508" s="49">
        <v>42888</v>
      </c>
      <c r="E508" s="9">
        <v>10.113375</v>
      </c>
      <c r="F508" s="9">
        <v>49.850391999999999</v>
      </c>
      <c r="G508" t="s">
        <v>2625</v>
      </c>
      <c r="H508" t="s">
        <v>2806</v>
      </c>
      <c r="I508" t="s">
        <v>2807</v>
      </c>
      <c r="K508" s="20" t="s">
        <v>2602</v>
      </c>
      <c r="L508" s="20"/>
      <c r="M508" s="172" t="s">
        <v>2823</v>
      </c>
      <c r="N508" s="20" t="s">
        <v>2713</v>
      </c>
      <c r="O508" s="28">
        <v>5.1499999999999997E-2</v>
      </c>
      <c r="P508" s="28">
        <v>3.6903999999999992E-2</v>
      </c>
      <c r="Q508" s="65">
        <f t="shared" si="26"/>
        <v>1.4596000000000005E-2</v>
      </c>
      <c r="R508" s="28">
        <v>3.3250000000000002</v>
      </c>
      <c r="S508" s="28">
        <f>9.141+7.514</f>
        <v>16.655000000000001</v>
      </c>
      <c r="T508" s="20">
        <f t="shared" si="27"/>
        <v>55.37787500000001</v>
      </c>
      <c r="X508" s="20" t="s">
        <v>886</v>
      </c>
      <c r="Y508" s="20" t="s">
        <v>36</v>
      </c>
      <c r="Z508" s="20" t="s">
        <v>36</v>
      </c>
    </row>
    <row r="509" spans="1:26">
      <c r="A509" s="20" t="s">
        <v>1436</v>
      </c>
      <c r="B509" s="20" t="s">
        <v>2115</v>
      </c>
      <c r="C509" s="31" t="s">
        <v>2231</v>
      </c>
      <c r="D509" s="49">
        <v>42888</v>
      </c>
      <c r="E509" s="9">
        <v>10.113375</v>
      </c>
      <c r="F509" s="9">
        <v>49.850391999999999</v>
      </c>
      <c r="G509" t="s">
        <v>2625</v>
      </c>
      <c r="H509" t="s">
        <v>2806</v>
      </c>
      <c r="I509" t="s">
        <v>2807</v>
      </c>
      <c r="K509" s="20" t="s">
        <v>2602</v>
      </c>
      <c r="L509" s="20"/>
      <c r="M509" s="172" t="s">
        <v>2823</v>
      </c>
      <c r="N509" s="20" t="s">
        <v>2713</v>
      </c>
      <c r="O509" s="28">
        <v>6.2600000000000003E-2</v>
      </c>
      <c r="P509" s="28">
        <v>3.6903999999999992E-2</v>
      </c>
      <c r="Q509" s="65">
        <f t="shared" si="26"/>
        <v>2.569600000000001E-2</v>
      </c>
      <c r="R509" s="28">
        <v>3.806</v>
      </c>
      <c r="S509" s="28">
        <f>8.231+9.284</f>
        <v>17.515000000000001</v>
      </c>
      <c r="T509" s="20">
        <f t="shared" si="27"/>
        <v>66.662090000000006</v>
      </c>
      <c r="X509" s="20" t="s">
        <v>886</v>
      </c>
      <c r="Y509" s="20" t="s">
        <v>36</v>
      </c>
      <c r="Z509" s="20" t="s">
        <v>36</v>
      </c>
    </row>
    <row r="510" spans="1:26">
      <c r="A510" s="20" t="s">
        <v>1434</v>
      </c>
      <c r="B510" s="20" t="s">
        <v>2115</v>
      </c>
      <c r="C510" s="31" t="s">
        <v>2227</v>
      </c>
      <c r="D510" s="49">
        <v>42856</v>
      </c>
      <c r="E510" s="9">
        <v>10.040881000000001</v>
      </c>
      <c r="F510" s="9">
        <v>49.937356000000001</v>
      </c>
      <c r="G510" t="s">
        <v>2625</v>
      </c>
      <c r="H510" t="s">
        <v>2806</v>
      </c>
      <c r="I510" t="s">
        <v>2807</v>
      </c>
      <c r="K510" s="20" t="s">
        <v>2602</v>
      </c>
      <c r="L510" s="20"/>
      <c r="M510" s="172" t="s">
        <v>3580</v>
      </c>
      <c r="N510" s="20" t="s">
        <v>2713</v>
      </c>
      <c r="O510" s="28">
        <v>4.1500000000000002E-2</v>
      </c>
      <c r="P510" s="28">
        <v>3.6903999999999992E-2</v>
      </c>
      <c r="Q510" s="65">
        <f t="shared" si="26"/>
        <v>4.5960000000000098E-3</v>
      </c>
      <c r="R510" s="28">
        <v>2.3170000000000002</v>
      </c>
      <c r="S510" s="28">
        <f>5.229+5.472</f>
        <v>10.701000000000001</v>
      </c>
      <c r="T510" s="20">
        <f t="shared" si="27"/>
        <v>24.794217000000003</v>
      </c>
      <c r="X510" s="20" t="s">
        <v>886</v>
      </c>
      <c r="Y510" s="20" t="s">
        <v>36</v>
      </c>
      <c r="Z510" s="20" t="s">
        <v>36</v>
      </c>
    </row>
    <row r="511" spans="1:26">
      <c r="A511" s="20" t="s">
        <v>1433</v>
      </c>
      <c r="B511" s="20" t="s">
        <v>2115</v>
      </c>
      <c r="C511" s="31" t="s">
        <v>2242</v>
      </c>
      <c r="D511" s="49">
        <v>42888</v>
      </c>
      <c r="E511" s="9">
        <v>10.131019</v>
      </c>
      <c r="F511" s="9">
        <v>49.871225000000003</v>
      </c>
      <c r="G511" t="s">
        <v>2625</v>
      </c>
      <c r="H511" t="s">
        <v>2806</v>
      </c>
      <c r="I511" t="s">
        <v>2807</v>
      </c>
      <c r="K511" s="20" t="s">
        <v>2602</v>
      </c>
      <c r="L511" s="20"/>
      <c r="M511" s="172" t="s">
        <v>2823</v>
      </c>
      <c r="N511" s="20" t="s">
        <v>2713</v>
      </c>
      <c r="O511" s="28">
        <v>5.6000000000000001E-2</v>
      </c>
      <c r="P511" s="28">
        <v>3.6903999999999992E-2</v>
      </c>
      <c r="Q511" s="65">
        <f t="shared" si="26"/>
        <v>1.9096000000000009E-2</v>
      </c>
      <c r="R511" s="28">
        <v>3.41</v>
      </c>
      <c r="S511" s="28">
        <f>8.434+8.567</f>
        <v>17.000999999999998</v>
      </c>
      <c r="T511" s="20">
        <f t="shared" si="27"/>
        <v>57.973409999999994</v>
      </c>
      <c r="X511" s="20" t="s">
        <v>886</v>
      </c>
      <c r="Y511" s="20" t="s">
        <v>36</v>
      </c>
      <c r="Z511" s="20" t="s">
        <v>36</v>
      </c>
    </row>
    <row r="512" spans="1:26">
      <c r="A512" s="20" t="s">
        <v>1432</v>
      </c>
      <c r="B512" s="20" t="s">
        <v>2115</v>
      </c>
      <c r="C512" s="31" t="s">
        <v>2233</v>
      </c>
      <c r="D512" s="49">
        <v>42856</v>
      </c>
      <c r="E512" s="9">
        <v>10.086428</v>
      </c>
      <c r="F512" s="9">
        <v>49.909314000000002</v>
      </c>
      <c r="G512" t="s">
        <v>2625</v>
      </c>
      <c r="H512" t="s">
        <v>2806</v>
      </c>
      <c r="I512" t="s">
        <v>2807</v>
      </c>
      <c r="K512" s="20" t="s">
        <v>2602</v>
      </c>
      <c r="L512" s="20"/>
      <c r="M512" s="172" t="s">
        <v>3596</v>
      </c>
      <c r="N512" s="20" t="s">
        <v>2712</v>
      </c>
      <c r="O512" s="28">
        <v>4.2099999999999999E-2</v>
      </c>
      <c r="P512" s="28">
        <v>3.6903999999999992E-2</v>
      </c>
      <c r="Q512" s="65">
        <f t="shared" si="26"/>
        <v>5.1960000000000062E-3</v>
      </c>
      <c r="R512" s="28">
        <v>2.528</v>
      </c>
      <c r="S512" s="28">
        <f>5.977+5.676+2.528</f>
        <v>14.181000000000001</v>
      </c>
      <c r="T512" s="20">
        <f t="shared" si="27"/>
        <v>35.849568000000005</v>
      </c>
      <c r="X512" s="20" t="s">
        <v>886</v>
      </c>
      <c r="Y512" s="20" t="s">
        <v>36</v>
      </c>
      <c r="Z512" s="20" t="s">
        <v>36</v>
      </c>
    </row>
    <row r="513" spans="1:26">
      <c r="A513" s="20" t="s">
        <v>1431</v>
      </c>
      <c r="B513" s="20" t="s">
        <v>2115</v>
      </c>
      <c r="C513" s="31" t="s">
        <v>2244</v>
      </c>
      <c r="D513" s="49">
        <v>42872</v>
      </c>
      <c r="E513" s="9">
        <v>10.017931000000001</v>
      </c>
      <c r="F513" s="9">
        <v>49.935696999999998</v>
      </c>
      <c r="G513" t="s">
        <v>2625</v>
      </c>
      <c r="H513" t="s">
        <v>2806</v>
      </c>
      <c r="I513" t="s">
        <v>2807</v>
      </c>
      <c r="K513" s="20" t="s">
        <v>2602</v>
      </c>
      <c r="L513" s="20"/>
      <c r="M513" s="172" t="s">
        <v>3589</v>
      </c>
      <c r="N513" s="20" t="s">
        <v>2713</v>
      </c>
      <c r="O513" s="28">
        <v>7.8200000000000006E-2</v>
      </c>
      <c r="P513" s="28">
        <v>3.6903999999999992E-2</v>
      </c>
      <c r="Q513" s="65">
        <f t="shared" si="26"/>
        <v>4.1296000000000013E-2</v>
      </c>
      <c r="R513" s="28">
        <v>4.6440000000000001</v>
      </c>
      <c r="S513" s="28">
        <f>9.936+10.778</f>
        <v>20.713999999999999</v>
      </c>
      <c r="T513" s="20">
        <f t="shared" si="27"/>
        <v>96.195815999999994</v>
      </c>
      <c r="X513" s="20" t="s">
        <v>886</v>
      </c>
      <c r="Y513" s="20" t="s">
        <v>36</v>
      </c>
      <c r="Z513" s="20" t="s">
        <v>36</v>
      </c>
    </row>
    <row r="514" spans="1:26">
      <c r="A514" s="20" t="s">
        <v>1430</v>
      </c>
      <c r="B514" s="20" t="s">
        <v>2115</v>
      </c>
      <c r="C514" s="60" t="s">
        <v>2240</v>
      </c>
      <c r="D514" s="49">
        <v>42856</v>
      </c>
      <c r="E514" s="9">
        <v>10.094319</v>
      </c>
      <c r="F514" s="9">
        <v>49.925831000000002</v>
      </c>
      <c r="G514" t="s">
        <v>2625</v>
      </c>
      <c r="H514" t="s">
        <v>2806</v>
      </c>
      <c r="I514" t="s">
        <v>2807</v>
      </c>
      <c r="K514" s="20" t="s">
        <v>2602</v>
      </c>
      <c r="L514" s="20"/>
      <c r="M514" s="172" t="s">
        <v>3594</v>
      </c>
      <c r="N514" s="20" t="s">
        <v>2713</v>
      </c>
      <c r="O514" s="28">
        <v>5.5599999999999997E-2</v>
      </c>
      <c r="P514" s="28">
        <v>3.6903999999999992E-2</v>
      </c>
      <c r="Q514" s="65">
        <f t="shared" si="26"/>
        <v>1.8696000000000004E-2</v>
      </c>
      <c r="R514" s="28">
        <v>4.0590000000000002</v>
      </c>
      <c r="S514" s="28">
        <v>17.196000000000002</v>
      </c>
      <c r="T514" s="20">
        <f t="shared" si="27"/>
        <v>69.798564000000013</v>
      </c>
      <c r="X514" s="20" t="s">
        <v>886</v>
      </c>
      <c r="Y514" s="20" t="s">
        <v>36</v>
      </c>
      <c r="Z514" s="20" t="s">
        <v>36</v>
      </c>
    </row>
    <row r="515" spans="1:26">
      <c r="A515" s="20" t="s">
        <v>1429</v>
      </c>
      <c r="B515" s="20" t="s">
        <v>2115</v>
      </c>
      <c r="C515" s="31" t="s">
        <v>2229</v>
      </c>
      <c r="D515" s="49">
        <v>42856</v>
      </c>
      <c r="E515" s="9">
        <v>10.057994000000001</v>
      </c>
      <c r="F515" s="9">
        <v>49.937230999999997</v>
      </c>
      <c r="G515" t="s">
        <v>2625</v>
      </c>
      <c r="H515" t="s">
        <v>2806</v>
      </c>
      <c r="I515" t="s">
        <v>2807</v>
      </c>
      <c r="K515" s="20" t="s">
        <v>2602</v>
      </c>
      <c r="L515" s="20"/>
      <c r="M515" s="172" t="s">
        <v>3589</v>
      </c>
      <c r="N515" s="20" t="s">
        <v>2713</v>
      </c>
      <c r="O515" s="28">
        <v>7.46E-2</v>
      </c>
      <c r="P515" s="28">
        <v>3.6903999999999992E-2</v>
      </c>
      <c r="Q515" s="65">
        <f t="shared" si="26"/>
        <v>3.7696000000000007E-2</v>
      </c>
      <c r="R515" s="28">
        <v>4.5819999999999999</v>
      </c>
      <c r="S515" s="28">
        <f>9.88+9.871</f>
        <v>19.751000000000001</v>
      </c>
      <c r="T515" s="20">
        <f t="shared" si="27"/>
        <v>90.499082000000001</v>
      </c>
      <c r="X515" s="20" t="s">
        <v>886</v>
      </c>
      <c r="Y515" s="20" t="s">
        <v>36</v>
      </c>
      <c r="Z515" s="20" t="s">
        <v>36</v>
      </c>
    </row>
    <row r="516" spans="1:26">
      <c r="A516" s="20" t="s">
        <v>1428</v>
      </c>
      <c r="B516" s="20" t="s">
        <v>2115</v>
      </c>
      <c r="C516" s="31" t="s">
        <v>2233</v>
      </c>
      <c r="D516" s="49">
        <v>42856</v>
      </c>
      <c r="E516" s="9">
        <v>10.086428</v>
      </c>
      <c r="F516" s="9">
        <v>49.909314000000002</v>
      </c>
      <c r="G516" t="s">
        <v>2625</v>
      </c>
      <c r="H516" t="s">
        <v>2806</v>
      </c>
      <c r="I516" t="s">
        <v>2807</v>
      </c>
      <c r="K516" s="20" t="s">
        <v>2602</v>
      </c>
      <c r="L516" s="20"/>
      <c r="M516" s="172" t="s">
        <v>3590</v>
      </c>
      <c r="N516" s="20" t="s">
        <v>2713</v>
      </c>
      <c r="O516" s="28">
        <v>7.3999999999999996E-2</v>
      </c>
      <c r="P516" s="28">
        <v>3.6903999999999992E-2</v>
      </c>
      <c r="Q516" s="65">
        <f t="shared" si="26"/>
        <v>3.7096000000000004E-2</v>
      </c>
      <c r="R516" s="28">
        <v>4.8170000000000002</v>
      </c>
      <c r="S516" s="28">
        <f>12.408+10.315</f>
        <v>22.722999999999999</v>
      </c>
      <c r="T516" s="20">
        <f t="shared" si="27"/>
        <v>109.45669099999999</v>
      </c>
      <c r="X516" s="20" t="s">
        <v>886</v>
      </c>
      <c r="Y516" s="20" t="s">
        <v>36</v>
      </c>
      <c r="Z516" s="20" t="s">
        <v>36</v>
      </c>
    </row>
    <row r="517" spans="1:26">
      <c r="A517" s="20" t="s">
        <v>1427</v>
      </c>
      <c r="B517" s="20" t="s">
        <v>2115</v>
      </c>
      <c r="C517" s="60" t="s">
        <v>2240</v>
      </c>
      <c r="D517" s="49">
        <v>42856</v>
      </c>
      <c r="E517" s="9">
        <v>10.094319</v>
      </c>
      <c r="F517" s="9">
        <v>49.925831000000002</v>
      </c>
      <c r="G517" t="s">
        <v>2625</v>
      </c>
      <c r="H517" t="s">
        <v>2806</v>
      </c>
      <c r="I517" t="s">
        <v>2807</v>
      </c>
      <c r="K517" s="20" t="s">
        <v>2602</v>
      </c>
      <c r="L517" s="20"/>
      <c r="M517" s="172" t="s">
        <v>2823</v>
      </c>
      <c r="N517" s="20" t="s">
        <v>2713</v>
      </c>
      <c r="O517" s="28">
        <v>6.2100000000000002E-2</v>
      </c>
      <c r="P517" s="28">
        <v>3.6903999999999992E-2</v>
      </c>
      <c r="Q517" s="65">
        <f t="shared" si="26"/>
        <v>2.519600000000001E-2</v>
      </c>
      <c r="R517" s="28">
        <v>3.9910000000000001</v>
      </c>
      <c r="S517" s="28">
        <f>10.086+8.071</f>
        <v>18.157</v>
      </c>
      <c r="T517" s="20">
        <f t="shared" si="27"/>
        <v>72.464587000000009</v>
      </c>
      <c r="X517" s="20" t="s">
        <v>886</v>
      </c>
      <c r="Y517" s="20" t="s">
        <v>36</v>
      </c>
      <c r="Z517" s="20" t="s">
        <v>36</v>
      </c>
    </row>
    <row r="518" spans="1:26">
      <c r="A518" s="20" t="s">
        <v>1426</v>
      </c>
      <c r="B518" s="20" t="s">
        <v>2115</v>
      </c>
      <c r="C518" s="31" t="s">
        <v>2228</v>
      </c>
      <c r="D518" s="49">
        <v>42856</v>
      </c>
      <c r="E518" s="9">
        <v>10.050008</v>
      </c>
      <c r="F518" s="9">
        <v>49.941994000000001</v>
      </c>
      <c r="G518" t="s">
        <v>2625</v>
      </c>
      <c r="H518" t="s">
        <v>2806</v>
      </c>
      <c r="I518" t="s">
        <v>2807</v>
      </c>
      <c r="K518" s="20" t="s">
        <v>2602</v>
      </c>
      <c r="L518" s="20"/>
      <c r="M518" s="172" t="s">
        <v>3589</v>
      </c>
      <c r="N518" s="20" t="s">
        <v>2713</v>
      </c>
      <c r="O518" s="28">
        <v>6.4500000000000002E-2</v>
      </c>
      <c r="P518" s="28">
        <v>3.6903999999999992E-2</v>
      </c>
      <c r="Q518" s="65">
        <f t="shared" si="26"/>
        <v>2.7596000000000009E-2</v>
      </c>
      <c r="R518" s="28">
        <v>4.6619999999999999</v>
      </c>
      <c r="S518" s="28">
        <f>9.932+10.954</f>
        <v>20.886000000000003</v>
      </c>
      <c r="T518" s="20">
        <f t="shared" si="27"/>
        <v>97.370532000000011</v>
      </c>
      <c r="X518" s="20" t="s">
        <v>886</v>
      </c>
      <c r="Y518" s="20" t="s">
        <v>36</v>
      </c>
      <c r="Z518" s="20" t="s">
        <v>36</v>
      </c>
    </row>
    <row r="519" spans="1:26">
      <c r="A519" s="20" t="s">
        <v>1425</v>
      </c>
      <c r="B519" s="20" t="s">
        <v>2115</v>
      </c>
      <c r="C519" s="31" t="s">
        <v>2238</v>
      </c>
      <c r="D519" s="49">
        <v>42856</v>
      </c>
      <c r="E519" s="9">
        <v>10.135947</v>
      </c>
      <c r="F519" s="9">
        <v>49.868039000000003</v>
      </c>
      <c r="G519" t="s">
        <v>2625</v>
      </c>
      <c r="H519" t="s">
        <v>2806</v>
      </c>
      <c r="I519" t="s">
        <v>2807</v>
      </c>
      <c r="K519" s="20" t="s">
        <v>2602</v>
      </c>
      <c r="L519" s="20"/>
      <c r="M519" s="172" t="s">
        <v>3592</v>
      </c>
      <c r="N519" s="20" t="s">
        <v>2713</v>
      </c>
      <c r="O519" s="28">
        <v>6.1400000000000003E-2</v>
      </c>
      <c r="P519" s="28">
        <v>3.6903999999999992E-2</v>
      </c>
      <c r="Q519" s="65">
        <f t="shared" si="26"/>
        <v>2.4496000000000011E-2</v>
      </c>
      <c r="R519" s="28">
        <v>3.9260000000000002</v>
      </c>
      <c r="S519" s="28">
        <f>8.614+9.902</f>
        <v>18.515999999999998</v>
      </c>
      <c r="T519" s="20">
        <f t="shared" si="27"/>
        <v>72.693815999999998</v>
      </c>
      <c r="X519" s="20" t="s">
        <v>886</v>
      </c>
      <c r="Y519" s="20" t="s">
        <v>36</v>
      </c>
      <c r="Z519" s="20" t="s">
        <v>36</v>
      </c>
    </row>
    <row r="520" spans="1:26">
      <c r="A520" s="20" t="s">
        <v>1424</v>
      </c>
      <c r="B520" s="20" t="s">
        <v>2115</v>
      </c>
      <c r="C520" s="31" t="s">
        <v>2236</v>
      </c>
      <c r="D520" s="49">
        <v>42888</v>
      </c>
      <c r="E520" s="9">
        <v>10.022767</v>
      </c>
      <c r="F520" s="9">
        <v>49.938633000000003</v>
      </c>
      <c r="G520" t="s">
        <v>2625</v>
      </c>
      <c r="H520" t="s">
        <v>2806</v>
      </c>
      <c r="I520" t="s">
        <v>2807</v>
      </c>
      <c r="K520" s="20" t="s">
        <v>2602</v>
      </c>
      <c r="L520" s="20"/>
      <c r="M520" s="172" t="s">
        <v>3593</v>
      </c>
      <c r="N520" s="20" t="s">
        <v>2713</v>
      </c>
      <c r="O520" s="28">
        <v>8.9099999999999999E-2</v>
      </c>
      <c r="P520" s="28">
        <v>3.6903999999999992E-2</v>
      </c>
      <c r="Q520" s="65">
        <f t="shared" si="26"/>
        <v>5.2196000000000006E-2</v>
      </c>
      <c r="R520" s="28">
        <v>4.968</v>
      </c>
      <c r="S520" s="28">
        <v>23.602</v>
      </c>
      <c r="T520" s="20">
        <f t="shared" si="27"/>
        <v>117.25473599999999</v>
      </c>
      <c r="X520" s="20" t="s">
        <v>886</v>
      </c>
      <c r="Y520" s="20" t="s">
        <v>36</v>
      </c>
      <c r="Z520" s="20" t="s">
        <v>36</v>
      </c>
    </row>
    <row r="521" spans="1:26">
      <c r="A521" s="20" t="s">
        <v>1423</v>
      </c>
      <c r="B521" s="20" t="s">
        <v>2115</v>
      </c>
      <c r="C521" s="31" t="s">
        <v>2238</v>
      </c>
      <c r="D521" s="49">
        <v>42856</v>
      </c>
      <c r="E521" s="9">
        <v>10.135947</v>
      </c>
      <c r="F521" s="9">
        <v>49.868039000000003</v>
      </c>
      <c r="G521" t="s">
        <v>2625</v>
      </c>
      <c r="H521" t="s">
        <v>2806</v>
      </c>
      <c r="I521" t="s">
        <v>2807</v>
      </c>
      <c r="K521" s="20" t="s">
        <v>2602</v>
      </c>
      <c r="L521" s="20"/>
      <c r="M521" s="172" t="s">
        <v>3593</v>
      </c>
      <c r="N521" s="20" t="s">
        <v>2713</v>
      </c>
      <c r="O521" s="28">
        <v>9.1200000000000003E-2</v>
      </c>
      <c r="P521" s="28">
        <v>3.6903999999999992E-2</v>
      </c>
      <c r="Q521" s="65">
        <f t="shared" si="26"/>
        <v>5.4296000000000011E-2</v>
      </c>
      <c r="R521" s="28">
        <v>4.6219999999999999</v>
      </c>
      <c r="S521" s="28">
        <f>12.578+10.529</f>
        <v>23.106999999999999</v>
      </c>
      <c r="T521" s="20">
        <f t="shared" si="27"/>
        <v>106.80055399999999</v>
      </c>
      <c r="X521" s="20" t="s">
        <v>886</v>
      </c>
      <c r="Y521" s="20" t="s">
        <v>36</v>
      </c>
      <c r="Z521" s="20" t="s">
        <v>36</v>
      </c>
    </row>
    <row r="522" spans="1:26">
      <c r="A522" s="20" t="s">
        <v>1422</v>
      </c>
      <c r="B522" s="20" t="s">
        <v>2115</v>
      </c>
      <c r="C522" s="31" t="s">
        <v>2236</v>
      </c>
      <c r="D522" s="49">
        <v>42856</v>
      </c>
      <c r="E522" s="9">
        <v>10.022767</v>
      </c>
      <c r="F522" s="9">
        <v>49.938633000000003</v>
      </c>
      <c r="G522" t="s">
        <v>2625</v>
      </c>
      <c r="H522" t="s">
        <v>2806</v>
      </c>
      <c r="I522" t="s">
        <v>2807</v>
      </c>
      <c r="K522" s="20" t="s">
        <v>2602</v>
      </c>
      <c r="L522" s="20"/>
      <c r="M522" s="172" t="s">
        <v>3580</v>
      </c>
      <c r="N522" s="20" t="s">
        <v>2713</v>
      </c>
      <c r="O522" s="28">
        <v>4.2299999999999997E-2</v>
      </c>
      <c r="P522" s="28">
        <v>3.6903999999999992E-2</v>
      </c>
      <c r="Q522" s="65">
        <f t="shared" si="26"/>
        <v>5.396000000000005E-3</v>
      </c>
      <c r="R522" s="28">
        <v>2.4409999999999998</v>
      </c>
      <c r="S522" s="28">
        <v>11.473000000000001</v>
      </c>
      <c r="T522" s="20">
        <f t="shared" si="27"/>
        <v>28.005593000000001</v>
      </c>
      <c r="X522" s="20" t="s">
        <v>886</v>
      </c>
      <c r="Y522" s="20" t="s">
        <v>36</v>
      </c>
      <c r="Z522" s="20" t="s">
        <v>36</v>
      </c>
    </row>
    <row r="523" spans="1:26">
      <c r="A523" s="20" t="s">
        <v>1421</v>
      </c>
      <c r="B523" s="20" t="s">
        <v>2115</v>
      </c>
      <c r="C523" s="31" t="s">
        <v>2242</v>
      </c>
      <c r="D523" s="49">
        <v>42872</v>
      </c>
      <c r="E523" s="9">
        <v>10.131019</v>
      </c>
      <c r="F523" s="9">
        <v>49.871225000000003</v>
      </c>
      <c r="G523" t="s">
        <v>2625</v>
      </c>
      <c r="H523" t="s">
        <v>2806</v>
      </c>
      <c r="I523" t="s">
        <v>2807</v>
      </c>
      <c r="K523" s="20" t="s">
        <v>2602</v>
      </c>
      <c r="L523" s="20"/>
      <c r="M523" s="172" t="s">
        <v>3592</v>
      </c>
      <c r="N523" s="20" t="s">
        <v>2713</v>
      </c>
      <c r="O523" s="28">
        <v>6.5500000000000003E-2</v>
      </c>
      <c r="P523" s="28">
        <v>3.6903999999999992E-2</v>
      </c>
      <c r="Q523" s="65">
        <f t="shared" si="26"/>
        <v>2.859600000000001E-2</v>
      </c>
      <c r="R523" s="28">
        <v>4.7190000000000003</v>
      </c>
      <c r="S523" s="28">
        <f>9.149+9.116</f>
        <v>18.265000000000001</v>
      </c>
      <c r="T523" s="20">
        <f t="shared" si="27"/>
        <v>86.192535000000007</v>
      </c>
      <c r="X523" s="20" t="s">
        <v>886</v>
      </c>
      <c r="Y523" s="20" t="s">
        <v>36</v>
      </c>
      <c r="Z523" s="20" t="s">
        <v>36</v>
      </c>
    </row>
    <row r="524" spans="1:26">
      <c r="A524" s="20" t="s">
        <v>1420</v>
      </c>
      <c r="B524" s="20" t="s">
        <v>2115</v>
      </c>
      <c r="C524" s="31" t="s">
        <v>2241</v>
      </c>
      <c r="D524" s="49">
        <v>42888</v>
      </c>
      <c r="E524" s="20">
        <v>10.109500000000001</v>
      </c>
      <c r="F524" s="9">
        <v>49.861344000000003</v>
      </c>
      <c r="G524" t="s">
        <v>2625</v>
      </c>
      <c r="H524" t="s">
        <v>2806</v>
      </c>
      <c r="I524" t="s">
        <v>2807</v>
      </c>
      <c r="K524" s="20" t="s">
        <v>2602</v>
      </c>
      <c r="L524" s="20"/>
      <c r="M524" s="172" t="s">
        <v>2823</v>
      </c>
      <c r="N524" s="20" t="s">
        <v>2713</v>
      </c>
      <c r="O524" s="28">
        <v>6.1800000000000001E-2</v>
      </c>
      <c r="P524" s="28">
        <v>3.6903999999999992E-2</v>
      </c>
      <c r="Q524" s="65">
        <f t="shared" si="26"/>
        <v>2.4896000000000008E-2</v>
      </c>
      <c r="R524" s="28">
        <v>3.5190000000000001</v>
      </c>
      <c r="S524" s="28">
        <v>16.567</v>
      </c>
      <c r="T524" s="20">
        <f t="shared" si="27"/>
        <v>58.299272999999999</v>
      </c>
      <c r="X524" s="20" t="s">
        <v>886</v>
      </c>
      <c r="Y524" s="20" t="s">
        <v>36</v>
      </c>
      <c r="Z524" s="20" t="s">
        <v>36</v>
      </c>
    </row>
    <row r="525" spans="1:26">
      <c r="A525" s="20" t="s">
        <v>1419</v>
      </c>
      <c r="B525" s="20" t="s">
        <v>2115</v>
      </c>
      <c r="C525" s="31" t="s">
        <v>2238</v>
      </c>
      <c r="D525" s="49">
        <v>42902</v>
      </c>
      <c r="E525" s="9">
        <v>10.135947</v>
      </c>
      <c r="F525" s="9">
        <v>49.868039000000003</v>
      </c>
      <c r="G525" t="s">
        <v>2625</v>
      </c>
      <c r="H525" t="s">
        <v>2806</v>
      </c>
      <c r="I525" t="s">
        <v>2807</v>
      </c>
      <c r="K525" s="20" t="s">
        <v>2602</v>
      </c>
      <c r="L525" s="20"/>
      <c r="M525" s="172" t="s">
        <v>3589</v>
      </c>
      <c r="N525" s="20" t="s">
        <v>2713</v>
      </c>
      <c r="O525" s="28">
        <v>6.4899999999999999E-2</v>
      </c>
      <c r="P525" s="28">
        <v>3.6903999999999992E-2</v>
      </c>
      <c r="Q525" s="65">
        <f t="shared" si="26"/>
        <v>2.7996000000000007E-2</v>
      </c>
      <c r="R525" s="28">
        <v>4.5309999999999997</v>
      </c>
      <c r="S525" s="28">
        <f>11.451+9.265</f>
        <v>20.716000000000001</v>
      </c>
      <c r="T525" s="20">
        <f t="shared" si="27"/>
        <v>93.864195999999993</v>
      </c>
      <c r="X525" s="20" t="s">
        <v>886</v>
      </c>
      <c r="Y525" s="20" t="s">
        <v>36</v>
      </c>
      <c r="Z525" s="20" t="s">
        <v>36</v>
      </c>
    </row>
    <row r="526" spans="1:26">
      <c r="A526" s="20" t="s">
        <v>1418</v>
      </c>
      <c r="B526" s="20" t="s">
        <v>2115</v>
      </c>
      <c r="C526" s="31" t="s">
        <v>2239</v>
      </c>
      <c r="D526" s="49">
        <v>42856</v>
      </c>
      <c r="E526" s="9">
        <v>10.067944000000001</v>
      </c>
      <c r="F526" s="9">
        <v>49.912992000000003</v>
      </c>
      <c r="G526" t="s">
        <v>2625</v>
      </c>
      <c r="H526" t="s">
        <v>2806</v>
      </c>
      <c r="I526" t="s">
        <v>2807</v>
      </c>
      <c r="K526" s="20" t="s">
        <v>2602</v>
      </c>
      <c r="L526" s="20"/>
      <c r="M526" s="172" t="s">
        <v>3589</v>
      </c>
      <c r="N526" s="20" t="s">
        <v>2712</v>
      </c>
      <c r="O526" s="28">
        <v>4.6100000000000002E-2</v>
      </c>
      <c r="P526" s="28">
        <v>3.6903999999999992E-2</v>
      </c>
      <c r="Q526" s="65">
        <f t="shared" si="26"/>
        <v>9.1960000000000097E-3</v>
      </c>
      <c r="R526" s="28">
        <v>3.6989999999999998</v>
      </c>
      <c r="S526" s="28">
        <f>8.538+8.274</f>
        <v>16.811999999999998</v>
      </c>
      <c r="T526" s="20">
        <f t="shared" si="27"/>
        <v>62.187587999999991</v>
      </c>
      <c r="X526" s="20" t="s">
        <v>886</v>
      </c>
      <c r="Y526" s="20" t="s">
        <v>36</v>
      </c>
      <c r="Z526" s="20" t="s">
        <v>36</v>
      </c>
    </row>
    <row r="527" spans="1:26">
      <c r="A527" s="20" t="s">
        <v>1417</v>
      </c>
      <c r="B527" s="20" t="s">
        <v>2115</v>
      </c>
      <c r="C527" s="31" t="s">
        <v>2233</v>
      </c>
      <c r="D527" s="49">
        <v>42856</v>
      </c>
      <c r="E527" s="9">
        <v>10.086428</v>
      </c>
      <c r="F527" s="9">
        <v>49.909314000000002</v>
      </c>
      <c r="G527" t="s">
        <v>2625</v>
      </c>
      <c r="H527" t="s">
        <v>2806</v>
      </c>
      <c r="I527" t="s">
        <v>2807</v>
      </c>
      <c r="K527" s="20" t="s">
        <v>2602</v>
      </c>
      <c r="L527" s="20"/>
      <c r="M527" s="172" t="s">
        <v>3593</v>
      </c>
      <c r="N527" s="20" t="s">
        <v>2713</v>
      </c>
      <c r="O527" s="28">
        <v>8.77E-2</v>
      </c>
      <c r="P527" s="28">
        <v>3.6903999999999992E-2</v>
      </c>
      <c r="Q527" s="65">
        <f t="shared" si="26"/>
        <v>5.0796000000000008E-2</v>
      </c>
      <c r="R527" s="28">
        <v>4.548</v>
      </c>
      <c r="S527" s="28">
        <f>9.791+12.319</f>
        <v>22.11</v>
      </c>
      <c r="T527" s="20">
        <f t="shared" si="27"/>
        <v>100.55628</v>
      </c>
      <c r="X527" s="20" t="s">
        <v>886</v>
      </c>
      <c r="Y527" s="20" t="s">
        <v>36</v>
      </c>
      <c r="Z527" s="20" t="s">
        <v>36</v>
      </c>
    </row>
    <row r="528" spans="1:26">
      <c r="A528" s="20" t="s">
        <v>1416</v>
      </c>
      <c r="B528" s="20" t="s">
        <v>2115</v>
      </c>
      <c r="C528" s="31" t="s">
        <v>2242</v>
      </c>
      <c r="D528" s="49">
        <v>42888</v>
      </c>
      <c r="E528" s="9">
        <v>10.131019</v>
      </c>
      <c r="F528" s="9">
        <v>49.871225000000003</v>
      </c>
      <c r="G528" t="s">
        <v>2625</v>
      </c>
      <c r="H528" t="s">
        <v>2806</v>
      </c>
      <c r="I528" t="s">
        <v>2807</v>
      </c>
      <c r="K528" s="20" t="s">
        <v>2602</v>
      </c>
      <c r="L528" s="20"/>
      <c r="M528" s="172" t="s">
        <v>3589</v>
      </c>
      <c r="N528" s="20" t="s">
        <v>2713</v>
      </c>
      <c r="O528" s="28">
        <v>7.2800000000000004E-2</v>
      </c>
      <c r="P528" s="28">
        <v>3.6903999999999992E-2</v>
      </c>
      <c r="Q528" s="65">
        <f t="shared" si="26"/>
        <v>3.5896000000000011E-2</v>
      </c>
      <c r="R528" s="28">
        <v>4.5999999999999996</v>
      </c>
      <c r="S528" s="28">
        <v>21.565000000000001</v>
      </c>
      <c r="T528" s="20">
        <f t="shared" si="27"/>
        <v>99.198999999999998</v>
      </c>
      <c r="X528" s="20" t="s">
        <v>886</v>
      </c>
      <c r="Y528" s="20" t="s">
        <v>36</v>
      </c>
      <c r="Z528" s="20" t="s">
        <v>36</v>
      </c>
    </row>
    <row r="529" spans="1:26">
      <c r="A529" s="20" t="s">
        <v>1415</v>
      </c>
      <c r="B529" s="20" t="s">
        <v>2115</v>
      </c>
      <c r="C529" s="31" t="s">
        <v>2230</v>
      </c>
      <c r="D529" s="49">
        <v>42856</v>
      </c>
      <c r="E529" s="9">
        <v>10.124091999999999</v>
      </c>
      <c r="F529" s="9">
        <v>49.906236</v>
      </c>
      <c r="G529" t="s">
        <v>2625</v>
      </c>
      <c r="H529" t="s">
        <v>2806</v>
      </c>
      <c r="I529" t="s">
        <v>2807</v>
      </c>
      <c r="K529" s="20" t="s">
        <v>2602</v>
      </c>
      <c r="L529" s="20"/>
      <c r="M529" s="172" t="s">
        <v>2823</v>
      </c>
      <c r="N529" s="20" t="s">
        <v>2713</v>
      </c>
      <c r="O529" s="28">
        <v>5.8799999999999998E-2</v>
      </c>
      <c r="P529" s="28">
        <v>3.6903999999999992E-2</v>
      </c>
      <c r="Q529" s="65">
        <f t="shared" si="26"/>
        <v>2.1896000000000006E-2</v>
      </c>
      <c r="R529" s="28">
        <v>3.6829999999999998</v>
      </c>
      <c r="S529" s="28">
        <v>17.75</v>
      </c>
      <c r="T529" s="20">
        <f t="shared" si="27"/>
        <v>65.373249999999999</v>
      </c>
      <c r="X529" s="20" t="s">
        <v>886</v>
      </c>
      <c r="Y529" s="20" t="s">
        <v>36</v>
      </c>
      <c r="Z529" s="20" t="s">
        <v>36</v>
      </c>
    </row>
    <row r="530" spans="1:26">
      <c r="A530" s="20" t="s">
        <v>1414</v>
      </c>
      <c r="B530" s="20" t="s">
        <v>2115</v>
      </c>
      <c r="C530" s="60" t="s">
        <v>2240</v>
      </c>
      <c r="D530" s="49">
        <v>42872</v>
      </c>
      <c r="E530" s="9">
        <v>10.094319</v>
      </c>
      <c r="F530" s="9">
        <v>49.925831000000002</v>
      </c>
      <c r="G530" t="s">
        <v>2625</v>
      </c>
      <c r="H530" t="s">
        <v>2806</v>
      </c>
      <c r="I530" t="s">
        <v>2807</v>
      </c>
      <c r="K530" s="20" t="s">
        <v>2602</v>
      </c>
      <c r="L530" s="20"/>
      <c r="M530" s="172" t="s">
        <v>3590</v>
      </c>
      <c r="N530" s="20" t="s">
        <v>2713</v>
      </c>
      <c r="O530" s="28">
        <v>8.3099999999999993E-2</v>
      </c>
      <c r="P530" s="28">
        <v>3.6903999999999992E-2</v>
      </c>
      <c r="Q530" s="65">
        <f t="shared" si="26"/>
        <v>4.6196000000000001E-2</v>
      </c>
      <c r="R530" s="28">
        <v>4.55</v>
      </c>
      <c r="S530" s="28">
        <f>9.113+10.603</f>
        <v>19.716000000000001</v>
      </c>
      <c r="T530" s="20">
        <f t="shared" si="27"/>
        <v>89.707800000000006</v>
      </c>
      <c r="X530" s="20" t="s">
        <v>886</v>
      </c>
      <c r="Y530" s="20" t="s">
        <v>36</v>
      </c>
      <c r="Z530" s="20" t="s">
        <v>36</v>
      </c>
    </row>
    <row r="531" spans="1:26">
      <c r="A531" s="20" t="s">
        <v>1413</v>
      </c>
      <c r="B531" s="20" t="s">
        <v>2115</v>
      </c>
      <c r="C531" s="60" t="s">
        <v>2240</v>
      </c>
      <c r="D531" s="49">
        <v>42888</v>
      </c>
      <c r="E531" s="9">
        <v>10.094319</v>
      </c>
      <c r="F531" s="9">
        <v>49.925831000000002</v>
      </c>
      <c r="G531" t="s">
        <v>2625</v>
      </c>
      <c r="H531" t="s">
        <v>2806</v>
      </c>
      <c r="I531" t="s">
        <v>2807</v>
      </c>
      <c r="K531" s="20" t="s">
        <v>2602</v>
      </c>
      <c r="L531" s="20"/>
      <c r="M531" s="172" t="s">
        <v>3592</v>
      </c>
      <c r="N531" s="20" t="s">
        <v>2713</v>
      </c>
      <c r="O531" s="28">
        <v>6.7500000000000004E-2</v>
      </c>
      <c r="P531" s="28">
        <v>3.6903999999999992E-2</v>
      </c>
      <c r="Q531" s="65">
        <f t="shared" si="26"/>
        <v>3.0596000000000012E-2</v>
      </c>
      <c r="R531" s="28">
        <v>4.3010000000000002</v>
      </c>
      <c r="S531" s="28">
        <f>8.929+10.122</f>
        <v>19.051000000000002</v>
      </c>
      <c r="T531" s="20">
        <f t="shared" si="27"/>
        <v>81.938351000000011</v>
      </c>
      <c r="X531" s="20" t="s">
        <v>886</v>
      </c>
      <c r="Y531" s="20" t="s">
        <v>36</v>
      </c>
      <c r="Z531" s="20" t="s">
        <v>36</v>
      </c>
    </row>
    <row r="532" spans="1:26">
      <c r="A532" s="20" t="s">
        <v>1412</v>
      </c>
      <c r="B532" s="20" t="s">
        <v>2115</v>
      </c>
      <c r="C532" s="31" t="s">
        <v>2229</v>
      </c>
      <c r="D532" s="49">
        <v>42888</v>
      </c>
      <c r="E532" s="9">
        <v>10.057994000000001</v>
      </c>
      <c r="F532" s="9">
        <v>49.937230999999997</v>
      </c>
      <c r="G532" t="s">
        <v>2625</v>
      </c>
      <c r="H532" t="s">
        <v>2806</v>
      </c>
      <c r="I532" t="s">
        <v>2807</v>
      </c>
      <c r="K532" s="20" t="s">
        <v>2602</v>
      </c>
      <c r="L532" s="20"/>
      <c r="M532" s="172" t="s">
        <v>3589</v>
      </c>
      <c r="N532" s="20" t="s">
        <v>2713</v>
      </c>
      <c r="O532" s="28">
        <v>0.06</v>
      </c>
      <c r="P532" s="28">
        <v>3.6903999999999992E-2</v>
      </c>
      <c r="Q532" s="65">
        <f t="shared" si="26"/>
        <v>2.3096000000000005E-2</v>
      </c>
      <c r="R532" s="28">
        <v>3.9649999999999999</v>
      </c>
      <c r="S532" s="28">
        <f>9.912+8.228</f>
        <v>18.14</v>
      </c>
      <c r="T532" s="20">
        <f t="shared" si="27"/>
        <v>71.9251</v>
      </c>
      <c r="X532" s="20" t="s">
        <v>886</v>
      </c>
      <c r="Y532" s="20" t="s">
        <v>36</v>
      </c>
      <c r="Z532" s="20" t="s">
        <v>36</v>
      </c>
    </row>
    <row r="533" spans="1:26">
      <c r="A533" s="20" t="s">
        <v>1411</v>
      </c>
      <c r="B533" s="20" t="s">
        <v>2115</v>
      </c>
      <c r="C533" s="31" t="s">
        <v>2234</v>
      </c>
      <c r="D533" s="49">
        <v>42856</v>
      </c>
      <c r="E533" s="9">
        <v>10.053630999999999</v>
      </c>
      <c r="F533" s="9">
        <v>49.900486000000001</v>
      </c>
      <c r="G533" t="s">
        <v>2625</v>
      </c>
      <c r="H533" t="s">
        <v>2806</v>
      </c>
      <c r="I533" t="s">
        <v>2807</v>
      </c>
      <c r="K533" s="20" t="s">
        <v>2602</v>
      </c>
      <c r="L533" s="20"/>
      <c r="M533" s="172" t="s">
        <v>3596</v>
      </c>
      <c r="N533" s="20" t="s">
        <v>2713</v>
      </c>
      <c r="O533" s="28">
        <v>5.3199999999999997E-2</v>
      </c>
      <c r="P533" s="28">
        <v>3.6903999999999992E-2</v>
      </c>
      <c r="Q533" s="65">
        <f t="shared" si="26"/>
        <v>1.6296000000000005E-2</v>
      </c>
      <c r="R533" s="28">
        <v>3.7040000000000002</v>
      </c>
      <c r="S533" s="28">
        <f>8.426+7.705</f>
        <v>16.131</v>
      </c>
      <c r="T533" s="20">
        <f t="shared" si="27"/>
        <v>59.749224000000005</v>
      </c>
      <c r="X533" s="20" t="s">
        <v>886</v>
      </c>
      <c r="Y533" s="20" t="s">
        <v>36</v>
      </c>
      <c r="Z533" s="20" t="s">
        <v>36</v>
      </c>
    </row>
    <row r="534" spans="1:26">
      <c r="A534" s="20" t="s">
        <v>1410</v>
      </c>
      <c r="B534" s="20" t="s">
        <v>2115</v>
      </c>
      <c r="C534" s="60" t="s">
        <v>2240</v>
      </c>
      <c r="D534" s="49">
        <v>42856</v>
      </c>
      <c r="E534" s="9">
        <v>10.094319</v>
      </c>
      <c r="F534" s="9">
        <v>49.925831000000002</v>
      </c>
      <c r="G534" t="s">
        <v>2625</v>
      </c>
      <c r="H534" t="s">
        <v>2806</v>
      </c>
      <c r="I534" t="s">
        <v>2807</v>
      </c>
      <c r="K534" s="20" t="s">
        <v>2602</v>
      </c>
      <c r="L534" s="20"/>
      <c r="M534" s="172" t="s">
        <v>3589</v>
      </c>
      <c r="N534" s="20" t="s">
        <v>2713</v>
      </c>
      <c r="O534" s="28">
        <v>7.1599999999999997E-2</v>
      </c>
      <c r="P534" s="28">
        <v>3.6903999999999992E-2</v>
      </c>
      <c r="Q534" s="65">
        <f t="shared" si="26"/>
        <v>3.4696000000000005E-2</v>
      </c>
      <c r="R534" s="28">
        <v>4.75</v>
      </c>
      <c r="S534" s="28">
        <f>10.51+9.513</f>
        <v>20.023</v>
      </c>
      <c r="T534" s="20">
        <f t="shared" si="27"/>
        <v>95.109250000000003</v>
      </c>
      <c r="X534" s="20" t="s">
        <v>886</v>
      </c>
      <c r="Y534" s="20" t="s">
        <v>36</v>
      </c>
      <c r="Z534" s="20" t="s">
        <v>36</v>
      </c>
    </row>
    <row r="535" spans="1:26">
      <c r="A535" s="20" t="s">
        <v>1409</v>
      </c>
      <c r="B535" s="20" t="s">
        <v>2115</v>
      </c>
      <c r="C535" s="31" t="s">
        <v>2231</v>
      </c>
      <c r="D535" s="49">
        <v>42856</v>
      </c>
      <c r="E535" s="9">
        <v>10.113375</v>
      </c>
      <c r="F535" s="9">
        <v>49.850391999999999</v>
      </c>
      <c r="G535" t="s">
        <v>2625</v>
      </c>
      <c r="H535" t="s">
        <v>2806</v>
      </c>
      <c r="I535" t="s">
        <v>2807</v>
      </c>
      <c r="K535" s="20" t="s">
        <v>2602</v>
      </c>
      <c r="L535" s="20"/>
      <c r="M535" s="172" t="s">
        <v>2823</v>
      </c>
      <c r="N535" s="20" t="s">
        <v>2712</v>
      </c>
      <c r="O535" s="28">
        <v>4.6100000000000002E-2</v>
      </c>
      <c r="P535" s="28">
        <v>3.6903999999999992E-2</v>
      </c>
      <c r="Q535" s="65">
        <f t="shared" si="26"/>
        <v>9.1960000000000097E-3</v>
      </c>
      <c r="R535" s="28">
        <v>2.8079999999999998</v>
      </c>
      <c r="S535" s="28">
        <f>6.595+6.885</f>
        <v>13.48</v>
      </c>
      <c r="T535" s="20">
        <f t="shared" si="27"/>
        <v>37.851839999999996</v>
      </c>
      <c r="X535" s="20" t="s">
        <v>886</v>
      </c>
      <c r="Y535" s="20" t="s">
        <v>36</v>
      </c>
      <c r="Z535" s="20" t="s">
        <v>36</v>
      </c>
    </row>
    <row r="536" spans="1:26">
      <c r="A536" s="20" t="s">
        <v>1408</v>
      </c>
      <c r="B536" s="20" t="s">
        <v>2115</v>
      </c>
      <c r="C536" s="60" t="s">
        <v>2240</v>
      </c>
      <c r="D536" s="49">
        <v>42856</v>
      </c>
      <c r="E536" s="9">
        <v>10.094319</v>
      </c>
      <c r="F536" s="9">
        <v>49.925831000000002</v>
      </c>
      <c r="G536" t="s">
        <v>2625</v>
      </c>
      <c r="H536" t="s">
        <v>2806</v>
      </c>
      <c r="I536" t="s">
        <v>2807</v>
      </c>
      <c r="K536" s="20" t="s">
        <v>2602</v>
      </c>
      <c r="L536" s="20"/>
      <c r="M536" s="172" t="s">
        <v>3590</v>
      </c>
      <c r="N536" s="20" t="s">
        <v>2713</v>
      </c>
      <c r="O536" s="28">
        <v>7.7399999999999997E-2</v>
      </c>
      <c r="P536" s="28">
        <v>3.6903999999999992E-2</v>
      </c>
      <c r="Q536" s="65">
        <f t="shared" si="26"/>
        <v>4.0496000000000004E-2</v>
      </c>
      <c r="R536" s="28">
        <v>4.5679999999999996</v>
      </c>
      <c r="S536" s="28">
        <f>9.821+11.967</f>
        <v>21.788</v>
      </c>
      <c r="T536" s="20">
        <f t="shared" si="27"/>
        <v>99.52758399999999</v>
      </c>
      <c r="X536" s="20" t="s">
        <v>886</v>
      </c>
      <c r="Y536" s="20" t="s">
        <v>36</v>
      </c>
      <c r="Z536" s="20" t="s">
        <v>36</v>
      </c>
    </row>
    <row r="537" spans="1:26">
      <c r="A537" s="20" t="s">
        <v>1407</v>
      </c>
      <c r="B537" s="20" t="s">
        <v>2115</v>
      </c>
      <c r="C537" s="60" t="s">
        <v>2240</v>
      </c>
      <c r="D537" s="49">
        <v>42888</v>
      </c>
      <c r="E537" s="9">
        <v>10.094319</v>
      </c>
      <c r="F537" s="9">
        <v>49.925831000000002</v>
      </c>
      <c r="G537" t="s">
        <v>2625</v>
      </c>
      <c r="H537" t="s">
        <v>2806</v>
      </c>
      <c r="I537" t="s">
        <v>2807</v>
      </c>
      <c r="K537" s="20" t="s">
        <v>2602</v>
      </c>
      <c r="L537" s="20"/>
      <c r="M537" s="172" t="s">
        <v>3589</v>
      </c>
      <c r="N537" s="20" t="s">
        <v>2713</v>
      </c>
      <c r="O537" s="28">
        <v>7.5600000000000001E-2</v>
      </c>
      <c r="P537" s="28">
        <v>3.6903999999999992E-2</v>
      </c>
      <c r="Q537" s="65">
        <f t="shared" si="26"/>
        <v>3.8696000000000008E-2</v>
      </c>
      <c r="R537" s="28">
        <v>4.6379999999999999</v>
      </c>
      <c r="S537" s="28">
        <f>10.775+11.158</f>
        <v>21.933</v>
      </c>
      <c r="T537" s="20">
        <f t="shared" si="27"/>
        <v>101.72525399999999</v>
      </c>
      <c r="X537" s="20" t="s">
        <v>886</v>
      </c>
      <c r="Y537" s="20" t="s">
        <v>36</v>
      </c>
      <c r="Z537" s="20" t="s">
        <v>36</v>
      </c>
    </row>
    <row r="538" spans="1:26">
      <c r="A538" s="20" t="s">
        <v>1406</v>
      </c>
      <c r="B538" s="20" t="s">
        <v>2115</v>
      </c>
      <c r="C538" s="31" t="s">
        <v>2235</v>
      </c>
      <c r="D538" s="49">
        <v>42856</v>
      </c>
      <c r="E538" s="9">
        <v>10.057294000000001</v>
      </c>
      <c r="F538" s="9">
        <v>49.902307999999998</v>
      </c>
      <c r="G538" t="s">
        <v>2625</v>
      </c>
      <c r="H538" t="s">
        <v>2806</v>
      </c>
      <c r="I538" t="s">
        <v>2807</v>
      </c>
      <c r="K538" s="20" t="s">
        <v>2602</v>
      </c>
      <c r="L538" s="20"/>
      <c r="M538" s="172" t="s">
        <v>3596</v>
      </c>
      <c r="N538" s="20" t="s">
        <v>2712</v>
      </c>
      <c r="O538" s="28">
        <v>4.2799999999999998E-2</v>
      </c>
      <c r="P538" s="28">
        <v>3.6903999999999992E-2</v>
      </c>
      <c r="Q538" s="65">
        <f t="shared" si="26"/>
        <v>5.8960000000000054E-3</v>
      </c>
      <c r="R538" s="28">
        <v>2.42</v>
      </c>
      <c r="S538" s="28">
        <f>6.898+6.35</f>
        <v>13.247999999999999</v>
      </c>
      <c r="T538" s="20">
        <f t="shared" si="27"/>
        <v>32.060159999999996</v>
      </c>
      <c r="X538" s="20" t="s">
        <v>886</v>
      </c>
      <c r="Y538" s="20" t="s">
        <v>36</v>
      </c>
      <c r="Z538" s="20" t="s">
        <v>36</v>
      </c>
    </row>
    <row r="539" spans="1:26">
      <c r="A539" s="20" t="s">
        <v>1405</v>
      </c>
      <c r="B539" s="20" t="s">
        <v>2115</v>
      </c>
      <c r="C539" s="31" t="s">
        <v>2230</v>
      </c>
      <c r="D539" s="49">
        <v>42856</v>
      </c>
      <c r="E539" s="9">
        <v>10.124091999999999</v>
      </c>
      <c r="F539" s="9">
        <v>49.906236</v>
      </c>
      <c r="G539" t="s">
        <v>2625</v>
      </c>
      <c r="H539" t="s">
        <v>2806</v>
      </c>
      <c r="I539" t="s">
        <v>2807</v>
      </c>
      <c r="K539" s="20" t="s">
        <v>2602</v>
      </c>
      <c r="L539" s="20"/>
      <c r="M539" s="172" t="s">
        <v>2823</v>
      </c>
      <c r="N539" s="20" t="s">
        <v>2713</v>
      </c>
      <c r="O539" s="28">
        <v>6.3500000000000001E-2</v>
      </c>
      <c r="P539" s="28">
        <v>3.6903999999999992E-2</v>
      </c>
      <c r="Q539" s="65">
        <f t="shared" si="26"/>
        <v>2.6596000000000009E-2</v>
      </c>
      <c r="R539" s="28">
        <v>3.7090000000000001</v>
      </c>
      <c r="S539" s="28">
        <f>9.825+7.862</f>
        <v>17.686999999999998</v>
      </c>
      <c r="T539" s="20">
        <f t="shared" si="27"/>
        <v>65.601082999999988</v>
      </c>
      <c r="X539" s="20" t="s">
        <v>886</v>
      </c>
      <c r="Y539" s="20" t="s">
        <v>36</v>
      </c>
      <c r="Z539" s="20" t="s">
        <v>36</v>
      </c>
    </row>
    <row r="540" spans="1:26">
      <c r="A540" s="20" t="s">
        <v>1404</v>
      </c>
      <c r="B540" s="20" t="s">
        <v>2115</v>
      </c>
      <c r="C540" s="31" t="s">
        <v>2231</v>
      </c>
      <c r="D540" s="49">
        <v>42856</v>
      </c>
      <c r="E540" s="9">
        <v>10.113375</v>
      </c>
      <c r="F540" s="9">
        <v>49.850391999999999</v>
      </c>
      <c r="G540" t="s">
        <v>2625</v>
      </c>
      <c r="H540" t="s">
        <v>2806</v>
      </c>
      <c r="I540" t="s">
        <v>2807</v>
      </c>
      <c r="K540" s="20" t="s">
        <v>2602</v>
      </c>
      <c r="L540" s="20"/>
      <c r="M540" s="172" t="s">
        <v>2823</v>
      </c>
      <c r="N540" s="20" t="s">
        <v>2713</v>
      </c>
      <c r="O540" s="28">
        <v>5.7599999999999998E-2</v>
      </c>
      <c r="P540" s="28">
        <v>3.6903999999999992E-2</v>
      </c>
      <c r="Q540" s="65">
        <f t="shared" si="26"/>
        <v>2.0696000000000006E-2</v>
      </c>
      <c r="R540" s="28">
        <v>3.4790000000000001</v>
      </c>
      <c r="S540" s="28">
        <f>7.671+9.235</f>
        <v>16.905999999999999</v>
      </c>
      <c r="T540" s="20">
        <f t="shared" si="27"/>
        <v>58.815973999999997</v>
      </c>
      <c r="X540" s="20" t="s">
        <v>886</v>
      </c>
      <c r="Y540" s="20" t="s">
        <v>36</v>
      </c>
      <c r="Z540" s="20" t="s">
        <v>36</v>
      </c>
    </row>
    <row r="541" spans="1:26">
      <c r="A541" s="20" t="s">
        <v>1403</v>
      </c>
      <c r="B541" s="20" t="s">
        <v>2115</v>
      </c>
      <c r="C541" s="31" t="s">
        <v>2230</v>
      </c>
      <c r="D541" s="49">
        <v>42888</v>
      </c>
      <c r="E541" s="9">
        <v>10.124091999999999</v>
      </c>
      <c r="F541" s="9">
        <v>49.906236</v>
      </c>
      <c r="G541" t="s">
        <v>2625</v>
      </c>
      <c r="H541" t="s">
        <v>2806</v>
      </c>
      <c r="I541" t="s">
        <v>2807</v>
      </c>
      <c r="K541" s="20" t="s">
        <v>2602</v>
      </c>
      <c r="L541" s="20"/>
      <c r="M541" s="172" t="s">
        <v>3590</v>
      </c>
      <c r="N541" s="20" t="s">
        <v>2713</v>
      </c>
      <c r="O541" s="28">
        <v>8.2699999999999996E-2</v>
      </c>
      <c r="P541" s="28">
        <v>3.6903999999999992E-2</v>
      </c>
      <c r="Q541" s="65">
        <f t="shared" si="26"/>
        <v>4.5796000000000003E-2</v>
      </c>
      <c r="R541" s="28">
        <v>4.6779999999999999</v>
      </c>
      <c r="S541" s="28">
        <v>22.206</v>
      </c>
      <c r="T541" s="20">
        <f t="shared" si="27"/>
        <v>103.879668</v>
      </c>
      <c r="X541" s="20" t="s">
        <v>886</v>
      </c>
      <c r="Y541" s="20" t="s">
        <v>36</v>
      </c>
      <c r="Z541" s="20" t="s">
        <v>36</v>
      </c>
    </row>
    <row r="542" spans="1:26">
      <c r="A542" s="20" t="s">
        <v>1402</v>
      </c>
      <c r="B542" s="20" t="s">
        <v>2115</v>
      </c>
      <c r="C542" s="31" t="s">
        <v>2231</v>
      </c>
      <c r="D542" s="49">
        <v>42856</v>
      </c>
      <c r="E542" s="9">
        <v>10.113375</v>
      </c>
      <c r="F542" s="9">
        <v>49.850391999999999</v>
      </c>
      <c r="G542" t="s">
        <v>2625</v>
      </c>
      <c r="H542" t="s">
        <v>2806</v>
      </c>
      <c r="I542" t="s">
        <v>2807</v>
      </c>
      <c r="K542" s="20" t="s">
        <v>2602</v>
      </c>
      <c r="L542" s="20"/>
      <c r="M542" s="172" t="s">
        <v>2381</v>
      </c>
      <c r="N542" s="20" t="s">
        <v>2713</v>
      </c>
      <c r="O542" s="28">
        <v>4.7600000000000003E-2</v>
      </c>
      <c r="P542" s="28">
        <v>3.6903999999999992E-2</v>
      </c>
      <c r="Q542" s="65">
        <f t="shared" si="26"/>
        <v>1.0696000000000011E-2</v>
      </c>
      <c r="R542" s="28">
        <v>3.2120000000000002</v>
      </c>
      <c r="S542" s="28">
        <v>14.986000000000001</v>
      </c>
      <c r="T542" s="20">
        <f t="shared" si="27"/>
        <v>48.135032000000002</v>
      </c>
      <c r="X542" s="20" t="s">
        <v>886</v>
      </c>
      <c r="Y542" s="20" t="s">
        <v>36</v>
      </c>
      <c r="Z542" s="20" t="s">
        <v>36</v>
      </c>
    </row>
    <row r="543" spans="1:26">
      <c r="A543" s="20" t="s">
        <v>1401</v>
      </c>
      <c r="B543" s="20" t="s">
        <v>2115</v>
      </c>
      <c r="C543" s="31" t="s">
        <v>2235</v>
      </c>
      <c r="D543" s="49">
        <v>42856</v>
      </c>
      <c r="E543" s="9">
        <v>10.057294000000001</v>
      </c>
      <c r="F543" s="9">
        <v>49.902307999999998</v>
      </c>
      <c r="G543" t="s">
        <v>2625</v>
      </c>
      <c r="H543" t="s">
        <v>2806</v>
      </c>
      <c r="I543" t="s">
        <v>2807</v>
      </c>
      <c r="K543" s="20" t="s">
        <v>2602</v>
      </c>
      <c r="L543" s="20"/>
      <c r="M543" s="172" t="s">
        <v>3596</v>
      </c>
      <c r="N543" s="20" t="s">
        <v>2712</v>
      </c>
      <c r="O543" s="28">
        <v>4.2099999999999999E-2</v>
      </c>
      <c r="P543" s="28">
        <v>3.6903999999999992E-2</v>
      </c>
      <c r="Q543" s="65">
        <f t="shared" si="26"/>
        <v>5.1960000000000062E-3</v>
      </c>
      <c r="R543" s="28">
        <v>2.3940000000000001</v>
      </c>
      <c r="S543" s="28">
        <f>5.9+6.035</f>
        <v>11.935</v>
      </c>
      <c r="T543" s="20">
        <f t="shared" si="27"/>
        <v>28.572390000000002</v>
      </c>
      <c r="X543" s="20" t="s">
        <v>886</v>
      </c>
      <c r="Y543" s="20" t="s">
        <v>36</v>
      </c>
      <c r="Z543" s="20" t="s">
        <v>36</v>
      </c>
    </row>
    <row r="544" spans="1:26">
      <c r="A544" s="20" t="s">
        <v>1400</v>
      </c>
      <c r="B544" s="20" t="s">
        <v>2115</v>
      </c>
      <c r="C544" s="31" t="s">
        <v>2227</v>
      </c>
      <c r="D544" s="49">
        <v>42856</v>
      </c>
      <c r="E544" s="9">
        <v>10.040881000000001</v>
      </c>
      <c r="F544" s="9">
        <v>49.937356000000001</v>
      </c>
      <c r="G544" t="s">
        <v>2625</v>
      </c>
      <c r="H544" t="s">
        <v>2806</v>
      </c>
      <c r="I544" t="s">
        <v>2807</v>
      </c>
      <c r="K544" s="20" t="s">
        <v>2602</v>
      </c>
      <c r="L544" s="20"/>
      <c r="M544" s="172" t="s">
        <v>2823</v>
      </c>
      <c r="N544" s="20" t="s">
        <v>2712</v>
      </c>
      <c r="O544" s="28">
        <v>4.3400000000000001E-2</v>
      </c>
      <c r="P544" s="28">
        <v>3.6903999999999992E-2</v>
      </c>
      <c r="Q544" s="65">
        <f t="shared" si="26"/>
        <v>6.4960000000000087E-3</v>
      </c>
      <c r="R544" s="28">
        <v>2.7109999999999999</v>
      </c>
      <c r="S544" s="28">
        <f>6.57+7.668</f>
        <v>14.238</v>
      </c>
      <c r="T544" s="20">
        <f t="shared" si="27"/>
        <v>38.599217999999993</v>
      </c>
      <c r="X544" s="20" t="s">
        <v>886</v>
      </c>
      <c r="Y544" s="20" t="s">
        <v>36</v>
      </c>
      <c r="Z544" s="20" t="s">
        <v>36</v>
      </c>
    </row>
    <row r="545" spans="1:26">
      <c r="A545" s="20" t="s">
        <v>1399</v>
      </c>
      <c r="B545" s="20" t="s">
        <v>2115</v>
      </c>
      <c r="C545" s="31" t="s">
        <v>2239</v>
      </c>
      <c r="D545" s="49">
        <v>42902</v>
      </c>
      <c r="E545" s="9">
        <v>10.067944000000001</v>
      </c>
      <c r="F545" s="9">
        <v>49.912992000000003</v>
      </c>
      <c r="G545" t="s">
        <v>2625</v>
      </c>
      <c r="H545" t="s">
        <v>2806</v>
      </c>
      <c r="I545" t="s">
        <v>2807</v>
      </c>
      <c r="K545" s="20" t="s">
        <v>2602</v>
      </c>
      <c r="L545" s="20"/>
      <c r="M545" s="172" t="s">
        <v>2823</v>
      </c>
      <c r="N545" s="20" t="s">
        <v>2713</v>
      </c>
      <c r="O545" s="28">
        <v>6.1899999999999997E-2</v>
      </c>
      <c r="P545" s="28">
        <v>3.6903999999999992E-2</v>
      </c>
      <c r="Q545" s="65">
        <f t="shared" si="26"/>
        <v>2.4996000000000004E-2</v>
      </c>
      <c r="R545" s="28">
        <v>3.7360000000000002</v>
      </c>
      <c r="S545" s="28">
        <v>16.646999999999998</v>
      </c>
      <c r="T545" s="20">
        <f t="shared" si="27"/>
        <v>62.193191999999996</v>
      </c>
      <c r="X545" s="20" t="s">
        <v>886</v>
      </c>
      <c r="Y545" s="20" t="s">
        <v>36</v>
      </c>
      <c r="Z545" s="20" t="s">
        <v>36</v>
      </c>
    </row>
    <row r="546" spans="1:26">
      <c r="A546" s="20" t="s">
        <v>1398</v>
      </c>
      <c r="B546" s="20" t="s">
        <v>2115</v>
      </c>
      <c r="C546" s="31" t="s">
        <v>2239</v>
      </c>
      <c r="D546" s="49">
        <v>42888</v>
      </c>
      <c r="E546" s="9">
        <v>10.067944000000001</v>
      </c>
      <c r="F546" s="9">
        <v>49.912992000000003</v>
      </c>
      <c r="G546" t="s">
        <v>2625</v>
      </c>
      <c r="H546" t="s">
        <v>2806</v>
      </c>
      <c r="I546" t="s">
        <v>2807</v>
      </c>
      <c r="K546" s="20" t="s">
        <v>2602</v>
      </c>
      <c r="L546" s="20"/>
      <c r="M546" s="172" t="s">
        <v>3594</v>
      </c>
      <c r="N546" s="20" t="s">
        <v>2713</v>
      </c>
      <c r="O546" s="28">
        <v>5.7200000000000001E-2</v>
      </c>
      <c r="P546" s="28">
        <v>3.6903999999999992E-2</v>
      </c>
      <c r="Q546" s="65">
        <f t="shared" ref="Q546:Q609" si="28">O546-P546</f>
        <v>2.0296000000000008E-2</v>
      </c>
      <c r="R546" s="28">
        <v>3.9180000000000001</v>
      </c>
      <c r="S546" s="28">
        <f>8.447+7.605</f>
        <v>16.052</v>
      </c>
      <c r="T546" s="20">
        <f t="shared" si="27"/>
        <v>62.891736000000002</v>
      </c>
      <c r="X546" s="20" t="s">
        <v>886</v>
      </c>
      <c r="Y546" s="20" t="s">
        <v>36</v>
      </c>
      <c r="Z546" s="20" t="s">
        <v>36</v>
      </c>
    </row>
    <row r="547" spans="1:26">
      <c r="A547" s="20" t="s">
        <v>1397</v>
      </c>
      <c r="B547" s="20" t="s">
        <v>2115</v>
      </c>
      <c r="C547" s="31" t="s">
        <v>2231</v>
      </c>
      <c r="D547" s="49">
        <v>42856</v>
      </c>
      <c r="E547" s="9">
        <v>10.113375</v>
      </c>
      <c r="F547" s="9">
        <v>49.850391999999999</v>
      </c>
      <c r="G547" t="s">
        <v>2625</v>
      </c>
      <c r="H547" t="s">
        <v>2806</v>
      </c>
      <c r="I547" t="s">
        <v>2807</v>
      </c>
      <c r="K547" s="20" t="s">
        <v>2602</v>
      </c>
      <c r="L547" s="20"/>
      <c r="M547" s="172" t="s">
        <v>3589</v>
      </c>
      <c r="N547" s="20" t="s">
        <v>2713</v>
      </c>
      <c r="O547" s="28">
        <v>7.3899999999999993E-2</v>
      </c>
      <c r="P547" s="28">
        <v>3.6903999999999992E-2</v>
      </c>
      <c r="Q547" s="65">
        <f t="shared" si="28"/>
        <v>3.6996000000000001E-2</v>
      </c>
      <c r="R547" s="28">
        <v>4.7210000000000001</v>
      </c>
      <c r="S547" s="28">
        <f>10.161+9.366</f>
        <v>19.527000000000001</v>
      </c>
      <c r="T547" s="20">
        <f t="shared" si="27"/>
        <v>92.18696700000001</v>
      </c>
      <c r="X547" s="20" t="s">
        <v>886</v>
      </c>
      <c r="Y547" s="20" t="s">
        <v>36</v>
      </c>
      <c r="Z547" s="20" t="s">
        <v>36</v>
      </c>
    </row>
    <row r="548" spans="1:26">
      <c r="A548" s="20" t="s">
        <v>1396</v>
      </c>
      <c r="B548" s="20" t="s">
        <v>2115</v>
      </c>
      <c r="C548" s="31" t="s">
        <v>2238</v>
      </c>
      <c r="D548" s="49">
        <v>42856</v>
      </c>
      <c r="E548" s="9">
        <v>10.135947</v>
      </c>
      <c r="F548" s="9">
        <v>49.868039000000003</v>
      </c>
      <c r="G548" t="s">
        <v>2625</v>
      </c>
      <c r="H548" t="s">
        <v>2806</v>
      </c>
      <c r="I548" t="s">
        <v>2807</v>
      </c>
      <c r="K548" s="20" t="s">
        <v>2602</v>
      </c>
      <c r="L548" s="20"/>
      <c r="M548" s="172" t="s">
        <v>3589</v>
      </c>
      <c r="N548" s="20" t="s">
        <v>2713</v>
      </c>
      <c r="O548" s="28">
        <v>8.1900000000000001E-2</v>
      </c>
      <c r="P548" s="28">
        <v>3.6903999999999992E-2</v>
      </c>
      <c r="Q548" s="65">
        <f t="shared" si="28"/>
        <v>4.4996000000000008E-2</v>
      </c>
      <c r="R548" s="28">
        <v>4.8789999999999996</v>
      </c>
      <c r="S548" s="28">
        <f>10.197+11.525</f>
        <v>21.722000000000001</v>
      </c>
      <c r="T548" s="20">
        <f t="shared" si="27"/>
        <v>105.981638</v>
      </c>
      <c r="X548" s="20" t="s">
        <v>886</v>
      </c>
      <c r="Y548" s="20" t="s">
        <v>36</v>
      </c>
      <c r="Z548" s="20" t="s">
        <v>36</v>
      </c>
    </row>
    <row r="549" spans="1:26">
      <c r="A549" s="20" t="s">
        <v>1395</v>
      </c>
      <c r="B549" s="20" t="s">
        <v>2115</v>
      </c>
      <c r="C549" s="31" t="s">
        <v>2236</v>
      </c>
      <c r="D549" s="49">
        <v>42888</v>
      </c>
      <c r="E549" s="9">
        <v>10.022767</v>
      </c>
      <c r="F549" s="9">
        <v>49.938633000000003</v>
      </c>
      <c r="G549" t="s">
        <v>2625</v>
      </c>
      <c r="H549" t="s">
        <v>2806</v>
      </c>
      <c r="I549" t="s">
        <v>2807</v>
      </c>
      <c r="K549" s="20" t="s">
        <v>2602</v>
      </c>
      <c r="L549" s="20"/>
      <c r="M549" s="172" t="s">
        <v>2823</v>
      </c>
      <c r="N549" s="20" t="s">
        <v>2713</v>
      </c>
      <c r="O549" s="28">
        <v>5.2499999999999998E-2</v>
      </c>
      <c r="P549" s="28">
        <v>3.6903999999999992E-2</v>
      </c>
      <c r="Q549" s="65">
        <f t="shared" si="28"/>
        <v>1.5596000000000006E-2</v>
      </c>
      <c r="R549" s="28">
        <v>3.6989999999999998</v>
      </c>
      <c r="S549" s="28">
        <f>8.889+7.64</f>
        <v>16.529</v>
      </c>
      <c r="T549" s="20">
        <f t="shared" si="27"/>
        <v>61.140770999999994</v>
      </c>
      <c r="X549" s="20" t="s">
        <v>886</v>
      </c>
      <c r="Y549" s="20" t="s">
        <v>36</v>
      </c>
      <c r="Z549" s="20" t="s">
        <v>36</v>
      </c>
    </row>
    <row r="550" spans="1:26">
      <c r="A550" s="20" t="s">
        <v>1394</v>
      </c>
      <c r="B550" s="20" t="s">
        <v>2115</v>
      </c>
      <c r="C550" s="31" t="s">
        <v>2231</v>
      </c>
      <c r="D550" s="49">
        <v>42856</v>
      </c>
      <c r="E550" s="9">
        <v>10.113375</v>
      </c>
      <c r="F550" s="9">
        <v>49.850391999999999</v>
      </c>
      <c r="G550" t="s">
        <v>2625</v>
      </c>
      <c r="H550" t="s">
        <v>2806</v>
      </c>
      <c r="I550" t="s">
        <v>2807</v>
      </c>
      <c r="K550" s="20" t="s">
        <v>2602</v>
      </c>
      <c r="L550" s="20"/>
      <c r="M550" s="172" t="s">
        <v>2823</v>
      </c>
      <c r="N550" s="20" t="s">
        <v>2713</v>
      </c>
      <c r="O550" s="28">
        <v>0.06</v>
      </c>
      <c r="P550" s="28">
        <v>3.6903999999999992E-2</v>
      </c>
      <c r="Q550" s="65">
        <f t="shared" si="28"/>
        <v>2.3096000000000005E-2</v>
      </c>
      <c r="R550" s="28">
        <v>3.5640000000000001</v>
      </c>
      <c r="S550" s="28">
        <f>8.628+7.965</f>
        <v>16.593</v>
      </c>
      <c r="T550" s="20">
        <f t="shared" si="27"/>
        <v>59.137452000000003</v>
      </c>
      <c r="X550" s="20" t="s">
        <v>886</v>
      </c>
      <c r="Y550" s="20" t="s">
        <v>36</v>
      </c>
      <c r="Z550" s="20" t="s">
        <v>36</v>
      </c>
    </row>
    <row r="551" spans="1:26">
      <c r="A551" s="20" t="s">
        <v>1393</v>
      </c>
      <c r="B551" s="20" t="s">
        <v>2115</v>
      </c>
      <c r="C551" s="31" t="s">
        <v>2244</v>
      </c>
      <c r="D551" s="49">
        <v>42856</v>
      </c>
      <c r="E551" s="9">
        <v>10.017931000000001</v>
      </c>
      <c r="F551" s="9">
        <v>49.935696999999998</v>
      </c>
      <c r="G551" t="s">
        <v>2625</v>
      </c>
      <c r="H551" t="s">
        <v>2806</v>
      </c>
      <c r="I551" t="s">
        <v>2807</v>
      </c>
      <c r="K551" s="20" t="s">
        <v>2602</v>
      </c>
      <c r="L551" s="20"/>
      <c r="M551" s="172" t="s">
        <v>3589</v>
      </c>
      <c r="N551" s="20" t="s">
        <v>2713</v>
      </c>
      <c r="O551" s="28">
        <v>8.0600000000000005E-2</v>
      </c>
      <c r="P551" s="28">
        <v>3.6903999999999992E-2</v>
      </c>
      <c r="Q551" s="65">
        <f t="shared" si="28"/>
        <v>4.3696000000000013E-2</v>
      </c>
      <c r="R551" s="28">
        <v>4.6970000000000001</v>
      </c>
      <c r="S551" s="20">
        <f>10.319+9.734</f>
        <v>20.053000000000001</v>
      </c>
      <c r="T551" s="20">
        <f t="shared" si="27"/>
        <v>94.188941</v>
      </c>
      <c r="X551" s="20" t="s">
        <v>886</v>
      </c>
      <c r="Y551" s="20" t="s">
        <v>36</v>
      </c>
      <c r="Z551" s="20" t="s">
        <v>36</v>
      </c>
    </row>
    <row r="552" spans="1:26">
      <c r="A552" s="20" t="s">
        <v>1392</v>
      </c>
      <c r="B552" s="20" t="s">
        <v>2115</v>
      </c>
      <c r="C552" s="31" t="s">
        <v>2235</v>
      </c>
      <c r="D552" s="49">
        <v>42856</v>
      </c>
      <c r="E552" s="9">
        <v>10.057294000000001</v>
      </c>
      <c r="F552" s="9">
        <v>49.902307999999998</v>
      </c>
      <c r="G552" t="s">
        <v>2625</v>
      </c>
      <c r="H552" t="s">
        <v>2806</v>
      </c>
      <c r="I552" t="s">
        <v>2807</v>
      </c>
      <c r="K552" s="20" t="s">
        <v>2602</v>
      </c>
      <c r="L552" s="20"/>
      <c r="M552" s="172" t="s">
        <v>3596</v>
      </c>
      <c r="N552" s="20" t="s">
        <v>2712</v>
      </c>
      <c r="O552" s="28">
        <v>4.4999999999999998E-2</v>
      </c>
      <c r="P552" s="28">
        <v>3.6903999999999992E-2</v>
      </c>
      <c r="Q552" s="65">
        <f t="shared" si="28"/>
        <v>8.096000000000006E-3</v>
      </c>
      <c r="R552" s="28">
        <v>2.7570000000000001</v>
      </c>
      <c r="S552" s="28">
        <f>6.54+7.779</f>
        <v>14.318999999999999</v>
      </c>
      <c r="T552" s="20">
        <f t="shared" si="27"/>
        <v>39.477482999999999</v>
      </c>
      <c r="X552" s="20" t="s">
        <v>886</v>
      </c>
      <c r="Y552" s="20" t="s">
        <v>36</v>
      </c>
      <c r="Z552" s="20" t="s">
        <v>36</v>
      </c>
    </row>
    <row r="553" spans="1:26">
      <c r="A553" s="20" t="s">
        <v>1391</v>
      </c>
      <c r="B553" s="20" t="s">
        <v>2115</v>
      </c>
      <c r="C553" s="31" t="s">
        <v>2236</v>
      </c>
      <c r="D553" s="49">
        <v>42888</v>
      </c>
      <c r="E553" s="9">
        <v>10.022767</v>
      </c>
      <c r="F553" s="9">
        <v>49.938633000000003</v>
      </c>
      <c r="G553" t="s">
        <v>2625</v>
      </c>
      <c r="H553" t="s">
        <v>2806</v>
      </c>
      <c r="I553" t="s">
        <v>2807</v>
      </c>
      <c r="K553" s="20" t="s">
        <v>2602</v>
      </c>
      <c r="L553" s="20"/>
      <c r="M553" s="172" t="s">
        <v>2823</v>
      </c>
      <c r="N553" s="20" t="s">
        <v>2713</v>
      </c>
      <c r="O553" s="28">
        <v>5.3499999999999999E-2</v>
      </c>
      <c r="P553" s="28">
        <v>3.6903999999999992E-2</v>
      </c>
      <c r="Q553" s="65">
        <f t="shared" si="28"/>
        <v>1.6596000000000007E-2</v>
      </c>
      <c r="R553" s="28">
        <v>3.7090000000000001</v>
      </c>
      <c r="S553" s="28">
        <f>9.066+8.38</f>
        <v>17.446000000000002</v>
      </c>
      <c r="T553" s="20">
        <f t="shared" si="27"/>
        <v>64.707214000000008</v>
      </c>
      <c r="X553" s="20" t="s">
        <v>886</v>
      </c>
      <c r="Y553" s="20" t="s">
        <v>36</v>
      </c>
      <c r="Z553" s="20" t="s">
        <v>36</v>
      </c>
    </row>
    <row r="554" spans="1:26">
      <c r="A554" s="20" t="s">
        <v>1390</v>
      </c>
      <c r="B554" s="20" t="s">
        <v>2115</v>
      </c>
      <c r="C554" s="31" t="s">
        <v>2244</v>
      </c>
      <c r="D554" s="49">
        <v>42872</v>
      </c>
      <c r="E554" s="9">
        <v>10.017931000000001</v>
      </c>
      <c r="F554" s="9">
        <v>49.935696999999998</v>
      </c>
      <c r="G554" t="s">
        <v>2625</v>
      </c>
      <c r="H554" t="s">
        <v>2806</v>
      </c>
      <c r="I554" t="s">
        <v>2807</v>
      </c>
      <c r="K554" s="20" t="s">
        <v>2602</v>
      </c>
      <c r="L554" s="20"/>
      <c r="M554" s="172" t="s">
        <v>3589</v>
      </c>
      <c r="N554" s="20" t="s">
        <v>2713</v>
      </c>
      <c r="O554" s="28">
        <v>7.8E-2</v>
      </c>
      <c r="P554" s="28">
        <v>3.6903999999999992E-2</v>
      </c>
      <c r="Q554" s="65">
        <f t="shared" si="28"/>
        <v>4.1096000000000008E-2</v>
      </c>
      <c r="R554" s="28">
        <v>4.7969999999999997</v>
      </c>
      <c r="S554" s="28">
        <f>11.101+10.267</f>
        <v>21.368000000000002</v>
      </c>
      <c r="T554" s="20">
        <f t="shared" si="27"/>
        <v>102.502296</v>
      </c>
      <c r="X554" s="20" t="s">
        <v>886</v>
      </c>
      <c r="Y554" s="20" t="s">
        <v>36</v>
      </c>
      <c r="Z554" s="20" t="s">
        <v>36</v>
      </c>
    </row>
    <row r="555" spans="1:26">
      <c r="A555" s="20" t="s">
        <v>1389</v>
      </c>
      <c r="B555" s="20" t="s">
        <v>2115</v>
      </c>
      <c r="C555" s="31" t="s">
        <v>2238</v>
      </c>
      <c r="D555" s="49">
        <v>42856</v>
      </c>
      <c r="E555" s="9">
        <v>10.135947</v>
      </c>
      <c r="F555" s="9">
        <v>49.868039000000003</v>
      </c>
      <c r="G555" t="s">
        <v>2625</v>
      </c>
      <c r="H555" t="s">
        <v>2806</v>
      </c>
      <c r="I555" t="s">
        <v>2807</v>
      </c>
      <c r="K555" s="20" t="s">
        <v>2602</v>
      </c>
      <c r="L555" s="20"/>
      <c r="M555" s="172" t="s">
        <v>2823</v>
      </c>
      <c r="N555" s="20" t="s">
        <v>2713</v>
      </c>
      <c r="O555" s="28">
        <v>6.0999999999999999E-2</v>
      </c>
      <c r="P555" s="28">
        <v>3.6903999999999992E-2</v>
      </c>
      <c r="Q555" s="65">
        <f t="shared" si="28"/>
        <v>2.4096000000000006E-2</v>
      </c>
      <c r="R555" s="28">
        <v>3.694</v>
      </c>
      <c r="S555" s="28">
        <v>16.420000000000002</v>
      </c>
      <c r="T555" s="20">
        <f t="shared" si="27"/>
        <v>60.655480000000004</v>
      </c>
      <c r="X555" s="20" t="s">
        <v>886</v>
      </c>
      <c r="Y555" s="20" t="s">
        <v>36</v>
      </c>
      <c r="Z555" s="20" t="s">
        <v>36</v>
      </c>
    </row>
    <row r="556" spans="1:26">
      <c r="A556" s="20" t="s">
        <v>1388</v>
      </c>
      <c r="B556" s="20" t="s">
        <v>2115</v>
      </c>
      <c r="C556" s="31" t="s">
        <v>2238</v>
      </c>
      <c r="D556" s="49">
        <v>42856</v>
      </c>
      <c r="E556" s="9">
        <v>10.135947</v>
      </c>
      <c r="F556" s="9">
        <v>49.868039000000003</v>
      </c>
      <c r="G556" t="s">
        <v>2625</v>
      </c>
      <c r="H556" t="s">
        <v>2806</v>
      </c>
      <c r="I556" t="s">
        <v>2807</v>
      </c>
      <c r="K556" s="20" t="s">
        <v>2602</v>
      </c>
      <c r="L556" s="20"/>
      <c r="M556" s="172" t="s">
        <v>2823</v>
      </c>
      <c r="N556" s="20" t="s">
        <v>2712</v>
      </c>
      <c r="O556" s="28">
        <v>5.11E-2</v>
      </c>
      <c r="P556" s="28">
        <v>3.6903999999999992E-2</v>
      </c>
      <c r="Q556" s="65">
        <f t="shared" si="28"/>
        <v>1.4196000000000007E-2</v>
      </c>
      <c r="R556" s="28">
        <v>3.14</v>
      </c>
      <c r="S556" s="28">
        <v>15.228999999999999</v>
      </c>
      <c r="T556" s="20">
        <f t="shared" si="27"/>
        <v>47.81906</v>
      </c>
      <c r="X556" s="20" t="s">
        <v>886</v>
      </c>
      <c r="Y556" s="20" t="s">
        <v>36</v>
      </c>
      <c r="Z556" s="20" t="s">
        <v>36</v>
      </c>
    </row>
    <row r="557" spans="1:26">
      <c r="A557" s="20" t="s">
        <v>1387</v>
      </c>
      <c r="B557" s="20" t="s">
        <v>2115</v>
      </c>
      <c r="C557" s="31" t="s">
        <v>2239</v>
      </c>
      <c r="D557" s="49">
        <v>42856</v>
      </c>
      <c r="E557" s="9">
        <v>10.067944000000001</v>
      </c>
      <c r="F557" s="9">
        <v>49.912992000000003</v>
      </c>
      <c r="G557" t="s">
        <v>2625</v>
      </c>
      <c r="H557" t="s">
        <v>2806</v>
      </c>
      <c r="I557" t="s">
        <v>2807</v>
      </c>
      <c r="K557" s="20" t="s">
        <v>2602</v>
      </c>
      <c r="L557" s="20"/>
      <c r="M557" s="172" t="s">
        <v>3589</v>
      </c>
      <c r="N557" s="20" t="s">
        <v>2713</v>
      </c>
      <c r="O557" s="28">
        <v>8.1199999999999994E-2</v>
      </c>
      <c r="P557" s="28">
        <v>3.6903999999999992E-2</v>
      </c>
      <c r="Q557" s="65">
        <f t="shared" si="28"/>
        <v>4.4296000000000002E-2</v>
      </c>
      <c r="R557" s="28">
        <v>4.7729999999999997</v>
      </c>
      <c r="S557" s="28">
        <f>10.32+11.044</f>
        <v>21.364000000000001</v>
      </c>
      <c r="T557" s="20">
        <f t="shared" si="27"/>
        <v>101.970372</v>
      </c>
      <c r="X557" s="20" t="s">
        <v>886</v>
      </c>
      <c r="Y557" s="20" t="s">
        <v>36</v>
      </c>
      <c r="Z557" s="20" t="s">
        <v>36</v>
      </c>
    </row>
    <row r="558" spans="1:26">
      <c r="A558" s="20" t="s">
        <v>1386</v>
      </c>
      <c r="B558" s="20" t="s">
        <v>2115</v>
      </c>
      <c r="C558" s="31" t="s">
        <v>2231</v>
      </c>
      <c r="D558" s="49">
        <v>42872</v>
      </c>
      <c r="E558" s="9">
        <v>10.113375</v>
      </c>
      <c r="F558" s="9">
        <v>49.850391999999999</v>
      </c>
      <c r="G558" t="s">
        <v>2625</v>
      </c>
      <c r="H558" t="s">
        <v>2806</v>
      </c>
      <c r="I558" t="s">
        <v>2807</v>
      </c>
      <c r="K558" s="20" t="s">
        <v>2602</v>
      </c>
      <c r="L558" s="20"/>
      <c r="M558" s="172" t="s">
        <v>3590</v>
      </c>
      <c r="N558" s="20" t="s">
        <v>2713</v>
      </c>
      <c r="O558" s="28">
        <v>7.8399999999999997E-2</v>
      </c>
      <c r="P558" s="28">
        <v>3.6903999999999992E-2</v>
      </c>
      <c r="Q558" s="65">
        <f t="shared" si="28"/>
        <v>4.1496000000000005E-2</v>
      </c>
      <c r="R558" s="28">
        <v>4.0469999999999997</v>
      </c>
      <c r="S558" s="28">
        <v>20.564</v>
      </c>
      <c r="T558" s="20">
        <f t="shared" si="27"/>
        <v>83.222507999999991</v>
      </c>
      <c r="X558" s="20" t="s">
        <v>886</v>
      </c>
      <c r="Y558" s="20" t="s">
        <v>36</v>
      </c>
      <c r="Z558" s="20" t="s">
        <v>36</v>
      </c>
    </row>
    <row r="559" spans="1:26">
      <c r="A559" s="20" t="s">
        <v>1385</v>
      </c>
      <c r="B559" s="20" t="s">
        <v>2115</v>
      </c>
      <c r="C559" s="31" t="s">
        <v>2239</v>
      </c>
      <c r="D559" s="49">
        <v>42856</v>
      </c>
      <c r="E559" s="9">
        <v>10.067944000000001</v>
      </c>
      <c r="F559" s="9">
        <v>49.912992000000003</v>
      </c>
      <c r="G559" t="s">
        <v>2625</v>
      </c>
      <c r="H559" t="s">
        <v>2806</v>
      </c>
      <c r="I559" t="s">
        <v>2807</v>
      </c>
      <c r="K559" s="20" t="s">
        <v>2602</v>
      </c>
      <c r="L559" s="20"/>
      <c r="M559" s="172" t="s">
        <v>2823</v>
      </c>
      <c r="N559" s="20" t="s">
        <v>2713</v>
      </c>
      <c r="O559" s="28">
        <v>5.5199999999999999E-2</v>
      </c>
      <c r="P559" s="28">
        <v>3.6903999999999992E-2</v>
      </c>
      <c r="Q559" s="65">
        <f t="shared" si="28"/>
        <v>1.8296000000000007E-2</v>
      </c>
      <c r="R559" s="28">
        <v>3.5880000000000001</v>
      </c>
      <c r="S559" s="28">
        <v>16.856999999999999</v>
      </c>
      <c r="T559" s="20">
        <f t="shared" si="27"/>
        <v>60.482915999999996</v>
      </c>
      <c r="X559" s="20" t="s">
        <v>886</v>
      </c>
      <c r="Y559" s="20" t="s">
        <v>36</v>
      </c>
      <c r="Z559" s="20" t="s">
        <v>36</v>
      </c>
    </row>
    <row r="560" spans="1:26">
      <c r="A560" s="20" t="s">
        <v>1384</v>
      </c>
      <c r="B560" s="20" t="s">
        <v>2115</v>
      </c>
      <c r="C560" s="31" t="s">
        <v>2230</v>
      </c>
      <c r="D560" s="49">
        <v>42856</v>
      </c>
      <c r="E560" s="9">
        <v>10.124091999999999</v>
      </c>
      <c r="F560" s="9">
        <v>49.906236</v>
      </c>
      <c r="G560" t="s">
        <v>2625</v>
      </c>
      <c r="H560" t="s">
        <v>2806</v>
      </c>
      <c r="I560" t="s">
        <v>2807</v>
      </c>
      <c r="K560" s="20" t="s">
        <v>2602</v>
      </c>
      <c r="L560" s="20"/>
      <c r="M560" s="172" t="s">
        <v>2823</v>
      </c>
      <c r="N560" s="20" t="s">
        <v>2713</v>
      </c>
      <c r="O560" s="28">
        <v>6.7100000000000007E-2</v>
      </c>
      <c r="P560" s="28">
        <v>3.6903999999999992E-2</v>
      </c>
      <c r="Q560" s="65">
        <f t="shared" si="28"/>
        <v>3.0196000000000014E-2</v>
      </c>
      <c r="R560" s="28">
        <v>4.0439999999999996</v>
      </c>
      <c r="S560" s="28">
        <v>18.164999999999999</v>
      </c>
      <c r="T560" s="20">
        <f t="shared" si="27"/>
        <v>73.459259999999986</v>
      </c>
      <c r="X560" s="20" t="s">
        <v>886</v>
      </c>
      <c r="Y560" s="20" t="s">
        <v>36</v>
      </c>
      <c r="Z560" s="20" t="s">
        <v>36</v>
      </c>
    </row>
    <row r="561" spans="1:26">
      <c r="A561" s="20" t="s">
        <v>1383</v>
      </c>
      <c r="B561" s="20" t="s">
        <v>2115</v>
      </c>
      <c r="C561" s="31" t="s">
        <v>2233</v>
      </c>
      <c r="D561" s="49">
        <v>42856</v>
      </c>
      <c r="E561" s="9">
        <v>10.086428</v>
      </c>
      <c r="F561" s="9">
        <v>49.909314000000002</v>
      </c>
      <c r="G561" t="s">
        <v>2625</v>
      </c>
      <c r="H561" t="s">
        <v>2806</v>
      </c>
      <c r="I561" t="s">
        <v>2807</v>
      </c>
      <c r="K561" s="20" t="s">
        <v>2602</v>
      </c>
      <c r="L561" s="20"/>
      <c r="M561" s="172" t="s">
        <v>3589</v>
      </c>
      <c r="N561" s="20" t="s">
        <v>2713</v>
      </c>
      <c r="O561" s="28">
        <v>7.0699999999999999E-2</v>
      </c>
      <c r="P561" s="28">
        <v>3.6903999999999992E-2</v>
      </c>
      <c r="Q561" s="65">
        <f t="shared" si="28"/>
        <v>3.3796000000000007E-2</v>
      </c>
      <c r="R561" s="28">
        <v>4.5810000000000004</v>
      </c>
      <c r="S561" s="28">
        <f>10.083+9.679</f>
        <v>19.762</v>
      </c>
      <c r="T561" s="20">
        <f t="shared" si="27"/>
        <v>90.529722000000007</v>
      </c>
      <c r="X561" s="20" t="s">
        <v>886</v>
      </c>
      <c r="Y561" s="20" t="s">
        <v>36</v>
      </c>
      <c r="Z561" s="20" t="s">
        <v>36</v>
      </c>
    </row>
    <row r="562" spans="1:26">
      <c r="A562" s="20" t="s">
        <v>1382</v>
      </c>
      <c r="B562" s="20" t="s">
        <v>2115</v>
      </c>
      <c r="C562" s="31" t="s">
        <v>2231</v>
      </c>
      <c r="D562" s="49">
        <v>42856</v>
      </c>
      <c r="E562" s="9">
        <v>10.113375</v>
      </c>
      <c r="F562" s="9">
        <v>49.850391999999999</v>
      </c>
      <c r="G562" t="s">
        <v>2625</v>
      </c>
      <c r="H562" t="s">
        <v>2806</v>
      </c>
      <c r="I562" t="s">
        <v>2807</v>
      </c>
      <c r="K562" s="20" t="s">
        <v>2602</v>
      </c>
      <c r="L562" s="20"/>
      <c r="M562" s="172" t="s">
        <v>2823</v>
      </c>
      <c r="N562" s="20" t="s">
        <v>2713</v>
      </c>
      <c r="O562" s="28">
        <v>6.4500000000000002E-2</v>
      </c>
      <c r="P562" s="28">
        <v>3.6903999999999992E-2</v>
      </c>
      <c r="Q562" s="65">
        <f t="shared" si="28"/>
        <v>2.7596000000000009E-2</v>
      </c>
      <c r="R562" s="28">
        <v>3.754</v>
      </c>
      <c r="S562" s="28">
        <f>8.617+8.007</f>
        <v>16.624000000000002</v>
      </c>
      <c r="T562" s="20">
        <f t="shared" si="27"/>
        <v>62.406496000000011</v>
      </c>
      <c r="X562" s="20" t="s">
        <v>886</v>
      </c>
      <c r="Y562" s="20" t="s">
        <v>36</v>
      </c>
      <c r="Z562" s="20" t="s">
        <v>36</v>
      </c>
    </row>
    <row r="563" spans="1:26">
      <c r="A563" s="20" t="s">
        <v>1381</v>
      </c>
      <c r="B563" s="20" t="s">
        <v>2115</v>
      </c>
      <c r="C563" s="31" t="s">
        <v>2233</v>
      </c>
      <c r="D563" s="49">
        <v>42856</v>
      </c>
      <c r="E563" s="9">
        <v>10.086428</v>
      </c>
      <c r="F563" s="9">
        <v>49.909314000000002</v>
      </c>
      <c r="G563" t="s">
        <v>2625</v>
      </c>
      <c r="H563" t="s">
        <v>2806</v>
      </c>
      <c r="I563" t="s">
        <v>2807</v>
      </c>
      <c r="K563" s="20" t="s">
        <v>2602</v>
      </c>
      <c r="L563" s="20"/>
      <c r="M563" s="172" t="s">
        <v>3593</v>
      </c>
      <c r="N563" s="20" t="s">
        <v>2713</v>
      </c>
      <c r="O563" s="28">
        <v>7.6200000000000004E-2</v>
      </c>
      <c r="P563" s="28">
        <v>3.6903999999999992E-2</v>
      </c>
      <c r="Q563" s="65">
        <f t="shared" si="28"/>
        <v>3.9296000000000011E-2</v>
      </c>
      <c r="R563" s="28">
        <v>4.5259999999999998</v>
      </c>
      <c r="S563" s="28">
        <v>21.167999999999999</v>
      </c>
      <c r="T563" s="20">
        <f t="shared" si="27"/>
        <v>95.806367999999992</v>
      </c>
      <c r="X563" s="20" t="s">
        <v>886</v>
      </c>
      <c r="Y563" s="20" t="s">
        <v>36</v>
      </c>
      <c r="Z563" s="20" t="s">
        <v>36</v>
      </c>
    </row>
    <row r="564" spans="1:26">
      <c r="A564" s="20" t="s">
        <v>1380</v>
      </c>
      <c r="B564" s="20" t="s">
        <v>2115</v>
      </c>
      <c r="C564" s="31" t="s">
        <v>2244</v>
      </c>
      <c r="D564" s="49">
        <v>42856</v>
      </c>
      <c r="E564" s="9">
        <v>10.017931000000001</v>
      </c>
      <c r="F564" s="9">
        <v>49.935696999999998</v>
      </c>
      <c r="G564" t="s">
        <v>2625</v>
      </c>
      <c r="H564" t="s">
        <v>2806</v>
      </c>
      <c r="I564" t="s">
        <v>2807</v>
      </c>
      <c r="K564" s="20" t="s">
        <v>2602</v>
      </c>
      <c r="L564" s="20"/>
      <c r="M564" s="172" t="s">
        <v>3598</v>
      </c>
      <c r="N564" s="20" t="s">
        <v>2713</v>
      </c>
      <c r="O564" s="28">
        <v>5.4899999999999997E-2</v>
      </c>
      <c r="P564" s="28">
        <v>3.6903999999999992E-2</v>
      </c>
      <c r="Q564" s="65">
        <f t="shared" si="28"/>
        <v>1.7996000000000005E-2</v>
      </c>
      <c r="R564" s="28">
        <v>3.2949999999999999</v>
      </c>
      <c r="S564" s="28">
        <f>7.195+8.251</f>
        <v>15.446</v>
      </c>
      <c r="T564" s="20">
        <f t="shared" si="27"/>
        <v>50.894569999999995</v>
      </c>
      <c r="X564" s="20" t="s">
        <v>886</v>
      </c>
      <c r="Y564" s="20" t="s">
        <v>36</v>
      </c>
      <c r="Z564" s="20" t="s">
        <v>36</v>
      </c>
    </row>
    <row r="565" spans="1:26">
      <c r="A565" s="20" t="s">
        <v>1379</v>
      </c>
      <c r="B565" s="20" t="s">
        <v>2115</v>
      </c>
      <c r="C565" s="60" t="s">
        <v>2240</v>
      </c>
      <c r="D565" s="49">
        <v>42856</v>
      </c>
      <c r="E565" s="9">
        <v>10.094319</v>
      </c>
      <c r="F565" s="9">
        <v>49.925831000000002</v>
      </c>
      <c r="G565" t="s">
        <v>2625</v>
      </c>
      <c r="H565" t="s">
        <v>2806</v>
      </c>
      <c r="I565" t="s">
        <v>2807</v>
      </c>
      <c r="K565" s="20" t="s">
        <v>2602</v>
      </c>
      <c r="L565" s="20"/>
      <c r="M565" s="172" t="s">
        <v>3592</v>
      </c>
      <c r="N565" s="20" t="s">
        <v>2713</v>
      </c>
      <c r="O565" s="28">
        <v>6.8699999999999997E-2</v>
      </c>
      <c r="P565" s="28">
        <v>3.6903999999999992E-2</v>
      </c>
      <c r="Q565" s="65">
        <f t="shared" si="28"/>
        <v>3.1796000000000005E-2</v>
      </c>
      <c r="R565" s="28">
        <v>4.0659999999999998</v>
      </c>
      <c r="S565" s="28">
        <f>8.729+11.068</f>
        <v>19.796999999999997</v>
      </c>
      <c r="T565" s="20">
        <f t="shared" si="27"/>
        <v>80.494601999999986</v>
      </c>
      <c r="X565" s="20" t="s">
        <v>886</v>
      </c>
      <c r="Y565" s="20" t="s">
        <v>36</v>
      </c>
      <c r="Z565" s="20" t="s">
        <v>36</v>
      </c>
    </row>
    <row r="566" spans="1:26">
      <c r="A566" s="20" t="s">
        <v>1378</v>
      </c>
      <c r="B566" s="20" t="s">
        <v>2115</v>
      </c>
      <c r="C566" s="31" t="s">
        <v>2244</v>
      </c>
      <c r="D566" s="49">
        <v>42856</v>
      </c>
      <c r="E566" s="9">
        <v>10.017931000000001</v>
      </c>
      <c r="F566" s="9">
        <v>49.935696999999998</v>
      </c>
      <c r="G566" t="s">
        <v>2625</v>
      </c>
      <c r="H566" t="s">
        <v>2806</v>
      </c>
      <c r="I566" t="s">
        <v>2807</v>
      </c>
      <c r="K566" s="20" t="s">
        <v>2602</v>
      </c>
      <c r="L566" s="20"/>
      <c r="M566" s="172" t="s">
        <v>3598</v>
      </c>
      <c r="N566" s="20" t="s">
        <v>2713</v>
      </c>
      <c r="O566" s="28">
        <v>5.0599999999999999E-2</v>
      </c>
      <c r="P566" s="28">
        <v>3.6903999999999992E-2</v>
      </c>
      <c r="Q566" s="65">
        <f t="shared" si="28"/>
        <v>1.3696000000000007E-2</v>
      </c>
      <c r="R566" s="28">
        <v>2.9689999999999999</v>
      </c>
      <c r="S566" s="28">
        <v>14.864000000000001</v>
      </c>
      <c r="T566" s="20">
        <f t="shared" si="27"/>
        <v>44.131216000000002</v>
      </c>
      <c r="X566" s="20" t="s">
        <v>886</v>
      </c>
      <c r="Y566" s="20" t="s">
        <v>36</v>
      </c>
      <c r="Z566" s="20" t="s">
        <v>36</v>
      </c>
    </row>
    <row r="567" spans="1:26">
      <c r="A567" s="20" t="s">
        <v>1377</v>
      </c>
      <c r="B567" s="20" t="s">
        <v>2115</v>
      </c>
      <c r="C567" s="31" t="s">
        <v>2236</v>
      </c>
      <c r="D567" s="49">
        <v>42888</v>
      </c>
      <c r="E567" s="9">
        <v>10.022767</v>
      </c>
      <c r="F567" s="9">
        <v>49.938633000000003</v>
      </c>
      <c r="G567" t="s">
        <v>2625</v>
      </c>
      <c r="H567" t="s">
        <v>2806</v>
      </c>
      <c r="I567" t="s">
        <v>2807</v>
      </c>
      <c r="K567" s="20" t="s">
        <v>2602</v>
      </c>
      <c r="L567" s="20"/>
      <c r="M567" s="172" t="s">
        <v>3580</v>
      </c>
      <c r="N567" s="20" t="s">
        <v>2713</v>
      </c>
      <c r="O567" s="28">
        <v>4.1700000000000001E-2</v>
      </c>
      <c r="P567" s="28">
        <v>3.6903999999999992E-2</v>
      </c>
      <c r="Q567" s="65">
        <f t="shared" si="28"/>
        <v>4.7960000000000086E-3</v>
      </c>
      <c r="R567" s="28">
        <v>2.1760000000000002</v>
      </c>
      <c r="S567" s="28">
        <v>10.183</v>
      </c>
      <c r="T567" s="20">
        <f t="shared" si="27"/>
        <v>22.158208000000002</v>
      </c>
      <c r="X567" s="20" t="s">
        <v>886</v>
      </c>
      <c r="Y567" s="20" t="s">
        <v>36</v>
      </c>
      <c r="Z567" s="20" t="s">
        <v>36</v>
      </c>
    </row>
    <row r="568" spans="1:26">
      <c r="A568" s="20" t="s">
        <v>1375</v>
      </c>
      <c r="B568" s="20" t="s">
        <v>2115</v>
      </c>
      <c r="C568" s="31" t="s">
        <v>2230</v>
      </c>
      <c r="D568" s="49">
        <v>42856</v>
      </c>
      <c r="E568" s="9">
        <v>10.124091999999999</v>
      </c>
      <c r="F568" s="9">
        <v>49.906236</v>
      </c>
      <c r="G568" t="s">
        <v>2625</v>
      </c>
      <c r="H568" t="s">
        <v>2806</v>
      </c>
      <c r="I568" t="s">
        <v>2807</v>
      </c>
      <c r="K568" s="20" t="s">
        <v>2602</v>
      </c>
      <c r="L568" s="20"/>
      <c r="M568" s="172" t="s">
        <v>2823</v>
      </c>
      <c r="N568" s="20" t="s">
        <v>2713</v>
      </c>
      <c r="O568" s="28">
        <v>6.9500000000000006E-2</v>
      </c>
      <c r="P568" s="28">
        <v>3.6903999999999992E-2</v>
      </c>
      <c r="Q568" s="65">
        <f t="shared" si="28"/>
        <v>3.2596000000000014E-2</v>
      </c>
      <c r="R568" s="28">
        <v>4.3419999999999996</v>
      </c>
      <c r="S568" s="28">
        <f>11.01+9.202</f>
        <v>20.212</v>
      </c>
      <c r="T568" s="20">
        <f t="shared" ref="T568:T631" si="29">R568*S568</f>
        <v>87.760503999999997</v>
      </c>
      <c r="X568" s="20" t="s">
        <v>886</v>
      </c>
      <c r="Y568" s="20" t="s">
        <v>36</v>
      </c>
      <c r="Z568" s="20" t="s">
        <v>36</v>
      </c>
    </row>
    <row r="569" spans="1:26">
      <c r="A569" s="20" t="s">
        <v>1374</v>
      </c>
      <c r="B569" s="20" t="s">
        <v>2115</v>
      </c>
      <c r="C569" s="31" t="s">
        <v>2230</v>
      </c>
      <c r="D569" s="49">
        <v>42856</v>
      </c>
      <c r="E569" s="9">
        <v>10.124091999999999</v>
      </c>
      <c r="F569" s="9">
        <v>49.906236</v>
      </c>
      <c r="G569" t="s">
        <v>2625</v>
      </c>
      <c r="H569" t="s">
        <v>2806</v>
      </c>
      <c r="I569" t="s">
        <v>2807</v>
      </c>
      <c r="K569" s="20" t="s">
        <v>2602</v>
      </c>
      <c r="L569" s="20"/>
      <c r="M569" s="172" t="s">
        <v>2823</v>
      </c>
      <c r="N569" s="20" t="s">
        <v>2713</v>
      </c>
      <c r="O569" s="28">
        <v>6.4000000000000001E-2</v>
      </c>
      <c r="P569" s="28">
        <v>3.6903999999999992E-2</v>
      </c>
      <c r="Q569" s="65">
        <f t="shared" si="28"/>
        <v>2.7096000000000009E-2</v>
      </c>
      <c r="R569" s="28">
        <v>3.8439999999999999</v>
      </c>
      <c r="S569" s="28">
        <f>8.409+9.392</f>
        <v>17.801000000000002</v>
      </c>
      <c r="T569" s="20">
        <f t="shared" si="29"/>
        <v>68.427044000000009</v>
      </c>
      <c r="X569" s="20" t="s">
        <v>886</v>
      </c>
      <c r="Y569" s="20" t="s">
        <v>36</v>
      </c>
      <c r="Z569" s="20" t="s">
        <v>36</v>
      </c>
    </row>
    <row r="570" spans="1:26">
      <c r="A570" s="20" t="s">
        <v>1373</v>
      </c>
      <c r="B570" s="20" t="s">
        <v>2115</v>
      </c>
      <c r="C570" s="31" t="s">
        <v>2229</v>
      </c>
      <c r="D570" s="49">
        <v>42888</v>
      </c>
      <c r="E570" s="9">
        <v>10.057994000000001</v>
      </c>
      <c r="F570" s="9">
        <v>49.937230999999997</v>
      </c>
      <c r="G570" t="s">
        <v>2625</v>
      </c>
      <c r="H570" t="s">
        <v>2806</v>
      </c>
      <c r="I570" t="s">
        <v>2807</v>
      </c>
      <c r="K570" s="20" t="s">
        <v>2602</v>
      </c>
      <c r="L570" s="20"/>
      <c r="M570" s="172" t="s">
        <v>2823</v>
      </c>
      <c r="N570" s="20" t="s">
        <v>2713</v>
      </c>
      <c r="O570" s="28">
        <v>5.9799999999999999E-2</v>
      </c>
      <c r="P570" s="28">
        <v>3.6903999999999992E-2</v>
      </c>
      <c r="Q570" s="65">
        <f t="shared" si="28"/>
        <v>2.2896000000000007E-2</v>
      </c>
      <c r="R570" s="28">
        <v>3.7770000000000001</v>
      </c>
      <c r="S570" s="28">
        <f>7.781+9.345</f>
        <v>17.126000000000001</v>
      </c>
      <c r="T570" s="20">
        <f t="shared" si="29"/>
        <v>64.684902000000008</v>
      </c>
      <c r="X570" s="20" t="s">
        <v>886</v>
      </c>
      <c r="Y570" s="20" t="s">
        <v>36</v>
      </c>
      <c r="Z570" s="20" t="s">
        <v>36</v>
      </c>
    </row>
    <row r="571" spans="1:26">
      <c r="A571" s="20" t="s">
        <v>1372</v>
      </c>
      <c r="B571" s="20" t="s">
        <v>2115</v>
      </c>
      <c r="C571" s="31" t="s">
        <v>2230</v>
      </c>
      <c r="D571" s="49">
        <v>42888</v>
      </c>
      <c r="E571" s="9">
        <v>10.124091999999999</v>
      </c>
      <c r="F571" s="9">
        <v>49.906236</v>
      </c>
      <c r="G571" t="s">
        <v>2625</v>
      </c>
      <c r="H571" t="s">
        <v>2806</v>
      </c>
      <c r="I571" t="s">
        <v>2807</v>
      </c>
      <c r="K571" s="20" t="s">
        <v>2602</v>
      </c>
      <c r="L571" s="20"/>
      <c r="M571" s="172" t="s">
        <v>2823</v>
      </c>
      <c r="N571" s="20" t="s">
        <v>2713</v>
      </c>
      <c r="O571" s="28">
        <v>5.5300000000000002E-2</v>
      </c>
      <c r="P571" s="28">
        <v>3.6903999999999992E-2</v>
      </c>
      <c r="Q571" s="65">
        <f t="shared" si="28"/>
        <v>1.839600000000001E-2</v>
      </c>
      <c r="R571" s="28">
        <v>3.8279999999999998</v>
      </c>
      <c r="S571" s="28">
        <f>9.373+8.635</f>
        <v>18.007999999999999</v>
      </c>
      <c r="T571" s="20">
        <f t="shared" si="29"/>
        <v>68.934623999999999</v>
      </c>
      <c r="X571" s="20" t="s">
        <v>886</v>
      </c>
      <c r="Y571" s="20" t="s">
        <v>36</v>
      </c>
      <c r="Z571" s="20" t="s">
        <v>36</v>
      </c>
    </row>
    <row r="572" spans="1:26">
      <c r="A572" s="20" t="s">
        <v>1371</v>
      </c>
      <c r="B572" s="20" t="s">
        <v>2115</v>
      </c>
      <c r="C572" s="31" t="s">
        <v>2228</v>
      </c>
      <c r="D572" s="49">
        <v>42856</v>
      </c>
      <c r="E572" s="9">
        <v>10.050008</v>
      </c>
      <c r="F572" s="9">
        <v>49.941994000000001</v>
      </c>
      <c r="G572" t="s">
        <v>2625</v>
      </c>
      <c r="H572" t="s">
        <v>2806</v>
      </c>
      <c r="I572" t="s">
        <v>2807</v>
      </c>
      <c r="K572" s="20" t="s">
        <v>2602</v>
      </c>
      <c r="L572" s="20"/>
      <c r="M572" s="172" t="s">
        <v>3599</v>
      </c>
      <c r="N572" s="20" t="s">
        <v>2713</v>
      </c>
      <c r="O572" s="28">
        <v>4.99E-2</v>
      </c>
      <c r="P572" s="28">
        <v>3.6903999999999992E-2</v>
      </c>
      <c r="Q572" s="65">
        <f t="shared" si="28"/>
        <v>1.2996000000000008E-2</v>
      </c>
      <c r="R572" s="28">
        <v>3.0489999999999999</v>
      </c>
      <c r="S572" s="28">
        <f>8.191+7.318</f>
        <v>15.509</v>
      </c>
      <c r="T572" s="20">
        <f t="shared" si="29"/>
        <v>47.286940999999999</v>
      </c>
      <c r="X572" s="20" t="s">
        <v>886</v>
      </c>
      <c r="Y572" s="20" t="s">
        <v>36</v>
      </c>
      <c r="Z572" s="20" t="s">
        <v>36</v>
      </c>
    </row>
    <row r="573" spans="1:26">
      <c r="A573" s="20" t="s">
        <v>1370</v>
      </c>
      <c r="B573" s="20" t="s">
        <v>2115</v>
      </c>
      <c r="C573" s="31" t="s">
        <v>2234</v>
      </c>
      <c r="D573" s="49">
        <v>42888</v>
      </c>
      <c r="E573" s="9">
        <v>10.053630999999999</v>
      </c>
      <c r="F573" s="9">
        <v>49.900486000000001</v>
      </c>
      <c r="G573" t="s">
        <v>2625</v>
      </c>
      <c r="H573" t="s">
        <v>2806</v>
      </c>
      <c r="I573" t="s">
        <v>2807</v>
      </c>
      <c r="K573" s="20" t="s">
        <v>2602</v>
      </c>
      <c r="L573" s="20"/>
      <c r="M573" s="172" t="s">
        <v>3595</v>
      </c>
      <c r="N573" s="20" t="s">
        <v>2713</v>
      </c>
      <c r="O573" s="28">
        <v>5.0500000000000003E-2</v>
      </c>
      <c r="P573" s="28">
        <v>3.6903999999999992E-2</v>
      </c>
      <c r="Q573" s="65">
        <f t="shared" si="28"/>
        <v>1.3596000000000011E-2</v>
      </c>
      <c r="R573" s="28">
        <v>3.3109999999999999</v>
      </c>
      <c r="S573" s="28">
        <f>7.015+6.896</f>
        <v>13.911</v>
      </c>
      <c r="T573" s="20">
        <f t="shared" si="29"/>
        <v>46.059320999999997</v>
      </c>
      <c r="X573" s="20" t="s">
        <v>886</v>
      </c>
      <c r="Y573" s="20" t="s">
        <v>36</v>
      </c>
      <c r="Z573" s="20" t="s">
        <v>36</v>
      </c>
    </row>
    <row r="574" spans="1:26">
      <c r="A574" s="20" t="s">
        <v>1369</v>
      </c>
      <c r="B574" s="20" t="s">
        <v>2115</v>
      </c>
      <c r="C574" s="31" t="s">
        <v>2233</v>
      </c>
      <c r="D574" s="49">
        <v>42856</v>
      </c>
      <c r="E574" s="9">
        <v>10.086428</v>
      </c>
      <c r="F574" s="9">
        <v>49.909314000000002</v>
      </c>
      <c r="G574" t="s">
        <v>2625</v>
      </c>
      <c r="H574" t="s">
        <v>2806</v>
      </c>
      <c r="I574" t="s">
        <v>2807</v>
      </c>
      <c r="K574" s="20" t="s">
        <v>2602</v>
      </c>
      <c r="L574" s="20"/>
      <c r="M574" s="172" t="s">
        <v>3593</v>
      </c>
      <c r="N574" s="20" t="s">
        <v>2713</v>
      </c>
      <c r="O574" s="28">
        <v>6.7699999999999996E-2</v>
      </c>
      <c r="P574" s="28">
        <v>3.6903999999999992E-2</v>
      </c>
      <c r="Q574" s="65">
        <f t="shared" si="28"/>
        <v>3.0796000000000004E-2</v>
      </c>
      <c r="R574" s="28">
        <v>4.2480000000000002</v>
      </c>
      <c r="S574" s="28">
        <f>11.977+9.722</f>
        <v>21.698999999999998</v>
      </c>
      <c r="T574" s="20">
        <f t="shared" si="29"/>
        <v>92.177351999999999</v>
      </c>
      <c r="X574" s="20" t="s">
        <v>886</v>
      </c>
      <c r="Y574" s="20" t="s">
        <v>36</v>
      </c>
      <c r="Z574" s="20" t="s">
        <v>36</v>
      </c>
    </row>
    <row r="575" spans="1:26">
      <c r="A575" s="20" t="s">
        <v>1368</v>
      </c>
      <c r="B575" s="20" t="s">
        <v>2115</v>
      </c>
      <c r="C575" s="31" t="s">
        <v>2237</v>
      </c>
      <c r="D575" s="49">
        <v>42856</v>
      </c>
      <c r="E575" s="9">
        <v>10.045693999999999</v>
      </c>
      <c r="F575" s="9">
        <v>49.896189</v>
      </c>
      <c r="G575" t="s">
        <v>2625</v>
      </c>
      <c r="H575" t="s">
        <v>2806</v>
      </c>
      <c r="I575" t="s">
        <v>2807</v>
      </c>
      <c r="K575" s="20" t="s">
        <v>2602</v>
      </c>
      <c r="L575" s="20"/>
      <c r="M575" s="172" t="s">
        <v>3589</v>
      </c>
      <c r="N575" s="20" t="s">
        <v>2713</v>
      </c>
      <c r="O575" s="28">
        <v>6.8099999999999994E-2</v>
      </c>
      <c r="P575" s="28">
        <v>3.6903999999999992E-2</v>
      </c>
      <c r="Q575" s="65">
        <f t="shared" si="28"/>
        <v>3.1196000000000002E-2</v>
      </c>
      <c r="R575" s="28">
        <v>4.3719999999999999</v>
      </c>
      <c r="S575" s="28">
        <f>9.229+9.152</f>
        <v>18.381</v>
      </c>
      <c r="T575" s="20">
        <f t="shared" si="29"/>
        <v>80.361732000000003</v>
      </c>
      <c r="X575" s="20" t="s">
        <v>886</v>
      </c>
      <c r="Y575" s="20" t="s">
        <v>36</v>
      </c>
      <c r="Z575" s="20" t="s">
        <v>36</v>
      </c>
    </row>
    <row r="576" spans="1:26">
      <c r="A576" s="20" t="s">
        <v>1367</v>
      </c>
      <c r="B576" s="20" t="s">
        <v>2115</v>
      </c>
      <c r="C576" s="31" t="s">
        <v>2233</v>
      </c>
      <c r="D576" s="49">
        <v>42856</v>
      </c>
      <c r="E576" s="9">
        <v>10.086428</v>
      </c>
      <c r="F576" s="9">
        <v>49.909314000000002</v>
      </c>
      <c r="G576" t="s">
        <v>2625</v>
      </c>
      <c r="H576" t="s">
        <v>2806</v>
      </c>
      <c r="I576" t="s">
        <v>2807</v>
      </c>
      <c r="K576" s="20" t="s">
        <v>2602</v>
      </c>
      <c r="L576" s="20"/>
      <c r="M576" s="172" t="s">
        <v>3592</v>
      </c>
      <c r="N576" s="20" t="s">
        <v>2713</v>
      </c>
      <c r="O576" s="28">
        <v>7.2300000000000003E-2</v>
      </c>
      <c r="P576" s="28">
        <v>3.6903999999999992E-2</v>
      </c>
      <c r="Q576" s="65">
        <f t="shared" si="28"/>
        <v>3.5396000000000011E-2</v>
      </c>
      <c r="R576" s="28">
        <v>4.38</v>
      </c>
      <c r="S576" s="28">
        <v>20.209</v>
      </c>
      <c r="T576" s="20">
        <f t="shared" si="29"/>
        <v>88.515419999999992</v>
      </c>
      <c r="X576" s="20" t="s">
        <v>886</v>
      </c>
      <c r="Y576" s="20" t="s">
        <v>36</v>
      </c>
      <c r="Z576" s="20" t="s">
        <v>36</v>
      </c>
    </row>
    <row r="577" spans="1:26">
      <c r="A577" s="20" t="s">
        <v>1366</v>
      </c>
      <c r="B577" s="20" t="s">
        <v>2115</v>
      </c>
      <c r="C577" s="60" t="s">
        <v>2240</v>
      </c>
      <c r="D577" s="49">
        <v>42856</v>
      </c>
      <c r="E577" s="9">
        <v>10.094319</v>
      </c>
      <c r="F577" s="9">
        <v>49.925831000000002</v>
      </c>
      <c r="G577" t="s">
        <v>2625</v>
      </c>
      <c r="H577" t="s">
        <v>2806</v>
      </c>
      <c r="I577" t="s">
        <v>2807</v>
      </c>
      <c r="K577" s="20" t="s">
        <v>2602</v>
      </c>
      <c r="L577" s="20"/>
      <c r="M577" s="172" t="s">
        <v>3589</v>
      </c>
      <c r="N577" s="20" t="s">
        <v>2713</v>
      </c>
      <c r="O577" s="28">
        <v>7.51E-2</v>
      </c>
      <c r="P577" s="28">
        <v>3.6903999999999992E-2</v>
      </c>
      <c r="Q577" s="65">
        <f t="shared" si="28"/>
        <v>3.8196000000000008E-2</v>
      </c>
      <c r="R577" s="28">
        <v>4.8630000000000004</v>
      </c>
      <c r="S577" s="28">
        <f>10.413+10.098</f>
        <v>20.511000000000003</v>
      </c>
      <c r="T577" s="20">
        <f t="shared" si="29"/>
        <v>99.744993000000022</v>
      </c>
      <c r="X577" s="20" t="s">
        <v>886</v>
      </c>
      <c r="Y577" s="20" t="s">
        <v>36</v>
      </c>
      <c r="Z577" s="20" t="s">
        <v>36</v>
      </c>
    </row>
    <row r="578" spans="1:26">
      <c r="A578" s="20" t="s">
        <v>1365</v>
      </c>
      <c r="B578" s="20" t="s">
        <v>2115</v>
      </c>
      <c r="C578" s="31" t="s">
        <v>2230</v>
      </c>
      <c r="D578" s="49">
        <v>42856</v>
      </c>
      <c r="E578" s="9">
        <v>10.124091999999999</v>
      </c>
      <c r="F578" s="9">
        <v>49.906236</v>
      </c>
      <c r="G578" t="s">
        <v>2625</v>
      </c>
      <c r="H578" t="s">
        <v>2806</v>
      </c>
      <c r="I578" t="s">
        <v>2807</v>
      </c>
      <c r="K578" s="20" t="s">
        <v>2602</v>
      </c>
      <c r="L578" s="20"/>
      <c r="M578" s="172" t="s">
        <v>2823</v>
      </c>
      <c r="N578" s="20" t="s">
        <v>2713</v>
      </c>
      <c r="O578" s="28">
        <v>6.4299999999999996E-2</v>
      </c>
      <c r="P578" s="28">
        <v>3.6903999999999992E-2</v>
      </c>
      <c r="Q578" s="65">
        <f t="shared" si="28"/>
        <v>2.7396000000000004E-2</v>
      </c>
      <c r="R578" s="28">
        <v>3.903</v>
      </c>
      <c r="S578" s="28">
        <f>8.344+8.922</f>
        <v>17.265999999999998</v>
      </c>
      <c r="T578" s="20">
        <f t="shared" si="29"/>
        <v>67.389197999999993</v>
      </c>
      <c r="X578" s="20" t="s">
        <v>886</v>
      </c>
      <c r="Y578" s="20" t="s">
        <v>36</v>
      </c>
      <c r="Z578" s="20" t="s">
        <v>36</v>
      </c>
    </row>
    <row r="579" spans="1:26">
      <c r="A579" s="20" t="s">
        <v>1364</v>
      </c>
      <c r="B579" s="20" t="s">
        <v>2115</v>
      </c>
      <c r="C579" s="31" t="s">
        <v>2244</v>
      </c>
      <c r="D579" s="49">
        <v>42856</v>
      </c>
      <c r="E579" s="9">
        <v>10.017931000000001</v>
      </c>
      <c r="F579" s="9">
        <v>49.935696999999998</v>
      </c>
      <c r="G579" t="s">
        <v>2625</v>
      </c>
      <c r="H579" t="s">
        <v>2806</v>
      </c>
      <c r="I579" t="s">
        <v>2807</v>
      </c>
      <c r="K579" s="20" t="s">
        <v>2602</v>
      </c>
      <c r="L579" s="20"/>
      <c r="M579" s="172" t="s">
        <v>2823</v>
      </c>
      <c r="N579" s="20" t="s">
        <v>2713</v>
      </c>
      <c r="O579" s="28">
        <v>5.8500000000000003E-2</v>
      </c>
      <c r="P579" s="28">
        <v>3.6903999999999992E-2</v>
      </c>
      <c r="Q579" s="65">
        <f t="shared" si="28"/>
        <v>2.1596000000000011E-2</v>
      </c>
      <c r="R579" s="28">
        <v>3.8149999999999999</v>
      </c>
      <c r="S579" s="28">
        <f>8.685+8.372</f>
        <v>17.057000000000002</v>
      </c>
      <c r="T579" s="20">
        <f t="shared" si="29"/>
        <v>65.072455000000005</v>
      </c>
      <c r="X579" s="20" t="s">
        <v>886</v>
      </c>
      <c r="Y579" s="20" t="s">
        <v>36</v>
      </c>
      <c r="Z579" s="20" t="s">
        <v>36</v>
      </c>
    </row>
    <row r="580" spans="1:26">
      <c r="A580" s="20" t="s">
        <v>1363</v>
      </c>
      <c r="B580" s="20" t="s">
        <v>2115</v>
      </c>
      <c r="C580" s="31" t="s">
        <v>2235</v>
      </c>
      <c r="D580" s="49">
        <v>42856</v>
      </c>
      <c r="E580" s="9">
        <v>10.057294000000001</v>
      </c>
      <c r="F580" s="9">
        <v>49.902307999999998</v>
      </c>
      <c r="G580" t="s">
        <v>2625</v>
      </c>
      <c r="H580" t="s">
        <v>2806</v>
      </c>
      <c r="I580" t="s">
        <v>2807</v>
      </c>
      <c r="K580" s="20" t="s">
        <v>2602</v>
      </c>
      <c r="L580" s="20"/>
      <c r="M580" s="172" t="s">
        <v>3589</v>
      </c>
      <c r="N580" s="20" t="s">
        <v>2713</v>
      </c>
      <c r="O580" s="28">
        <v>6.5000000000000002E-2</v>
      </c>
      <c r="P580" s="28">
        <v>3.6903999999999992E-2</v>
      </c>
      <c r="Q580" s="65">
        <f t="shared" si="28"/>
        <v>2.809600000000001E-2</v>
      </c>
      <c r="R580" s="28">
        <v>4.5410000000000004</v>
      </c>
      <c r="S580" s="28">
        <f>10.352+8.886</f>
        <v>19.238</v>
      </c>
      <c r="T580" s="20">
        <f t="shared" si="29"/>
        <v>87.359757999999999</v>
      </c>
      <c r="X580" s="20" t="s">
        <v>886</v>
      </c>
      <c r="Y580" s="20" t="s">
        <v>36</v>
      </c>
      <c r="Z580" s="20" t="s">
        <v>36</v>
      </c>
    </row>
    <row r="581" spans="1:26">
      <c r="A581" s="20" t="s">
        <v>1362</v>
      </c>
      <c r="B581" s="20" t="s">
        <v>2115</v>
      </c>
      <c r="C581" s="31" t="s">
        <v>2234</v>
      </c>
      <c r="D581" s="49">
        <v>42856</v>
      </c>
      <c r="E581" s="9">
        <v>10.053630999999999</v>
      </c>
      <c r="F581" s="9">
        <v>49.900486000000001</v>
      </c>
      <c r="G581" t="s">
        <v>2625</v>
      </c>
      <c r="H581" t="s">
        <v>2806</v>
      </c>
      <c r="I581" t="s">
        <v>2807</v>
      </c>
      <c r="K581" s="20" t="s">
        <v>2602</v>
      </c>
      <c r="L581" s="20"/>
      <c r="M581" s="172" t="s">
        <v>3594</v>
      </c>
      <c r="N581" s="20" t="s">
        <v>2713</v>
      </c>
      <c r="O581" s="28">
        <v>6.5199999999999994E-2</v>
      </c>
      <c r="P581" s="28">
        <v>3.6903999999999992E-2</v>
      </c>
      <c r="Q581" s="65">
        <f t="shared" si="28"/>
        <v>2.8296000000000002E-2</v>
      </c>
      <c r="R581" s="28">
        <v>4.3170000000000002</v>
      </c>
      <c r="S581" s="28">
        <f>8.842+8.741</f>
        <v>17.582999999999998</v>
      </c>
      <c r="T581" s="20">
        <f t="shared" si="29"/>
        <v>75.905811</v>
      </c>
      <c r="X581" s="20" t="s">
        <v>886</v>
      </c>
      <c r="Y581" s="20" t="s">
        <v>36</v>
      </c>
      <c r="Z581" s="20" t="s">
        <v>36</v>
      </c>
    </row>
    <row r="582" spans="1:26">
      <c r="A582" s="20" t="s">
        <v>1361</v>
      </c>
      <c r="B582" s="20" t="s">
        <v>2115</v>
      </c>
      <c r="C582" s="31" t="s">
        <v>2234</v>
      </c>
      <c r="D582" s="49">
        <v>42856</v>
      </c>
      <c r="E582" s="9">
        <v>10.053630999999999</v>
      </c>
      <c r="F582" s="9">
        <v>49.900486000000001</v>
      </c>
      <c r="G582" t="s">
        <v>2625</v>
      </c>
      <c r="H582" t="s">
        <v>2806</v>
      </c>
      <c r="I582" t="s">
        <v>2807</v>
      </c>
      <c r="K582" s="20" t="s">
        <v>2602</v>
      </c>
      <c r="L582" s="20"/>
      <c r="M582" s="172" t="s">
        <v>2823</v>
      </c>
      <c r="N582" s="20" t="s">
        <v>2713</v>
      </c>
      <c r="O582" s="28">
        <v>6.0600000000000001E-2</v>
      </c>
      <c r="P582" s="28">
        <v>3.6903999999999992E-2</v>
      </c>
      <c r="Q582" s="65">
        <f t="shared" si="28"/>
        <v>2.3696000000000009E-2</v>
      </c>
      <c r="R582" s="28">
        <v>3.573</v>
      </c>
      <c r="S582" s="28">
        <f>8.217+9.003</f>
        <v>17.22</v>
      </c>
      <c r="T582" s="20">
        <f t="shared" si="29"/>
        <v>61.527059999999992</v>
      </c>
      <c r="X582" s="20" t="s">
        <v>886</v>
      </c>
      <c r="Y582" s="20" t="s">
        <v>36</v>
      </c>
      <c r="Z582" s="20" t="s">
        <v>36</v>
      </c>
    </row>
    <row r="583" spans="1:26">
      <c r="A583" s="20" t="s">
        <v>1360</v>
      </c>
      <c r="B583" s="20" t="s">
        <v>2115</v>
      </c>
      <c r="C583" s="31" t="s">
        <v>2236</v>
      </c>
      <c r="D583" s="49">
        <v>42856</v>
      </c>
      <c r="E583" s="9">
        <v>10.022767</v>
      </c>
      <c r="F583" s="9">
        <v>49.938633000000003</v>
      </c>
      <c r="G583" t="s">
        <v>2625</v>
      </c>
      <c r="H583" t="s">
        <v>2806</v>
      </c>
      <c r="I583" t="s">
        <v>2807</v>
      </c>
      <c r="K583" s="20" t="s">
        <v>2602</v>
      </c>
      <c r="L583" s="20"/>
      <c r="M583" s="172" t="s">
        <v>2823</v>
      </c>
      <c r="N583" s="20" t="s">
        <v>2713</v>
      </c>
      <c r="O583" s="28">
        <v>6.3700000000000007E-2</v>
      </c>
      <c r="P583" s="28">
        <v>3.6903999999999992E-2</v>
      </c>
      <c r="Q583" s="65">
        <f t="shared" si="28"/>
        <v>2.6796000000000014E-2</v>
      </c>
      <c r="R583" s="28">
        <v>3.8029999999999999</v>
      </c>
      <c r="S583" s="28">
        <f>9.156+8.415</f>
        <v>17.570999999999998</v>
      </c>
      <c r="T583" s="20">
        <f t="shared" si="29"/>
        <v>66.822512999999987</v>
      </c>
      <c r="X583" s="20" t="s">
        <v>886</v>
      </c>
      <c r="Y583" s="20" t="s">
        <v>36</v>
      </c>
      <c r="Z583" s="20" t="s">
        <v>36</v>
      </c>
    </row>
    <row r="584" spans="1:26">
      <c r="A584" s="20" t="s">
        <v>1541</v>
      </c>
      <c r="B584" s="20" t="s">
        <v>2115</v>
      </c>
      <c r="C584" s="31" t="s">
        <v>2239</v>
      </c>
      <c r="D584" s="49">
        <v>42902</v>
      </c>
      <c r="E584" s="9">
        <v>10.067944000000001</v>
      </c>
      <c r="F584" s="9">
        <v>49.912992000000003</v>
      </c>
      <c r="G584" t="s">
        <v>2569</v>
      </c>
      <c r="H584" t="s">
        <v>2570</v>
      </c>
      <c r="I584" t="s">
        <v>2802</v>
      </c>
      <c r="K584" s="20" t="s">
        <v>3047</v>
      </c>
      <c r="L584" s="20"/>
      <c r="M584" s="172" t="s">
        <v>3600</v>
      </c>
      <c r="N584" s="20" t="s">
        <v>2712</v>
      </c>
      <c r="O584" s="28">
        <v>4.3400000000000001E-2</v>
      </c>
      <c r="P584" s="28">
        <v>3.6903999999999992E-2</v>
      </c>
      <c r="Q584" s="65">
        <f t="shared" si="28"/>
        <v>6.4960000000000087E-3</v>
      </c>
      <c r="R584" s="28">
        <v>2.577</v>
      </c>
      <c r="S584" s="28">
        <v>10.265000000000001</v>
      </c>
      <c r="T584" s="20">
        <f t="shared" si="29"/>
        <v>26.452905000000001</v>
      </c>
      <c r="X584" s="20" t="s">
        <v>886</v>
      </c>
      <c r="Y584" s="20" t="s">
        <v>36</v>
      </c>
      <c r="Z584" s="20" t="s">
        <v>36</v>
      </c>
    </row>
    <row r="585" spans="1:26">
      <c r="A585" s="20" t="s">
        <v>1359</v>
      </c>
      <c r="B585" s="20" t="s">
        <v>2115</v>
      </c>
      <c r="C585" s="31" t="s">
        <v>2234</v>
      </c>
      <c r="D585" s="49">
        <v>42856</v>
      </c>
      <c r="E585" s="9">
        <v>10.053630999999999</v>
      </c>
      <c r="F585" s="9">
        <v>49.900486000000001</v>
      </c>
      <c r="G585" t="s">
        <v>2625</v>
      </c>
      <c r="H585" t="s">
        <v>2806</v>
      </c>
      <c r="I585" t="s">
        <v>2807</v>
      </c>
      <c r="K585" s="20" t="s">
        <v>2602</v>
      </c>
      <c r="L585" s="20"/>
      <c r="M585" s="172" t="s">
        <v>2381</v>
      </c>
      <c r="N585" s="20" t="s">
        <v>2713</v>
      </c>
      <c r="O585" s="28">
        <v>4.9299999999999997E-2</v>
      </c>
      <c r="P585" s="28">
        <v>3.6903999999999992E-2</v>
      </c>
      <c r="Q585" s="65">
        <f t="shared" si="28"/>
        <v>1.2396000000000004E-2</v>
      </c>
      <c r="R585" s="28">
        <v>3.0019999999999998</v>
      </c>
      <c r="S585" s="28">
        <v>14.497999999999999</v>
      </c>
      <c r="T585" s="20">
        <f t="shared" si="29"/>
        <v>43.522995999999992</v>
      </c>
      <c r="X585" s="20" t="s">
        <v>886</v>
      </c>
      <c r="Y585" s="20" t="s">
        <v>36</v>
      </c>
      <c r="Z585" s="20" t="s">
        <v>36</v>
      </c>
    </row>
    <row r="586" spans="1:26">
      <c r="A586" s="20" t="s">
        <v>1358</v>
      </c>
      <c r="B586" s="20" t="s">
        <v>2115</v>
      </c>
      <c r="C586" s="31" t="s">
        <v>2236</v>
      </c>
      <c r="D586" s="49">
        <v>42856</v>
      </c>
      <c r="E586" s="9">
        <v>10.022767</v>
      </c>
      <c r="F586" s="9">
        <v>49.938633000000003</v>
      </c>
      <c r="G586" t="s">
        <v>2625</v>
      </c>
      <c r="H586" t="s">
        <v>2806</v>
      </c>
      <c r="I586" t="s">
        <v>2807</v>
      </c>
      <c r="K586" s="20" t="s">
        <v>2602</v>
      </c>
      <c r="L586" s="20"/>
      <c r="M586" s="172" t="s">
        <v>3589</v>
      </c>
      <c r="N586" s="20" t="s">
        <v>2713</v>
      </c>
      <c r="O586" s="28">
        <v>7.8799999999999995E-2</v>
      </c>
      <c r="P586" s="28">
        <v>3.6903999999999992E-2</v>
      </c>
      <c r="Q586" s="65">
        <f t="shared" si="28"/>
        <v>4.1896000000000003E-2</v>
      </c>
      <c r="R586" s="28">
        <v>4.4580000000000002</v>
      </c>
      <c r="S586" s="28">
        <f>10.148+11.23</f>
        <v>21.378</v>
      </c>
      <c r="T586" s="20">
        <f t="shared" si="29"/>
        <v>95.303124000000011</v>
      </c>
      <c r="X586" s="20" t="s">
        <v>886</v>
      </c>
      <c r="Y586" s="20" t="s">
        <v>36</v>
      </c>
      <c r="Z586" s="20" t="s">
        <v>36</v>
      </c>
    </row>
    <row r="587" spans="1:26">
      <c r="A587" s="20" t="s">
        <v>1581</v>
      </c>
      <c r="B587" s="20" t="s">
        <v>2115</v>
      </c>
      <c r="C587" s="31" t="s">
        <v>2230</v>
      </c>
      <c r="D587" s="49">
        <v>42872</v>
      </c>
      <c r="E587" s="9">
        <v>10.124091999999999</v>
      </c>
      <c r="F587" s="9">
        <v>49.906236</v>
      </c>
      <c r="G587" s="20" t="s">
        <v>2566</v>
      </c>
      <c r="H587" s="20" t="s">
        <v>2567</v>
      </c>
      <c r="I587" s="20" t="s">
        <v>2668</v>
      </c>
      <c r="K587" s="20" t="s">
        <v>2600</v>
      </c>
      <c r="L587" s="20"/>
      <c r="M587" s="172" t="s">
        <v>3579</v>
      </c>
      <c r="N587" s="20" t="s">
        <v>2713</v>
      </c>
      <c r="O587" s="28">
        <v>4.1099999999999998E-2</v>
      </c>
      <c r="P587" s="28">
        <v>3.6903999999999992E-2</v>
      </c>
      <c r="Q587" s="65">
        <f t="shared" si="28"/>
        <v>4.1960000000000053E-3</v>
      </c>
      <c r="R587" s="28">
        <v>1.931</v>
      </c>
      <c r="S587" s="28">
        <v>10.493</v>
      </c>
      <c r="T587" s="20">
        <f t="shared" si="29"/>
        <v>20.261983000000001</v>
      </c>
      <c r="X587" s="20" t="s">
        <v>886</v>
      </c>
      <c r="Y587" s="20" t="s">
        <v>36</v>
      </c>
      <c r="Z587" s="20" t="s">
        <v>36</v>
      </c>
    </row>
    <row r="588" spans="1:26">
      <c r="A588" s="20" t="s">
        <v>1543</v>
      </c>
      <c r="B588" s="20" t="s">
        <v>2115</v>
      </c>
      <c r="C588" s="31" t="s">
        <v>2233</v>
      </c>
      <c r="D588" s="49">
        <v>42902</v>
      </c>
      <c r="E588" s="9">
        <v>10.086428</v>
      </c>
      <c r="F588" s="9">
        <v>49.909314000000002</v>
      </c>
      <c r="G588" s="20" t="s">
        <v>2572</v>
      </c>
      <c r="H588" s="20" t="s">
        <v>2573</v>
      </c>
      <c r="K588" s="20" t="s">
        <v>2606</v>
      </c>
      <c r="L588" s="20"/>
      <c r="M588" s="172" t="s">
        <v>3601</v>
      </c>
      <c r="N588" s="175" t="s">
        <v>2713</v>
      </c>
      <c r="O588" s="28">
        <v>4.2500000000000003E-2</v>
      </c>
      <c r="P588" s="28">
        <v>3.6903999999999992E-2</v>
      </c>
      <c r="Q588" s="65">
        <f t="shared" si="28"/>
        <v>5.5960000000000107E-3</v>
      </c>
      <c r="R588" s="28">
        <v>2.0049999999999999</v>
      </c>
      <c r="S588" s="28">
        <v>9.2219999999999995</v>
      </c>
      <c r="T588" s="20">
        <f t="shared" si="29"/>
        <v>18.490109999999998</v>
      </c>
      <c r="X588" s="20" t="s">
        <v>886</v>
      </c>
      <c r="Y588" s="20" t="s">
        <v>36</v>
      </c>
      <c r="Z588" s="20" t="s">
        <v>36</v>
      </c>
    </row>
    <row r="589" spans="1:26">
      <c r="A589" s="20" t="s">
        <v>1582</v>
      </c>
      <c r="B589" s="20" t="s">
        <v>2115</v>
      </c>
      <c r="C589" s="31" t="s">
        <v>2239</v>
      </c>
      <c r="D589" s="49">
        <v>42856</v>
      </c>
      <c r="E589" s="9">
        <v>10.067944000000001</v>
      </c>
      <c r="F589" s="9">
        <v>49.912992000000003</v>
      </c>
      <c r="G589" s="20" t="s">
        <v>2566</v>
      </c>
      <c r="H589" s="20" t="s">
        <v>2567</v>
      </c>
      <c r="I589" s="20" t="s">
        <v>2668</v>
      </c>
      <c r="K589" s="20" t="s">
        <v>2600</v>
      </c>
      <c r="L589" s="20"/>
      <c r="M589" s="172" t="s">
        <v>3583</v>
      </c>
      <c r="N589" s="20" t="s">
        <v>2713</v>
      </c>
      <c r="O589" s="28">
        <v>4.4999999999999998E-2</v>
      </c>
      <c r="P589" s="28">
        <v>3.6903999999999992E-2</v>
      </c>
      <c r="Q589" s="65">
        <f t="shared" si="28"/>
        <v>8.096000000000006E-3</v>
      </c>
      <c r="R589" s="28">
        <v>2.78</v>
      </c>
      <c r="S589" s="28">
        <v>13.345000000000001</v>
      </c>
      <c r="T589" s="20">
        <f t="shared" si="29"/>
        <v>37.0991</v>
      </c>
      <c r="X589" s="20" t="s">
        <v>886</v>
      </c>
      <c r="Y589" s="20" t="s">
        <v>36</v>
      </c>
      <c r="Z589" s="20" t="s">
        <v>36</v>
      </c>
    </row>
    <row r="590" spans="1:26">
      <c r="A590" s="20" t="s">
        <v>1544</v>
      </c>
      <c r="B590" s="20" t="s">
        <v>2115</v>
      </c>
      <c r="C590" s="31" t="s">
        <v>2229</v>
      </c>
      <c r="D590" s="49">
        <v>42902</v>
      </c>
      <c r="E590" s="9">
        <v>10.057994000000001</v>
      </c>
      <c r="F590" s="9">
        <v>49.937230999999997</v>
      </c>
      <c r="G590" s="20" t="s">
        <v>2569</v>
      </c>
      <c r="H590" s="20" t="s">
        <v>2570</v>
      </c>
      <c r="I590" s="20" t="s">
        <v>2571</v>
      </c>
      <c r="K590" s="20" t="s">
        <v>2369</v>
      </c>
      <c r="L590" s="20"/>
      <c r="M590" s="172" t="s">
        <v>3602</v>
      </c>
      <c r="N590" s="20" t="s">
        <v>2713</v>
      </c>
      <c r="O590" s="28">
        <v>6.6500000000000004E-2</v>
      </c>
      <c r="P590" s="28">
        <v>3.6903999999999992E-2</v>
      </c>
      <c r="Q590" s="65">
        <f t="shared" si="28"/>
        <v>2.9596000000000011E-2</v>
      </c>
      <c r="R590" s="20">
        <v>4.8659999999999997</v>
      </c>
      <c r="S590" s="20">
        <v>21.295999999999999</v>
      </c>
      <c r="T590" s="20">
        <f t="shared" si="29"/>
        <v>103.62633599999999</v>
      </c>
      <c r="X590" s="20" t="s">
        <v>886</v>
      </c>
      <c r="Y590" s="20" t="s">
        <v>36</v>
      </c>
      <c r="Z590" s="20" t="s">
        <v>36</v>
      </c>
    </row>
    <row r="591" spans="1:26">
      <c r="A591" s="20" t="s">
        <v>1545</v>
      </c>
      <c r="B591" s="20" t="s">
        <v>2115</v>
      </c>
      <c r="C591" s="31" t="s">
        <v>2228</v>
      </c>
      <c r="D591" s="49">
        <v>42902</v>
      </c>
      <c r="E591" s="9">
        <v>10.050008</v>
      </c>
      <c r="F591" s="9">
        <v>49.941994000000001</v>
      </c>
      <c r="G591" s="20" t="s">
        <v>2572</v>
      </c>
      <c r="H591" s="20" t="s">
        <v>2573</v>
      </c>
      <c r="K591" s="20" t="s">
        <v>2606</v>
      </c>
      <c r="L591" s="20"/>
      <c r="M591" s="172" t="s">
        <v>3603</v>
      </c>
      <c r="N591" s="20" t="s">
        <v>2712</v>
      </c>
      <c r="O591" s="28">
        <v>3.8899999999999997E-2</v>
      </c>
      <c r="P591" s="28">
        <v>3.6903999999999992E-2</v>
      </c>
      <c r="Q591" s="65">
        <f t="shared" si="28"/>
        <v>1.9960000000000047E-3</v>
      </c>
      <c r="R591" s="20">
        <v>1.5089999999999999</v>
      </c>
      <c r="S591" s="20">
        <v>6.9960000000000004</v>
      </c>
      <c r="T591" s="20">
        <f t="shared" si="29"/>
        <v>10.556964000000001</v>
      </c>
      <c r="X591" s="20" t="s">
        <v>886</v>
      </c>
      <c r="Y591" s="20" t="s">
        <v>36</v>
      </c>
      <c r="Z591" s="20" t="s">
        <v>36</v>
      </c>
    </row>
    <row r="592" spans="1:26">
      <c r="A592" s="20" t="s">
        <v>1546</v>
      </c>
      <c r="B592" s="20" t="s">
        <v>2115</v>
      </c>
      <c r="C592" s="31" t="s">
        <v>2232</v>
      </c>
      <c r="D592" s="49">
        <v>42902</v>
      </c>
      <c r="E592" s="9">
        <v>10.065003000000001</v>
      </c>
      <c r="F592" s="9">
        <v>49.916336000000001</v>
      </c>
      <c r="G592" t="s">
        <v>2569</v>
      </c>
      <c r="H592" t="s">
        <v>2570</v>
      </c>
      <c r="I592" t="s">
        <v>2843</v>
      </c>
      <c r="K592" s="20" t="s">
        <v>3575</v>
      </c>
      <c r="L592" s="20"/>
      <c r="M592" s="172" t="s">
        <v>3604</v>
      </c>
      <c r="N592" s="175" t="s">
        <v>2713</v>
      </c>
      <c r="O592" s="28">
        <v>4.8899999999999999E-2</v>
      </c>
      <c r="P592" s="28">
        <v>3.6903999999999992E-2</v>
      </c>
      <c r="Q592" s="65">
        <f t="shared" si="28"/>
        <v>1.1996000000000007E-2</v>
      </c>
      <c r="R592" s="20">
        <v>3.5329999999999999</v>
      </c>
      <c r="S592" s="20">
        <v>10.780999999999999</v>
      </c>
      <c r="T592" s="20">
        <f t="shared" si="29"/>
        <v>38.089272999999991</v>
      </c>
      <c r="X592" s="20" t="s">
        <v>886</v>
      </c>
      <c r="Y592" s="20" t="s">
        <v>36</v>
      </c>
      <c r="Z592" s="20" t="s">
        <v>36</v>
      </c>
    </row>
    <row r="593" spans="1:26">
      <c r="A593" s="20" t="s">
        <v>1583</v>
      </c>
      <c r="B593" s="20" t="s">
        <v>2115</v>
      </c>
      <c r="C593" s="31" t="s">
        <v>2231</v>
      </c>
      <c r="D593" s="49">
        <v>42872</v>
      </c>
      <c r="E593" s="9">
        <v>10.113375</v>
      </c>
      <c r="F593" s="9">
        <v>49.850391999999999</v>
      </c>
      <c r="G593" s="20" t="s">
        <v>2566</v>
      </c>
      <c r="H593" s="20" t="s">
        <v>2567</v>
      </c>
      <c r="I593" s="20" t="s">
        <v>2668</v>
      </c>
      <c r="K593" s="20" t="s">
        <v>892</v>
      </c>
      <c r="L593" s="20"/>
      <c r="M593" s="172" t="s">
        <v>2793</v>
      </c>
      <c r="N593" s="175" t="s">
        <v>2713</v>
      </c>
      <c r="O593" s="28">
        <v>6.4500000000000002E-2</v>
      </c>
      <c r="P593" s="28">
        <v>3.6903999999999992E-2</v>
      </c>
      <c r="Q593" s="65">
        <f t="shared" si="28"/>
        <v>2.7596000000000009E-2</v>
      </c>
      <c r="R593" s="28">
        <v>3.8820000000000001</v>
      </c>
      <c r="S593" s="28">
        <v>19.326000000000001</v>
      </c>
      <c r="T593" s="20">
        <f t="shared" si="29"/>
        <v>75.023532000000003</v>
      </c>
      <c r="X593" s="20" t="s">
        <v>886</v>
      </c>
      <c r="Y593" s="20" t="s">
        <v>36</v>
      </c>
      <c r="Z593" s="20" t="s">
        <v>36</v>
      </c>
    </row>
    <row r="594" spans="1:26">
      <c r="A594" s="20" t="s">
        <v>1584</v>
      </c>
      <c r="B594" s="20" t="s">
        <v>2115</v>
      </c>
      <c r="C594" s="31" t="s">
        <v>2230</v>
      </c>
      <c r="D594" s="49">
        <v>42872</v>
      </c>
      <c r="E594" s="9">
        <v>10.124091999999999</v>
      </c>
      <c r="F594" s="9">
        <v>49.906236</v>
      </c>
      <c r="G594" s="20" t="s">
        <v>2566</v>
      </c>
      <c r="H594" s="20" t="s">
        <v>2567</v>
      </c>
      <c r="I594" s="20" t="s">
        <v>2668</v>
      </c>
      <c r="K594" s="20" t="s">
        <v>892</v>
      </c>
      <c r="L594" s="20"/>
      <c r="M594" s="172" t="s">
        <v>3408</v>
      </c>
      <c r="N594" s="175" t="s">
        <v>2713</v>
      </c>
      <c r="O594" s="28">
        <v>4.87E-2</v>
      </c>
      <c r="P594" s="28">
        <v>3.6903999999999992E-2</v>
      </c>
      <c r="Q594" s="65">
        <f t="shared" si="28"/>
        <v>1.1796000000000008E-2</v>
      </c>
      <c r="R594" s="28">
        <v>2.62</v>
      </c>
      <c r="S594" s="28">
        <v>15.589</v>
      </c>
      <c r="T594" s="20">
        <f t="shared" si="29"/>
        <v>40.843180000000004</v>
      </c>
      <c r="X594" s="20" t="s">
        <v>886</v>
      </c>
      <c r="Y594" s="20" t="s">
        <v>36</v>
      </c>
      <c r="Z594" s="20" t="s">
        <v>36</v>
      </c>
    </row>
    <row r="595" spans="1:26">
      <c r="A595" s="20" t="s">
        <v>1585</v>
      </c>
      <c r="B595" s="20" t="s">
        <v>2115</v>
      </c>
      <c r="C595" s="31" t="s">
        <v>2236</v>
      </c>
      <c r="D595" s="49">
        <v>42856</v>
      </c>
      <c r="E595" s="9">
        <v>10.022767</v>
      </c>
      <c r="F595" s="9">
        <v>49.938633000000003</v>
      </c>
      <c r="G595" s="20" t="s">
        <v>2566</v>
      </c>
      <c r="H595" s="20" t="s">
        <v>2567</v>
      </c>
      <c r="I595" s="20" t="s">
        <v>2668</v>
      </c>
      <c r="K595" s="20" t="s">
        <v>892</v>
      </c>
      <c r="L595" s="20"/>
      <c r="M595" s="172" t="s">
        <v>2793</v>
      </c>
      <c r="N595" s="175" t="s">
        <v>2713</v>
      </c>
      <c r="O595" s="28">
        <v>6.2300000000000001E-2</v>
      </c>
      <c r="P595" s="28">
        <v>3.6903999999999992E-2</v>
      </c>
      <c r="Q595" s="65">
        <f t="shared" si="28"/>
        <v>2.5396000000000009E-2</v>
      </c>
      <c r="R595" s="28">
        <v>4.2290000000000001</v>
      </c>
      <c r="S595" s="28">
        <v>20.99</v>
      </c>
      <c r="T595" s="20">
        <f t="shared" si="29"/>
        <v>88.766709999999989</v>
      </c>
      <c r="X595" s="20" t="s">
        <v>886</v>
      </c>
      <c r="Y595" s="20" t="s">
        <v>36</v>
      </c>
      <c r="Z595" s="20" t="s">
        <v>36</v>
      </c>
    </row>
    <row r="596" spans="1:26">
      <c r="A596" s="20" t="s">
        <v>1586</v>
      </c>
      <c r="B596" s="20" t="s">
        <v>2115</v>
      </c>
      <c r="C596" s="31" t="s">
        <v>2231</v>
      </c>
      <c r="D596" s="49">
        <v>42856</v>
      </c>
      <c r="E596" s="9">
        <v>10.113375</v>
      </c>
      <c r="F596" s="9">
        <v>49.850391999999999</v>
      </c>
      <c r="G596" s="20" t="s">
        <v>2566</v>
      </c>
      <c r="H596" s="20" t="s">
        <v>2567</v>
      </c>
      <c r="I596" s="20" t="s">
        <v>2668</v>
      </c>
      <c r="K596" s="20" t="s">
        <v>2600</v>
      </c>
      <c r="L596" s="20"/>
      <c r="M596" s="172" t="s">
        <v>3605</v>
      </c>
      <c r="N596" s="175" t="s">
        <v>2713</v>
      </c>
      <c r="O596" s="28">
        <v>5.8000000000000003E-2</v>
      </c>
      <c r="P596" s="28">
        <v>3.6903999999999992E-2</v>
      </c>
      <c r="Q596" s="65">
        <f t="shared" si="28"/>
        <v>2.1096000000000011E-2</v>
      </c>
      <c r="R596" s="28">
        <v>3.9260000000000002</v>
      </c>
      <c r="S596" s="28">
        <v>17.308</v>
      </c>
      <c r="T596" s="20">
        <f t="shared" si="29"/>
        <v>67.951208000000008</v>
      </c>
      <c r="X596" s="20" t="s">
        <v>886</v>
      </c>
      <c r="Y596" s="20" t="s">
        <v>36</v>
      </c>
      <c r="Z596" s="20" t="s">
        <v>36</v>
      </c>
    </row>
    <row r="597" spans="1:26">
      <c r="A597" s="20" t="s">
        <v>1587</v>
      </c>
      <c r="B597" s="20" t="s">
        <v>2115</v>
      </c>
      <c r="C597" s="60" t="s">
        <v>2240</v>
      </c>
      <c r="D597" s="49">
        <v>42902</v>
      </c>
      <c r="E597" s="9">
        <v>10.094319</v>
      </c>
      <c r="F597" s="9">
        <v>49.925831000000002</v>
      </c>
      <c r="G597" s="20" t="s">
        <v>2566</v>
      </c>
      <c r="H597" s="20" t="s">
        <v>2567</v>
      </c>
      <c r="I597" s="20" t="s">
        <v>2668</v>
      </c>
      <c r="K597" s="20" t="s">
        <v>2600</v>
      </c>
      <c r="L597" s="20"/>
      <c r="M597" s="172" t="s">
        <v>2827</v>
      </c>
      <c r="N597" s="175" t="s">
        <v>2713</v>
      </c>
      <c r="O597" s="28">
        <v>4.9000000000000002E-2</v>
      </c>
      <c r="P597" s="28">
        <v>3.6903999999999992E-2</v>
      </c>
      <c r="Q597" s="65">
        <f t="shared" si="28"/>
        <v>1.209600000000001E-2</v>
      </c>
      <c r="R597" s="28">
        <v>3.0579999999999998</v>
      </c>
      <c r="S597" s="28">
        <v>13.045</v>
      </c>
      <c r="T597" s="20">
        <f t="shared" si="29"/>
        <v>39.89161</v>
      </c>
      <c r="X597" s="20" t="s">
        <v>886</v>
      </c>
      <c r="Y597" s="20" t="s">
        <v>36</v>
      </c>
      <c r="Z597" s="20" t="s">
        <v>36</v>
      </c>
    </row>
    <row r="598" spans="1:26">
      <c r="A598" s="20" t="s">
        <v>1589</v>
      </c>
      <c r="B598" s="20" t="s">
        <v>2115</v>
      </c>
      <c r="C598" s="31" t="s">
        <v>2233</v>
      </c>
      <c r="D598" s="49">
        <v>42872</v>
      </c>
      <c r="E598" s="9">
        <v>10.086428</v>
      </c>
      <c r="F598" s="9">
        <v>49.909314000000002</v>
      </c>
      <c r="G598" s="20" t="s">
        <v>2566</v>
      </c>
      <c r="H598" s="20" t="s">
        <v>2567</v>
      </c>
      <c r="I598" s="20" t="s">
        <v>2668</v>
      </c>
      <c r="K598" s="20" t="s">
        <v>892</v>
      </c>
      <c r="L598" s="20"/>
      <c r="M598" s="172" t="s">
        <v>3574</v>
      </c>
      <c r="N598" s="175" t="s">
        <v>2713</v>
      </c>
      <c r="O598" s="28">
        <v>4.2900000000000001E-2</v>
      </c>
      <c r="P598" s="28">
        <v>3.6903999999999992E-2</v>
      </c>
      <c r="Q598" s="65">
        <f t="shared" si="28"/>
        <v>5.9960000000000083E-3</v>
      </c>
      <c r="R598" s="28">
        <v>1.9350000000000001</v>
      </c>
      <c r="S598" s="28">
        <v>10.608000000000001</v>
      </c>
      <c r="T598" s="20">
        <f t="shared" si="29"/>
        <v>20.526480000000003</v>
      </c>
      <c r="X598" s="20" t="s">
        <v>886</v>
      </c>
      <c r="Y598" s="20" t="s">
        <v>36</v>
      </c>
      <c r="Z598" s="20" t="s">
        <v>36</v>
      </c>
    </row>
    <row r="599" spans="1:26">
      <c r="A599" s="20" t="s">
        <v>1590</v>
      </c>
      <c r="B599" s="20" t="s">
        <v>2115</v>
      </c>
      <c r="C599" s="31" t="s">
        <v>2243</v>
      </c>
      <c r="D599" s="49">
        <v>42888</v>
      </c>
      <c r="E599" s="9">
        <v>10.069680999999999</v>
      </c>
      <c r="F599" s="9">
        <v>49.368496999999998</v>
      </c>
      <c r="G599" s="20" t="s">
        <v>2566</v>
      </c>
      <c r="H599" s="20" t="s">
        <v>2567</v>
      </c>
      <c r="I599" s="20" t="s">
        <v>2668</v>
      </c>
      <c r="K599" s="20" t="s">
        <v>892</v>
      </c>
      <c r="L599" s="20"/>
      <c r="M599" s="172" t="s">
        <v>3408</v>
      </c>
      <c r="N599" s="175" t="s">
        <v>2713</v>
      </c>
      <c r="O599" s="28">
        <v>0.05</v>
      </c>
      <c r="P599" s="28">
        <v>3.6903999999999992E-2</v>
      </c>
      <c r="Q599" s="65">
        <f t="shared" si="28"/>
        <v>1.309600000000001E-2</v>
      </c>
      <c r="R599" s="28">
        <v>3.0310000000000001</v>
      </c>
      <c r="S599" s="28">
        <v>15.757</v>
      </c>
      <c r="T599" s="20">
        <f t="shared" si="29"/>
        <v>47.759467000000001</v>
      </c>
      <c r="X599" s="20" t="s">
        <v>886</v>
      </c>
      <c r="Y599" s="20" t="s">
        <v>36</v>
      </c>
      <c r="Z599" s="20" t="s">
        <v>36</v>
      </c>
    </row>
    <row r="600" spans="1:26">
      <c r="A600" s="20" t="s">
        <v>1591</v>
      </c>
      <c r="B600" s="20" t="s">
        <v>2115</v>
      </c>
      <c r="C600" s="31" t="s">
        <v>2233</v>
      </c>
      <c r="D600" s="49">
        <v>42888</v>
      </c>
      <c r="E600" s="9">
        <v>10.086428</v>
      </c>
      <c r="F600" s="9">
        <v>49.909314000000002</v>
      </c>
      <c r="G600" s="20" t="s">
        <v>2566</v>
      </c>
      <c r="H600" s="20" t="s">
        <v>2567</v>
      </c>
      <c r="I600" s="20" t="s">
        <v>2668</v>
      </c>
      <c r="K600" s="20" t="s">
        <v>892</v>
      </c>
      <c r="L600" s="20"/>
      <c r="M600" s="172" t="s">
        <v>3408</v>
      </c>
      <c r="N600" s="175" t="s">
        <v>2713</v>
      </c>
      <c r="O600" s="28">
        <v>4.8500000000000001E-2</v>
      </c>
      <c r="P600" s="28">
        <v>3.6903999999999992E-2</v>
      </c>
      <c r="Q600" s="65">
        <f t="shared" si="28"/>
        <v>1.1596000000000009E-2</v>
      </c>
      <c r="R600" s="28">
        <v>2.6269999999999998</v>
      </c>
      <c r="S600" s="28">
        <v>14.763</v>
      </c>
      <c r="T600" s="20">
        <f t="shared" si="29"/>
        <v>38.782400999999993</v>
      </c>
      <c r="X600" s="20" t="s">
        <v>886</v>
      </c>
      <c r="Y600" s="20" t="s">
        <v>36</v>
      </c>
      <c r="Z600" s="20" t="s">
        <v>36</v>
      </c>
    </row>
    <row r="601" spans="1:26">
      <c r="A601" s="20" t="s">
        <v>1547</v>
      </c>
      <c r="B601" s="20" t="s">
        <v>2115</v>
      </c>
      <c r="C601" s="31" t="s">
        <v>2239</v>
      </c>
      <c r="D601" s="49">
        <v>42902</v>
      </c>
      <c r="E601" s="9">
        <v>10.067944000000001</v>
      </c>
      <c r="F601" s="9">
        <v>49.912992000000003</v>
      </c>
      <c r="G601" t="s">
        <v>2569</v>
      </c>
      <c r="H601" t="s">
        <v>2570</v>
      </c>
      <c r="I601" t="s">
        <v>2802</v>
      </c>
      <c r="K601" s="20" t="s">
        <v>3047</v>
      </c>
      <c r="L601" s="20"/>
      <c r="M601" s="172" t="s">
        <v>3600</v>
      </c>
      <c r="N601" s="175" t="s">
        <v>2712</v>
      </c>
      <c r="O601" s="28">
        <v>4.4299999999999999E-2</v>
      </c>
      <c r="P601" s="28">
        <v>3.6903999999999992E-2</v>
      </c>
      <c r="Q601" s="65">
        <f t="shared" si="28"/>
        <v>7.3960000000000067E-3</v>
      </c>
      <c r="R601" s="28">
        <v>2.5950000000000002</v>
      </c>
      <c r="S601" s="28">
        <v>9.9209999999999994</v>
      </c>
      <c r="T601" s="20">
        <f t="shared" si="29"/>
        <v>25.744994999999999</v>
      </c>
      <c r="X601" s="20" t="s">
        <v>886</v>
      </c>
      <c r="Y601" s="20" t="s">
        <v>36</v>
      </c>
      <c r="Z601" s="20" t="s">
        <v>36</v>
      </c>
    </row>
    <row r="602" spans="1:26">
      <c r="A602" s="20" t="s">
        <v>1357</v>
      </c>
      <c r="B602" s="20" t="s">
        <v>2115</v>
      </c>
      <c r="C602" s="31" t="s">
        <v>2244</v>
      </c>
      <c r="D602" s="49">
        <v>42888</v>
      </c>
      <c r="E602" s="9">
        <v>10.017931000000001</v>
      </c>
      <c r="F602" s="9">
        <v>49.935696999999998</v>
      </c>
      <c r="G602" t="s">
        <v>2625</v>
      </c>
      <c r="H602" t="s">
        <v>2806</v>
      </c>
      <c r="I602" t="s">
        <v>2807</v>
      </c>
      <c r="K602" s="2" t="s">
        <v>2602</v>
      </c>
      <c r="L602" s="2"/>
      <c r="M602" s="173" t="s">
        <v>3597</v>
      </c>
      <c r="N602" s="2" t="s">
        <v>2713</v>
      </c>
      <c r="O602" s="28">
        <v>0.06</v>
      </c>
      <c r="P602" s="28">
        <v>3.6903999999999992E-2</v>
      </c>
      <c r="Q602" s="65">
        <f t="shared" si="28"/>
        <v>2.3096000000000005E-2</v>
      </c>
      <c r="R602" s="28">
        <v>3.8119999999999998</v>
      </c>
      <c r="S602" s="28">
        <f>9.145+7.954</f>
        <v>17.099</v>
      </c>
      <c r="T602" s="20">
        <f t="shared" si="29"/>
        <v>65.181387999999998</v>
      </c>
      <c r="U602" s="20" t="s">
        <v>2112</v>
      </c>
      <c r="X602" s="20" t="s">
        <v>886</v>
      </c>
      <c r="Y602" s="20" t="s">
        <v>36</v>
      </c>
      <c r="Z602" s="20" t="s">
        <v>36</v>
      </c>
    </row>
    <row r="603" spans="1:26">
      <c r="A603" s="20" t="s">
        <v>2116</v>
      </c>
      <c r="B603" s="20" t="s">
        <v>2115</v>
      </c>
      <c r="C603" s="31" t="s">
        <v>2233</v>
      </c>
      <c r="D603" s="49">
        <v>42888</v>
      </c>
      <c r="E603" s="9">
        <v>10.086428</v>
      </c>
      <c r="F603" s="9">
        <v>49.909314000000002</v>
      </c>
      <c r="G603" t="s">
        <v>2569</v>
      </c>
      <c r="H603" t="s">
        <v>2570</v>
      </c>
      <c r="I603" t="s">
        <v>2802</v>
      </c>
      <c r="K603" s="20" t="s">
        <v>3047</v>
      </c>
      <c r="L603" s="20"/>
      <c r="M603" s="172" t="s">
        <v>3606</v>
      </c>
      <c r="N603" s="175" t="s">
        <v>2713</v>
      </c>
      <c r="O603" s="28">
        <v>4.0500000000000001E-2</v>
      </c>
      <c r="P603" s="28">
        <v>3.6903999999999992E-2</v>
      </c>
      <c r="Q603" s="65">
        <f t="shared" si="28"/>
        <v>3.5960000000000089E-3</v>
      </c>
      <c r="R603" s="28">
        <v>2.9569999999999999</v>
      </c>
      <c r="S603" s="28">
        <v>11.887</v>
      </c>
      <c r="T603" s="20">
        <f t="shared" si="29"/>
        <v>35.149858999999999</v>
      </c>
      <c r="X603" s="20" t="s">
        <v>886</v>
      </c>
      <c r="Y603" s="20" t="s">
        <v>36</v>
      </c>
      <c r="Z603" s="20" t="s">
        <v>36</v>
      </c>
    </row>
    <row r="604" spans="1:26">
      <c r="A604" s="20" t="s">
        <v>2117</v>
      </c>
      <c r="B604" s="20" t="s">
        <v>2115</v>
      </c>
      <c r="C604" s="31" t="s">
        <v>2230</v>
      </c>
      <c r="D604" s="49">
        <v>42888</v>
      </c>
      <c r="E604" s="9">
        <v>10.124091999999999</v>
      </c>
      <c r="F604" s="9">
        <v>49.906236</v>
      </c>
      <c r="G604" t="s">
        <v>2569</v>
      </c>
      <c r="H604" t="s">
        <v>2570</v>
      </c>
      <c r="I604" t="s">
        <v>2802</v>
      </c>
      <c r="K604" s="20" t="s">
        <v>3047</v>
      </c>
      <c r="L604" s="20"/>
      <c r="M604" s="172" t="s">
        <v>3606</v>
      </c>
      <c r="N604" s="175" t="s">
        <v>2712</v>
      </c>
      <c r="O604" s="28">
        <v>4.0500000000000001E-2</v>
      </c>
      <c r="P604" s="28">
        <v>3.6903999999999992E-2</v>
      </c>
      <c r="Q604" s="65">
        <f t="shared" si="28"/>
        <v>3.5960000000000089E-3</v>
      </c>
      <c r="R604" s="28">
        <v>2.1920000000000002</v>
      </c>
      <c r="S604" s="28">
        <v>9.4979999999999993</v>
      </c>
      <c r="T604" s="20">
        <f t="shared" si="29"/>
        <v>20.819616</v>
      </c>
      <c r="X604" s="20" t="s">
        <v>886</v>
      </c>
      <c r="Y604" s="20" t="s">
        <v>36</v>
      </c>
      <c r="Z604" s="20" t="s">
        <v>36</v>
      </c>
    </row>
    <row r="605" spans="1:26">
      <c r="A605" s="20" t="s">
        <v>2118</v>
      </c>
      <c r="B605" s="20" t="s">
        <v>2115</v>
      </c>
      <c r="C605" s="31" t="s">
        <v>2227</v>
      </c>
      <c r="D605" s="49">
        <v>42902</v>
      </c>
      <c r="E605" s="9">
        <v>10.040881000000001</v>
      </c>
      <c r="F605" s="9">
        <v>49.937356000000001</v>
      </c>
      <c r="G605" t="s">
        <v>2569</v>
      </c>
      <c r="H605" t="s">
        <v>2570</v>
      </c>
      <c r="I605" t="s">
        <v>2802</v>
      </c>
      <c r="K605" s="20" t="s">
        <v>907</v>
      </c>
      <c r="L605" s="20"/>
      <c r="M605" s="172" t="s">
        <v>1688</v>
      </c>
      <c r="N605" s="175" t="s">
        <v>3620</v>
      </c>
      <c r="O605" s="28">
        <v>4.3799999999999999E-2</v>
      </c>
      <c r="P605" s="28">
        <v>3.6903999999999992E-2</v>
      </c>
      <c r="Q605" s="65">
        <f t="shared" si="28"/>
        <v>6.8960000000000063E-3</v>
      </c>
      <c r="R605" s="28">
        <v>2.6619999999999999</v>
      </c>
      <c r="S605" s="28">
        <v>13.689</v>
      </c>
      <c r="T605" s="20">
        <f t="shared" si="29"/>
        <v>36.440117999999998</v>
      </c>
      <c r="X605" s="20" t="s">
        <v>886</v>
      </c>
      <c r="Y605" s="20" t="s">
        <v>36</v>
      </c>
      <c r="Z605" s="20" t="s">
        <v>36</v>
      </c>
    </row>
    <row r="606" spans="1:26">
      <c r="A606" s="20" t="s">
        <v>1356</v>
      </c>
      <c r="B606" s="20" t="s">
        <v>2115</v>
      </c>
      <c r="C606" s="31" t="s">
        <v>2234</v>
      </c>
      <c r="D606" s="49">
        <v>42856</v>
      </c>
      <c r="E606" s="9">
        <v>10.053630999999999</v>
      </c>
      <c r="F606" s="9">
        <v>49.900486000000001</v>
      </c>
      <c r="G606" t="s">
        <v>2625</v>
      </c>
      <c r="H606" t="s">
        <v>2806</v>
      </c>
      <c r="I606" t="s">
        <v>2807</v>
      </c>
      <c r="K606" s="20" t="s">
        <v>2602</v>
      </c>
      <c r="L606" s="20"/>
      <c r="M606" s="172" t="s">
        <v>2823</v>
      </c>
      <c r="N606" s="175" t="s">
        <v>2713</v>
      </c>
      <c r="O606" s="28">
        <v>5.74E-2</v>
      </c>
      <c r="P606" s="28">
        <v>3.6903999999999992E-2</v>
      </c>
      <c r="Q606" s="65">
        <f t="shared" si="28"/>
        <v>2.0496000000000007E-2</v>
      </c>
      <c r="R606" s="28">
        <v>3.6160000000000001</v>
      </c>
      <c r="S606" s="28">
        <v>16.870999999999999</v>
      </c>
      <c r="T606" s="20">
        <f t="shared" si="29"/>
        <v>61.005535999999999</v>
      </c>
      <c r="X606" s="20" t="s">
        <v>886</v>
      </c>
      <c r="Y606" s="20" t="s">
        <v>36</v>
      </c>
      <c r="Z606" s="20" t="s">
        <v>36</v>
      </c>
    </row>
    <row r="607" spans="1:26">
      <c r="A607" s="20" t="s">
        <v>2119</v>
      </c>
      <c r="B607" s="20" t="s">
        <v>2115</v>
      </c>
      <c r="C607" s="31" t="s">
        <v>2228</v>
      </c>
      <c r="D607" s="49">
        <v>42902</v>
      </c>
      <c r="E607" s="9">
        <v>10.050008</v>
      </c>
      <c r="F607" s="9">
        <v>49.941994000000001</v>
      </c>
      <c r="G607" t="s">
        <v>2569</v>
      </c>
      <c r="H607" t="s">
        <v>2570</v>
      </c>
      <c r="I607" t="s">
        <v>2802</v>
      </c>
      <c r="K607" s="20" t="s">
        <v>3047</v>
      </c>
      <c r="L607" s="20"/>
      <c r="M607" s="172" t="s">
        <v>2847</v>
      </c>
      <c r="N607" s="175" t="s">
        <v>2713</v>
      </c>
      <c r="O607" s="28">
        <v>7.3400000000000007E-2</v>
      </c>
      <c r="P607" s="28">
        <v>3.6903999999999992E-2</v>
      </c>
      <c r="Q607" s="65">
        <f t="shared" si="28"/>
        <v>3.6496000000000015E-2</v>
      </c>
      <c r="R607" s="28">
        <v>4.9000000000000004</v>
      </c>
      <c r="S607" s="28">
        <v>18.998999999999999</v>
      </c>
      <c r="T607" s="20">
        <f t="shared" si="29"/>
        <v>93.095100000000002</v>
      </c>
      <c r="X607" s="20" t="s">
        <v>886</v>
      </c>
      <c r="Y607" s="20" t="s">
        <v>36</v>
      </c>
      <c r="Z607" s="20" t="s">
        <v>36</v>
      </c>
    </row>
    <row r="608" spans="1:26">
      <c r="A608" s="20" t="s">
        <v>1355</v>
      </c>
      <c r="B608" s="20" t="s">
        <v>2115</v>
      </c>
      <c r="C608" s="31" t="s">
        <v>2236</v>
      </c>
      <c r="D608" s="49">
        <v>42856</v>
      </c>
      <c r="E608" s="9">
        <v>10.022767</v>
      </c>
      <c r="F608" s="9">
        <v>49.938633000000003</v>
      </c>
      <c r="G608" t="s">
        <v>2625</v>
      </c>
      <c r="H608" t="s">
        <v>2806</v>
      </c>
      <c r="I608" t="s">
        <v>2807</v>
      </c>
      <c r="K608" s="20" t="s">
        <v>2602</v>
      </c>
      <c r="L608" s="20"/>
      <c r="M608" s="172" t="s">
        <v>3589</v>
      </c>
      <c r="N608" s="175" t="s">
        <v>2713</v>
      </c>
      <c r="O608" s="28">
        <v>7.8299999999999995E-2</v>
      </c>
      <c r="P608" s="28">
        <v>3.6903999999999992E-2</v>
      </c>
      <c r="Q608" s="65">
        <f t="shared" si="28"/>
        <v>4.1396000000000002E-2</v>
      </c>
      <c r="R608" s="28">
        <v>4.508</v>
      </c>
      <c r="S608" s="28">
        <v>19.632999999999999</v>
      </c>
      <c r="T608" s="20">
        <f t="shared" si="29"/>
        <v>88.505563999999993</v>
      </c>
      <c r="X608" s="20" t="s">
        <v>886</v>
      </c>
      <c r="Y608" s="20" t="s">
        <v>36</v>
      </c>
      <c r="Z608" s="20" t="s">
        <v>36</v>
      </c>
    </row>
    <row r="609" spans="1:26">
      <c r="A609" s="20" t="s">
        <v>1548</v>
      </c>
      <c r="B609" s="20" t="s">
        <v>2115</v>
      </c>
      <c r="C609" s="31" t="s">
        <v>2242</v>
      </c>
      <c r="D609" s="49">
        <v>42856</v>
      </c>
      <c r="E609" s="9">
        <v>10.131019</v>
      </c>
      <c r="F609" s="9">
        <v>49.871225000000003</v>
      </c>
      <c r="G609" t="s">
        <v>1687</v>
      </c>
      <c r="H609" t="s">
        <v>2563</v>
      </c>
      <c r="I609" t="s">
        <v>2568</v>
      </c>
      <c r="K609" s="20" t="s">
        <v>3041</v>
      </c>
      <c r="L609" s="20"/>
      <c r="M609" s="172" t="s">
        <v>3607</v>
      </c>
      <c r="N609" s="175" t="s">
        <v>2713</v>
      </c>
      <c r="O609" s="28">
        <v>0.1052</v>
      </c>
      <c r="P609" s="28">
        <v>3.6903999999999992E-2</v>
      </c>
      <c r="Q609" s="65">
        <f t="shared" si="28"/>
        <v>6.8296000000000009E-2</v>
      </c>
      <c r="R609" s="20">
        <v>6.3780000000000001</v>
      </c>
      <c r="S609" s="20">
        <v>21.628</v>
      </c>
      <c r="T609" s="20">
        <f t="shared" si="29"/>
        <v>137.94338400000001</v>
      </c>
      <c r="X609" s="20" t="s">
        <v>886</v>
      </c>
      <c r="Y609" s="20" t="s">
        <v>36</v>
      </c>
      <c r="Z609" s="20" t="s">
        <v>36</v>
      </c>
    </row>
    <row r="610" spans="1:26">
      <c r="A610" s="20" t="s">
        <v>1593</v>
      </c>
      <c r="B610" s="20" t="s">
        <v>2115</v>
      </c>
      <c r="C610" s="31" t="s">
        <v>2230</v>
      </c>
      <c r="D610" s="49">
        <v>42872</v>
      </c>
      <c r="E610" s="9">
        <v>10.124091999999999</v>
      </c>
      <c r="F610" s="9">
        <v>49.906236</v>
      </c>
      <c r="G610" s="20" t="s">
        <v>2566</v>
      </c>
      <c r="H610" s="20" t="s">
        <v>2567</v>
      </c>
      <c r="I610" s="20" t="s">
        <v>2668</v>
      </c>
      <c r="K610" s="20" t="s">
        <v>892</v>
      </c>
      <c r="L610" s="20"/>
      <c r="M610" s="172" t="s">
        <v>3579</v>
      </c>
      <c r="N610" s="175" t="s">
        <v>2713</v>
      </c>
      <c r="O610" s="28">
        <v>3.9699999999999999E-2</v>
      </c>
      <c r="P610" s="28">
        <v>3.6903999999999992E-2</v>
      </c>
      <c r="Q610" s="65">
        <f t="shared" ref="Q610:Q673" si="30">O610-P610</f>
        <v>2.7960000000000068E-3</v>
      </c>
      <c r="R610" s="28">
        <v>1.724</v>
      </c>
      <c r="S610" s="28">
        <v>9.2739999999999991</v>
      </c>
      <c r="T610" s="20">
        <f t="shared" si="29"/>
        <v>15.988375999999999</v>
      </c>
      <c r="X610" s="20" t="s">
        <v>886</v>
      </c>
      <c r="Y610" s="20" t="s">
        <v>36</v>
      </c>
      <c r="Z610" s="20" t="s">
        <v>36</v>
      </c>
    </row>
    <row r="611" spans="1:26">
      <c r="A611" s="20" t="s">
        <v>1594</v>
      </c>
      <c r="B611" s="20" t="s">
        <v>2115</v>
      </c>
      <c r="C611" s="31" t="s">
        <v>2236</v>
      </c>
      <c r="D611" s="49">
        <v>42872</v>
      </c>
      <c r="E611" s="9">
        <v>10.022767</v>
      </c>
      <c r="F611" s="9">
        <v>49.938633000000003</v>
      </c>
      <c r="G611" s="20" t="s">
        <v>2566</v>
      </c>
      <c r="H611" s="20" t="s">
        <v>2567</v>
      </c>
      <c r="I611" s="20" t="s">
        <v>2668</v>
      </c>
      <c r="K611" s="20" t="s">
        <v>892</v>
      </c>
      <c r="L611" s="20"/>
      <c r="M611" s="172" t="s">
        <v>3583</v>
      </c>
      <c r="N611" s="175" t="s">
        <v>2713</v>
      </c>
      <c r="O611" s="28">
        <v>4.2500000000000003E-2</v>
      </c>
      <c r="P611" s="28">
        <v>3.6903999999999992E-2</v>
      </c>
      <c r="Q611" s="65">
        <f t="shared" si="30"/>
        <v>5.5960000000000107E-3</v>
      </c>
      <c r="R611" s="28">
        <v>2.4390000000000001</v>
      </c>
      <c r="S611" s="28">
        <v>13.539</v>
      </c>
      <c r="T611" s="20">
        <f t="shared" si="29"/>
        <v>33.021621000000003</v>
      </c>
      <c r="X611" s="20" t="s">
        <v>886</v>
      </c>
      <c r="Y611" s="20" t="s">
        <v>36</v>
      </c>
      <c r="Z611" s="20" t="s">
        <v>36</v>
      </c>
    </row>
    <row r="612" spans="1:26">
      <c r="A612" s="20" t="s">
        <v>1549</v>
      </c>
      <c r="B612" s="20" t="s">
        <v>2115</v>
      </c>
      <c r="C612" s="31" t="s">
        <v>2232</v>
      </c>
      <c r="D612" s="49">
        <v>42902</v>
      </c>
      <c r="E612" s="9">
        <v>10.065003000000001</v>
      </c>
      <c r="F612" s="9">
        <v>49.916336000000001</v>
      </c>
      <c r="G612" t="s">
        <v>2569</v>
      </c>
      <c r="H612" t="s">
        <v>2570</v>
      </c>
      <c r="I612" t="s">
        <v>2843</v>
      </c>
      <c r="K612" s="20" t="s">
        <v>3575</v>
      </c>
      <c r="L612" s="20"/>
      <c r="M612" s="172" t="s">
        <v>3604</v>
      </c>
      <c r="N612" s="175" t="s">
        <v>2712</v>
      </c>
      <c r="O612" s="28">
        <v>4.7199999999999999E-2</v>
      </c>
      <c r="P612" s="28">
        <v>3.6903999999999992E-2</v>
      </c>
      <c r="Q612" s="65">
        <f t="shared" si="30"/>
        <v>1.0296000000000007E-2</v>
      </c>
      <c r="R612" s="20">
        <v>3.2120000000000002</v>
      </c>
      <c r="S612" s="20">
        <v>9.5309999999999988</v>
      </c>
      <c r="T612" s="20">
        <f t="shared" si="29"/>
        <v>30.613571999999998</v>
      </c>
      <c r="X612" s="20" t="s">
        <v>886</v>
      </c>
      <c r="Y612" s="20" t="s">
        <v>36</v>
      </c>
      <c r="Z612" s="20" t="s">
        <v>36</v>
      </c>
    </row>
    <row r="613" spans="1:26">
      <c r="A613" s="20" t="s">
        <v>1595</v>
      </c>
      <c r="B613" s="20" t="s">
        <v>2115</v>
      </c>
      <c r="C613" s="31" t="s">
        <v>2233</v>
      </c>
      <c r="D613" s="49">
        <v>42856</v>
      </c>
      <c r="E613" s="9">
        <v>10.086428</v>
      </c>
      <c r="F613" s="9">
        <v>49.909314000000002</v>
      </c>
      <c r="G613" s="20" t="s">
        <v>2566</v>
      </c>
      <c r="H613" s="20" t="s">
        <v>2567</v>
      </c>
      <c r="I613" s="20" t="s">
        <v>2668</v>
      </c>
      <c r="K613" s="20" t="s">
        <v>2600</v>
      </c>
      <c r="L613" s="20"/>
      <c r="M613" s="172" t="s">
        <v>3583</v>
      </c>
      <c r="N613" s="20" t="s">
        <v>2713</v>
      </c>
      <c r="O613" s="28">
        <v>4.6199999999999998E-2</v>
      </c>
      <c r="P613" s="28">
        <v>3.6903999999999992E-2</v>
      </c>
      <c r="Q613" s="65">
        <f t="shared" si="30"/>
        <v>9.2960000000000056E-3</v>
      </c>
      <c r="R613" s="28">
        <v>2.6419999999999999</v>
      </c>
      <c r="S613" s="28">
        <v>12.323</v>
      </c>
      <c r="T613" s="20">
        <f t="shared" si="29"/>
        <v>32.557366000000002</v>
      </c>
      <c r="X613" s="20" t="s">
        <v>886</v>
      </c>
      <c r="Y613" s="20" t="s">
        <v>36</v>
      </c>
      <c r="Z613" s="20" t="s">
        <v>36</v>
      </c>
    </row>
    <row r="614" spans="1:26">
      <c r="A614" s="20" t="s">
        <v>1596</v>
      </c>
      <c r="B614" s="20" t="s">
        <v>2115</v>
      </c>
      <c r="C614" s="31" t="s">
        <v>2237</v>
      </c>
      <c r="D614" s="49">
        <v>42872</v>
      </c>
      <c r="E614" s="9">
        <v>10.045693999999999</v>
      </c>
      <c r="F614" s="9">
        <v>49.896189</v>
      </c>
      <c r="G614" s="20" t="s">
        <v>2566</v>
      </c>
      <c r="H614" s="20" t="s">
        <v>2567</v>
      </c>
      <c r="I614" s="20" t="s">
        <v>2668</v>
      </c>
      <c r="K614" s="20" t="s">
        <v>2600</v>
      </c>
      <c r="L614" s="20"/>
      <c r="M614" s="172" t="s">
        <v>2591</v>
      </c>
      <c r="N614" s="20" t="s">
        <v>2713</v>
      </c>
      <c r="O614" s="28">
        <v>4.8399999999999999E-2</v>
      </c>
      <c r="P614" s="28">
        <v>3.6903999999999992E-2</v>
      </c>
      <c r="Q614" s="65">
        <f t="shared" si="30"/>
        <v>1.1496000000000006E-2</v>
      </c>
      <c r="R614" s="28">
        <v>3.081</v>
      </c>
      <c r="S614" s="28">
        <v>14.114000000000001</v>
      </c>
      <c r="T614" s="20">
        <f t="shared" si="29"/>
        <v>43.485233999999998</v>
      </c>
      <c r="X614" s="20" t="s">
        <v>886</v>
      </c>
      <c r="Y614" s="20" t="s">
        <v>36</v>
      </c>
      <c r="Z614" s="20" t="s">
        <v>36</v>
      </c>
    </row>
    <row r="615" spans="1:26">
      <c r="A615" s="20" t="s">
        <v>1597</v>
      </c>
      <c r="B615" s="20" t="s">
        <v>2115</v>
      </c>
      <c r="C615" s="31" t="s">
        <v>2244</v>
      </c>
      <c r="D615" s="49">
        <v>42902</v>
      </c>
      <c r="E615" s="9">
        <v>10.017931000000001</v>
      </c>
      <c r="F615" s="9">
        <v>49.935696999999998</v>
      </c>
      <c r="G615" s="20" t="s">
        <v>2566</v>
      </c>
      <c r="H615" s="20" t="s">
        <v>2567</v>
      </c>
      <c r="I615" s="20" t="s">
        <v>2668</v>
      </c>
      <c r="K615" s="20" t="s">
        <v>892</v>
      </c>
      <c r="L615" s="20"/>
      <c r="M615" s="172" t="s">
        <v>2793</v>
      </c>
      <c r="N615" s="20" t="s">
        <v>2713</v>
      </c>
      <c r="O615" s="28">
        <v>7.0099999999999996E-2</v>
      </c>
      <c r="P615" s="28">
        <v>3.6903999999999992E-2</v>
      </c>
      <c r="Q615" s="65">
        <f t="shared" si="30"/>
        <v>3.3196000000000003E-2</v>
      </c>
      <c r="R615" s="28">
        <v>4.4530000000000003</v>
      </c>
      <c r="S615" s="28">
        <v>20.779</v>
      </c>
      <c r="T615" s="20">
        <f t="shared" si="29"/>
        <v>92.528887000000012</v>
      </c>
      <c r="X615" s="20" t="s">
        <v>886</v>
      </c>
      <c r="Y615" s="20" t="s">
        <v>36</v>
      </c>
      <c r="Z615" s="20" t="s">
        <v>36</v>
      </c>
    </row>
    <row r="616" spans="1:26">
      <c r="A616" s="20" t="s">
        <v>1598</v>
      </c>
      <c r="B616" s="20" t="s">
        <v>2115</v>
      </c>
      <c r="C616" s="31" t="s">
        <v>2232</v>
      </c>
      <c r="D616" s="49">
        <v>42902</v>
      </c>
      <c r="E616" s="9">
        <v>10.065003000000001</v>
      </c>
      <c r="F616" s="9">
        <v>49.916336000000001</v>
      </c>
      <c r="G616" s="20" t="s">
        <v>2566</v>
      </c>
      <c r="H616" s="20" t="s">
        <v>2567</v>
      </c>
      <c r="I616" s="20" t="s">
        <v>2668</v>
      </c>
      <c r="K616" s="20" t="s">
        <v>892</v>
      </c>
      <c r="L616" s="20"/>
      <c r="M616" s="172" t="s">
        <v>3408</v>
      </c>
      <c r="N616" s="20" t="s">
        <v>2713</v>
      </c>
      <c r="O616" s="28">
        <v>5.4100000000000002E-2</v>
      </c>
      <c r="P616" s="28">
        <v>3.6903999999999992E-2</v>
      </c>
      <c r="Q616" s="65">
        <f t="shared" si="30"/>
        <v>1.719600000000001E-2</v>
      </c>
      <c r="R616" s="28">
        <v>3.2040000000000002</v>
      </c>
      <c r="S616" s="28">
        <v>15.877000000000001</v>
      </c>
      <c r="T616" s="20">
        <f t="shared" si="29"/>
        <v>50.869908000000002</v>
      </c>
      <c r="X616" s="20" t="s">
        <v>886</v>
      </c>
      <c r="Y616" s="20" t="s">
        <v>36</v>
      </c>
      <c r="Z616" s="20" t="s">
        <v>36</v>
      </c>
    </row>
    <row r="617" spans="1:26">
      <c r="A617" s="20" t="s">
        <v>1599</v>
      </c>
      <c r="B617" s="20" t="s">
        <v>2115</v>
      </c>
      <c r="C617" s="31" t="s">
        <v>2233</v>
      </c>
      <c r="D617" s="49">
        <v>42902</v>
      </c>
      <c r="E617" s="9">
        <v>10.086428</v>
      </c>
      <c r="F617" s="9">
        <v>49.909314000000002</v>
      </c>
      <c r="G617" s="20" t="s">
        <v>2566</v>
      </c>
      <c r="H617" s="20" t="s">
        <v>2567</v>
      </c>
      <c r="I617" s="20" t="s">
        <v>2668</v>
      </c>
      <c r="K617" s="20" t="s">
        <v>892</v>
      </c>
      <c r="L617" s="20"/>
      <c r="M617" s="172" t="s">
        <v>2793</v>
      </c>
      <c r="N617" s="20" t="s">
        <v>2713</v>
      </c>
      <c r="O617" s="28">
        <v>7.2800000000000004E-2</v>
      </c>
      <c r="P617" s="28">
        <v>3.6903999999999992E-2</v>
      </c>
      <c r="Q617" s="65">
        <f t="shared" si="30"/>
        <v>3.5896000000000011E-2</v>
      </c>
      <c r="R617" s="28">
        <v>4.2939999999999996</v>
      </c>
      <c r="S617" s="28">
        <v>21.943000000000001</v>
      </c>
      <c r="T617" s="20">
        <f t="shared" si="29"/>
        <v>94.223241999999999</v>
      </c>
      <c r="X617" s="20" t="s">
        <v>886</v>
      </c>
      <c r="Y617" s="20" t="s">
        <v>36</v>
      </c>
      <c r="Z617" s="20" t="s">
        <v>36</v>
      </c>
    </row>
    <row r="618" spans="1:26">
      <c r="A618" s="20" t="s">
        <v>1601</v>
      </c>
      <c r="B618" s="20" t="s">
        <v>2115</v>
      </c>
      <c r="C618" s="31" t="s">
        <v>2230</v>
      </c>
      <c r="D618" s="49">
        <v>42856</v>
      </c>
      <c r="E618" s="9">
        <v>10.124091999999999</v>
      </c>
      <c r="F618" s="9">
        <v>49.906236</v>
      </c>
      <c r="G618" s="20" t="s">
        <v>2566</v>
      </c>
      <c r="H618" s="20" t="s">
        <v>2567</v>
      </c>
      <c r="I618" s="20" t="s">
        <v>2668</v>
      </c>
      <c r="K618" s="20" t="s">
        <v>2600</v>
      </c>
      <c r="L618" s="20"/>
      <c r="M618" s="172" t="s">
        <v>3583</v>
      </c>
      <c r="N618" s="20" t="s">
        <v>2713</v>
      </c>
      <c r="O618" s="28">
        <v>4.3700000000000003E-2</v>
      </c>
      <c r="P618" s="28">
        <v>3.6903999999999992E-2</v>
      </c>
      <c r="Q618" s="65">
        <f t="shared" si="30"/>
        <v>6.7960000000000104E-3</v>
      </c>
      <c r="R618" s="28">
        <v>2.706</v>
      </c>
      <c r="S618" s="28">
        <v>12.670999999999999</v>
      </c>
      <c r="T618" s="20">
        <f t="shared" si="29"/>
        <v>34.287725999999999</v>
      </c>
      <c r="X618" s="20" t="s">
        <v>886</v>
      </c>
      <c r="Y618" s="20" t="s">
        <v>36</v>
      </c>
      <c r="Z618" s="20" t="s">
        <v>36</v>
      </c>
    </row>
    <row r="619" spans="1:26">
      <c r="A619" s="20" t="s">
        <v>1602</v>
      </c>
      <c r="B619" s="20" t="s">
        <v>2115</v>
      </c>
      <c r="C619" s="31" t="s">
        <v>2230</v>
      </c>
      <c r="D619" s="49">
        <v>42872</v>
      </c>
      <c r="E619" s="9">
        <v>10.124091999999999</v>
      </c>
      <c r="F619" s="9">
        <v>49.906236</v>
      </c>
      <c r="G619" s="20" t="s">
        <v>2566</v>
      </c>
      <c r="H619" s="20" t="s">
        <v>2567</v>
      </c>
      <c r="I619" s="20" t="s">
        <v>2668</v>
      </c>
      <c r="K619" s="20" t="s">
        <v>2600</v>
      </c>
      <c r="L619" s="20"/>
      <c r="M619" s="172" t="s">
        <v>3583</v>
      </c>
      <c r="N619" s="20" t="s">
        <v>2713</v>
      </c>
      <c r="O619" s="28">
        <v>4.6199999999999998E-2</v>
      </c>
      <c r="P619" s="28">
        <v>3.6903999999999992E-2</v>
      </c>
      <c r="Q619" s="65">
        <f t="shared" si="30"/>
        <v>9.2960000000000056E-3</v>
      </c>
      <c r="R619" s="28">
        <v>2.5640000000000001</v>
      </c>
      <c r="S619" s="28">
        <v>12.618</v>
      </c>
      <c r="T619" s="20">
        <f t="shared" si="29"/>
        <v>32.352552000000003</v>
      </c>
      <c r="X619" s="20" t="s">
        <v>886</v>
      </c>
      <c r="Y619" s="20" t="s">
        <v>36</v>
      </c>
      <c r="Z619" s="20" t="s">
        <v>36</v>
      </c>
    </row>
    <row r="620" spans="1:26">
      <c r="A620" s="20" t="s">
        <v>1603</v>
      </c>
      <c r="B620" s="20" t="s">
        <v>2115</v>
      </c>
      <c r="C620" s="31" t="s">
        <v>2230</v>
      </c>
      <c r="D620" s="49">
        <v>42872</v>
      </c>
      <c r="E620" s="9">
        <v>10.124091999999999</v>
      </c>
      <c r="F620" s="9">
        <v>49.906236</v>
      </c>
      <c r="G620" s="20" t="s">
        <v>2566</v>
      </c>
      <c r="H620" s="20" t="s">
        <v>2567</v>
      </c>
      <c r="I620" s="20" t="s">
        <v>2668</v>
      </c>
      <c r="K620" s="20" t="s">
        <v>892</v>
      </c>
      <c r="L620" s="20"/>
      <c r="M620" s="172" t="s">
        <v>3408</v>
      </c>
      <c r="N620" s="20" t="s">
        <v>2713</v>
      </c>
      <c r="O620" s="28">
        <v>4.7300000000000002E-2</v>
      </c>
      <c r="P620" s="28">
        <v>3.6903999999999992E-2</v>
      </c>
      <c r="Q620" s="65">
        <f t="shared" si="30"/>
        <v>1.0396000000000009E-2</v>
      </c>
      <c r="R620" s="28">
        <v>2.5350000000000001</v>
      </c>
      <c r="S620" s="28">
        <v>14.038</v>
      </c>
      <c r="T620" s="20">
        <f t="shared" si="29"/>
        <v>35.586330000000004</v>
      </c>
      <c r="X620" s="20" t="s">
        <v>886</v>
      </c>
      <c r="Y620" s="20" t="s">
        <v>36</v>
      </c>
      <c r="Z620" s="20" t="s">
        <v>36</v>
      </c>
    </row>
    <row r="621" spans="1:26">
      <c r="A621" s="20" t="s">
        <v>1604</v>
      </c>
      <c r="B621" s="20" t="s">
        <v>2115</v>
      </c>
      <c r="C621" s="31" t="s">
        <v>2233</v>
      </c>
      <c r="D621" s="49">
        <v>42872</v>
      </c>
      <c r="E621" s="9">
        <v>10.086428</v>
      </c>
      <c r="F621" s="9">
        <v>49.909314000000002</v>
      </c>
      <c r="G621" s="20" t="s">
        <v>2566</v>
      </c>
      <c r="H621" s="20" t="s">
        <v>2567</v>
      </c>
      <c r="I621" s="20" t="s">
        <v>2668</v>
      </c>
      <c r="K621" s="20" t="s">
        <v>2600</v>
      </c>
      <c r="L621" s="20"/>
      <c r="M621" s="172" t="s">
        <v>3583</v>
      </c>
      <c r="N621" s="20" t="s">
        <v>2713</v>
      </c>
      <c r="O621" s="28">
        <v>4.5199999999999997E-2</v>
      </c>
      <c r="P621" s="28">
        <v>3.6903999999999992E-2</v>
      </c>
      <c r="Q621" s="65">
        <f t="shared" si="30"/>
        <v>8.2960000000000048E-3</v>
      </c>
      <c r="R621" s="28">
        <v>2.6379999999999999</v>
      </c>
      <c r="S621" s="28">
        <v>13.760999999999999</v>
      </c>
      <c r="T621" s="20">
        <f t="shared" si="29"/>
        <v>36.301517999999994</v>
      </c>
      <c r="X621" s="20" t="s">
        <v>886</v>
      </c>
      <c r="Y621" s="20" t="s">
        <v>36</v>
      </c>
      <c r="Z621" s="20" t="s">
        <v>36</v>
      </c>
    </row>
    <row r="622" spans="1:26">
      <c r="A622" s="20" t="s">
        <v>1550</v>
      </c>
      <c r="B622" s="20" t="s">
        <v>2115</v>
      </c>
      <c r="C622" s="31" t="s">
        <v>2233</v>
      </c>
      <c r="D622" s="49">
        <v>42888</v>
      </c>
      <c r="E622" s="9">
        <v>10.086428</v>
      </c>
      <c r="F622" s="9">
        <v>49.909314000000002</v>
      </c>
      <c r="G622" t="s">
        <v>2569</v>
      </c>
      <c r="H622" t="s">
        <v>2570</v>
      </c>
      <c r="I622" t="s">
        <v>2802</v>
      </c>
      <c r="K622" s="20" t="s">
        <v>3047</v>
      </c>
      <c r="L622" s="20"/>
      <c r="M622" s="172" t="s">
        <v>3606</v>
      </c>
      <c r="N622" s="20" t="s">
        <v>2712</v>
      </c>
      <c r="O622" s="28">
        <v>4.1700000000000001E-2</v>
      </c>
      <c r="P622" s="28">
        <v>3.6903999999999992E-2</v>
      </c>
      <c r="Q622" s="65">
        <f t="shared" si="30"/>
        <v>4.7960000000000086E-3</v>
      </c>
      <c r="R622" s="28">
        <v>2.488</v>
      </c>
      <c r="S622" s="28">
        <v>9.6780000000000008</v>
      </c>
      <c r="T622" s="20">
        <f t="shared" si="29"/>
        <v>24.078864000000003</v>
      </c>
      <c r="X622" s="20" t="s">
        <v>886</v>
      </c>
      <c r="Y622" s="20" t="s">
        <v>36</v>
      </c>
      <c r="Z622" s="20" t="s">
        <v>36</v>
      </c>
    </row>
    <row r="623" spans="1:26">
      <c r="A623" s="20" t="s">
        <v>1354</v>
      </c>
      <c r="B623" s="20" t="s">
        <v>2115</v>
      </c>
      <c r="C623" s="31" t="s">
        <v>2244</v>
      </c>
      <c r="D623" s="49">
        <v>42856</v>
      </c>
      <c r="E623" s="9">
        <v>10.017931000000001</v>
      </c>
      <c r="F623" s="9">
        <v>49.935696999999998</v>
      </c>
      <c r="G623" t="s">
        <v>2625</v>
      </c>
      <c r="H623" t="s">
        <v>2806</v>
      </c>
      <c r="I623" t="s">
        <v>2807</v>
      </c>
      <c r="K623" s="20" t="s">
        <v>2602</v>
      </c>
      <c r="L623" s="20"/>
      <c r="M623" s="172" t="s">
        <v>3594</v>
      </c>
      <c r="N623" s="20" t="s">
        <v>2713</v>
      </c>
      <c r="O623" s="28">
        <v>5.8999999999999997E-2</v>
      </c>
      <c r="P623" s="28">
        <v>3.6903999999999992E-2</v>
      </c>
      <c r="Q623" s="65">
        <f t="shared" si="30"/>
        <v>2.2096000000000005E-2</v>
      </c>
      <c r="R623" s="28">
        <v>3.766</v>
      </c>
      <c r="S623" s="28">
        <f>8.856+8.296</f>
        <v>17.152000000000001</v>
      </c>
      <c r="T623" s="20">
        <f t="shared" si="29"/>
        <v>64.594431999999998</v>
      </c>
      <c r="X623" s="20" t="s">
        <v>886</v>
      </c>
      <c r="Y623" s="20" t="s">
        <v>36</v>
      </c>
      <c r="Z623" s="20" t="s">
        <v>36</v>
      </c>
    </row>
    <row r="624" spans="1:26">
      <c r="A624" s="20" t="s">
        <v>1353</v>
      </c>
      <c r="B624" s="20" t="s">
        <v>2115</v>
      </c>
      <c r="C624" s="31" t="s">
        <v>2236</v>
      </c>
      <c r="D624" s="49">
        <v>42856</v>
      </c>
      <c r="E624" s="9">
        <v>10.022767</v>
      </c>
      <c r="F624" s="9">
        <v>49.938633000000003</v>
      </c>
      <c r="G624" t="s">
        <v>2625</v>
      </c>
      <c r="H624" t="s">
        <v>2806</v>
      </c>
      <c r="I624" t="s">
        <v>2807</v>
      </c>
      <c r="K624" s="20" t="s">
        <v>2602</v>
      </c>
      <c r="L624" s="20"/>
      <c r="M624" s="172" t="s">
        <v>3590</v>
      </c>
      <c r="N624" s="20" t="s">
        <v>2713</v>
      </c>
      <c r="O624" s="28">
        <v>7.8899999999999998E-2</v>
      </c>
      <c r="P624" s="28">
        <v>3.6903999999999992E-2</v>
      </c>
      <c r="Q624" s="65">
        <f t="shared" si="30"/>
        <v>4.1996000000000006E-2</v>
      </c>
      <c r="R624" s="28">
        <v>4.6509999999999998</v>
      </c>
      <c r="S624" s="28">
        <f>11.599+10.827</f>
        <v>22.426000000000002</v>
      </c>
      <c r="T624" s="20">
        <f t="shared" si="29"/>
        <v>104.303326</v>
      </c>
      <c r="X624" s="20" t="s">
        <v>886</v>
      </c>
      <c r="Y624" s="20" t="s">
        <v>36</v>
      </c>
      <c r="Z624" s="20" t="s">
        <v>36</v>
      </c>
    </row>
    <row r="625" spans="1:26">
      <c r="A625" s="20" t="s">
        <v>1352</v>
      </c>
      <c r="B625" s="20" t="s">
        <v>2115</v>
      </c>
      <c r="C625" s="31" t="s">
        <v>2236</v>
      </c>
      <c r="D625" s="49">
        <v>42856</v>
      </c>
      <c r="E625" s="9">
        <v>10.022767</v>
      </c>
      <c r="F625" s="9">
        <v>49.938633000000003</v>
      </c>
      <c r="G625" t="s">
        <v>2625</v>
      </c>
      <c r="H625" t="s">
        <v>2806</v>
      </c>
      <c r="I625" t="s">
        <v>2807</v>
      </c>
      <c r="K625" s="20" t="s">
        <v>2602</v>
      </c>
      <c r="L625" s="20"/>
      <c r="M625" s="172" t="s">
        <v>2823</v>
      </c>
      <c r="N625" s="20" t="s">
        <v>2713</v>
      </c>
      <c r="O625" s="28">
        <v>6.1600000000000002E-2</v>
      </c>
      <c r="P625" s="28">
        <v>3.6903999999999992E-2</v>
      </c>
      <c r="Q625" s="65">
        <f t="shared" si="30"/>
        <v>2.469600000000001E-2</v>
      </c>
      <c r="R625" s="28">
        <v>4.0039999999999996</v>
      </c>
      <c r="S625" s="28">
        <f>8.455+9.563</f>
        <v>18.018000000000001</v>
      </c>
      <c r="T625" s="20">
        <f t="shared" si="29"/>
        <v>72.144071999999994</v>
      </c>
      <c r="X625" s="20" t="s">
        <v>886</v>
      </c>
      <c r="Y625" s="20" t="s">
        <v>36</v>
      </c>
      <c r="Z625" s="20" t="s">
        <v>36</v>
      </c>
    </row>
    <row r="626" spans="1:26">
      <c r="A626" s="20" t="s">
        <v>1351</v>
      </c>
      <c r="B626" s="20" t="s">
        <v>2115</v>
      </c>
      <c r="C626" s="31" t="s">
        <v>2236</v>
      </c>
      <c r="D626" s="49">
        <v>42856</v>
      </c>
      <c r="E626" s="9">
        <v>10.022767</v>
      </c>
      <c r="F626" s="9">
        <v>49.938633000000003</v>
      </c>
      <c r="G626" t="s">
        <v>2625</v>
      </c>
      <c r="H626" t="s">
        <v>2806</v>
      </c>
      <c r="I626" t="s">
        <v>2807</v>
      </c>
      <c r="K626" s="20" t="s">
        <v>2602</v>
      </c>
      <c r="L626" s="20"/>
      <c r="M626" s="172" t="s">
        <v>3589</v>
      </c>
      <c r="N626" s="20" t="s">
        <v>2713</v>
      </c>
      <c r="O626" s="28">
        <v>7.4099999999999999E-2</v>
      </c>
      <c r="P626" s="28">
        <v>3.6903999999999992E-2</v>
      </c>
      <c r="Q626" s="65">
        <f t="shared" si="30"/>
        <v>3.7196000000000007E-2</v>
      </c>
      <c r="R626" s="28">
        <v>4.6379999999999999</v>
      </c>
      <c r="S626" s="28">
        <f>10.914+10.373</f>
        <v>21.286999999999999</v>
      </c>
      <c r="T626" s="20">
        <f t="shared" si="29"/>
        <v>98.729105999999987</v>
      </c>
      <c r="X626" s="20" t="s">
        <v>886</v>
      </c>
      <c r="Y626" s="20" t="s">
        <v>36</v>
      </c>
      <c r="Z626" s="20" t="s">
        <v>36</v>
      </c>
    </row>
    <row r="627" spans="1:26">
      <c r="A627" s="20" t="s">
        <v>1350</v>
      </c>
      <c r="B627" s="20" t="s">
        <v>2115</v>
      </c>
      <c r="C627" s="31" t="s">
        <v>2235</v>
      </c>
      <c r="D627" s="49">
        <v>42856</v>
      </c>
      <c r="E627" s="9">
        <v>10.057294000000001</v>
      </c>
      <c r="F627" s="9">
        <v>49.902307999999998</v>
      </c>
      <c r="G627" t="s">
        <v>2625</v>
      </c>
      <c r="H627" t="s">
        <v>2806</v>
      </c>
      <c r="I627" t="s">
        <v>2807</v>
      </c>
      <c r="K627" s="20" t="s">
        <v>2602</v>
      </c>
      <c r="L627" s="20"/>
      <c r="M627" s="172" t="s">
        <v>2381</v>
      </c>
      <c r="N627" s="20" t="s">
        <v>2713</v>
      </c>
      <c r="O627" s="28">
        <v>5.0599999999999999E-2</v>
      </c>
      <c r="P627" s="28">
        <v>3.6903999999999992E-2</v>
      </c>
      <c r="Q627" s="65">
        <f t="shared" si="30"/>
        <v>1.3696000000000007E-2</v>
      </c>
      <c r="R627" s="28">
        <v>3.149</v>
      </c>
      <c r="S627" s="28">
        <v>14.762</v>
      </c>
      <c r="T627" s="20">
        <f t="shared" si="29"/>
        <v>46.485537999999998</v>
      </c>
      <c r="X627" s="20" t="s">
        <v>886</v>
      </c>
      <c r="Y627" s="20" t="s">
        <v>36</v>
      </c>
      <c r="Z627" s="20" t="s">
        <v>36</v>
      </c>
    </row>
    <row r="628" spans="1:26">
      <c r="A628" s="20" t="s">
        <v>1551</v>
      </c>
      <c r="B628" s="20" t="s">
        <v>2115</v>
      </c>
      <c r="C628" s="31" t="s">
        <v>2230</v>
      </c>
      <c r="D628" s="49">
        <v>42888</v>
      </c>
      <c r="E628" s="9">
        <v>10.124091999999999</v>
      </c>
      <c r="F628" s="9">
        <v>49.906236</v>
      </c>
      <c r="G628" t="s">
        <v>2569</v>
      </c>
      <c r="H628" t="s">
        <v>2570</v>
      </c>
      <c r="I628" t="s">
        <v>2802</v>
      </c>
      <c r="K628" s="20" t="s">
        <v>3047</v>
      </c>
      <c r="L628" s="20"/>
      <c r="M628" s="172" t="s">
        <v>3606</v>
      </c>
      <c r="N628" s="20" t="s">
        <v>2713</v>
      </c>
      <c r="O628" s="28">
        <v>4.4600000000000001E-2</v>
      </c>
      <c r="P628" s="28">
        <v>3.6903999999999992E-2</v>
      </c>
      <c r="Q628" s="65">
        <f t="shared" si="30"/>
        <v>7.6960000000000084E-3</v>
      </c>
      <c r="R628" s="28">
        <v>3.1240000000000001</v>
      </c>
      <c r="S628" s="28">
        <v>11.401</v>
      </c>
      <c r="T628" s="20">
        <f t="shared" si="29"/>
        <v>35.616723999999998</v>
      </c>
      <c r="X628" s="20" t="s">
        <v>886</v>
      </c>
      <c r="Y628" s="20" t="s">
        <v>36</v>
      </c>
      <c r="Z628" s="20" t="s">
        <v>36</v>
      </c>
    </row>
    <row r="629" spans="1:26">
      <c r="A629" s="20" t="s">
        <v>1349</v>
      </c>
      <c r="B629" s="20" t="s">
        <v>2115</v>
      </c>
      <c r="C629" s="31" t="s">
        <v>2237</v>
      </c>
      <c r="D629" s="49">
        <v>42856</v>
      </c>
      <c r="E629" s="9">
        <v>10.045693999999999</v>
      </c>
      <c r="F629" s="9">
        <v>49.896189</v>
      </c>
      <c r="G629" t="s">
        <v>2625</v>
      </c>
      <c r="H629" t="s">
        <v>2806</v>
      </c>
      <c r="I629" t="s">
        <v>2807</v>
      </c>
      <c r="K629" s="20" t="s">
        <v>2602</v>
      </c>
      <c r="L629" s="20"/>
      <c r="M629" s="172" t="s">
        <v>3589</v>
      </c>
      <c r="N629" s="20" t="s">
        <v>2713</v>
      </c>
      <c r="O629" s="28">
        <v>7.0699999999999999E-2</v>
      </c>
      <c r="P629" s="28">
        <v>3.6903999999999992E-2</v>
      </c>
      <c r="Q629" s="65">
        <f t="shared" si="30"/>
        <v>3.3796000000000007E-2</v>
      </c>
      <c r="R629" s="28">
        <v>4.8029999999999999</v>
      </c>
      <c r="S629" s="28">
        <f>10.809+10.066</f>
        <v>20.875</v>
      </c>
      <c r="T629" s="20">
        <f t="shared" si="29"/>
        <v>100.262625</v>
      </c>
      <c r="X629" s="20" t="s">
        <v>886</v>
      </c>
      <c r="Y629" s="20" t="s">
        <v>36</v>
      </c>
      <c r="Z629" s="20" t="s">
        <v>36</v>
      </c>
    </row>
    <row r="630" spans="1:26">
      <c r="A630" s="20" t="s">
        <v>1552</v>
      </c>
      <c r="B630" s="20" t="s">
        <v>2115</v>
      </c>
      <c r="C630" s="31" t="s">
        <v>2233</v>
      </c>
      <c r="D630" s="49">
        <v>42902</v>
      </c>
      <c r="E630" s="9">
        <v>10.086428</v>
      </c>
      <c r="F630" s="9">
        <v>49.909314000000002</v>
      </c>
      <c r="G630" s="20" t="s">
        <v>2572</v>
      </c>
      <c r="H630" s="20" t="s">
        <v>2573</v>
      </c>
      <c r="K630" s="20" t="s">
        <v>2606</v>
      </c>
      <c r="L630" s="20"/>
      <c r="M630" s="172" t="s">
        <v>3608</v>
      </c>
      <c r="N630" s="20" t="s">
        <v>2713</v>
      </c>
      <c r="O630" s="28">
        <v>4.1300000000000003E-2</v>
      </c>
      <c r="P630" s="28">
        <v>3.6903999999999992E-2</v>
      </c>
      <c r="Q630" s="65">
        <f t="shared" si="30"/>
        <v>4.396000000000011E-3</v>
      </c>
      <c r="R630" s="28">
        <v>1.91</v>
      </c>
      <c r="S630" s="28">
        <v>10.263999999999999</v>
      </c>
      <c r="T630" s="20">
        <f t="shared" si="29"/>
        <v>19.604239999999997</v>
      </c>
      <c r="X630" s="20" t="s">
        <v>886</v>
      </c>
      <c r="Y630" s="20" t="s">
        <v>36</v>
      </c>
      <c r="Z630" s="20" t="s">
        <v>36</v>
      </c>
    </row>
    <row r="631" spans="1:26">
      <c r="A631" s="20" t="s">
        <v>1553</v>
      </c>
      <c r="B631" s="20" t="s">
        <v>2115</v>
      </c>
      <c r="C631" s="31" t="s">
        <v>2233</v>
      </c>
      <c r="D631" s="49">
        <v>42902</v>
      </c>
      <c r="E631" s="9">
        <v>10.086428</v>
      </c>
      <c r="F631" s="9">
        <v>49.909314000000002</v>
      </c>
      <c r="G631" s="20" t="s">
        <v>2572</v>
      </c>
      <c r="H631" s="20" t="s">
        <v>2573</v>
      </c>
      <c r="K631" s="20" t="s">
        <v>2606</v>
      </c>
      <c r="L631" s="20"/>
      <c r="M631" s="172" t="s">
        <v>3609</v>
      </c>
      <c r="N631" s="20" t="s">
        <v>2713</v>
      </c>
      <c r="O631" s="28">
        <v>4.0500000000000001E-2</v>
      </c>
      <c r="P631" s="28">
        <v>3.6903999999999992E-2</v>
      </c>
      <c r="Q631" s="65">
        <f t="shared" si="30"/>
        <v>3.5960000000000089E-3</v>
      </c>
      <c r="R631" s="28">
        <v>1.5209999999999999</v>
      </c>
      <c r="S631" s="28">
        <v>9.6150000000000002</v>
      </c>
      <c r="T631" s="20">
        <f t="shared" si="29"/>
        <v>14.624414999999999</v>
      </c>
      <c r="X631" s="20" t="s">
        <v>886</v>
      </c>
      <c r="Y631" s="20" t="s">
        <v>36</v>
      </c>
      <c r="Z631" s="20" t="s">
        <v>36</v>
      </c>
    </row>
    <row r="632" spans="1:26">
      <c r="A632" s="20" t="s">
        <v>1605</v>
      </c>
      <c r="B632" s="20" t="s">
        <v>2115</v>
      </c>
      <c r="C632" s="31" t="s">
        <v>2230</v>
      </c>
      <c r="D632" s="49">
        <v>42872</v>
      </c>
      <c r="E632" s="9">
        <v>10.124091999999999</v>
      </c>
      <c r="F632" s="9">
        <v>49.906236</v>
      </c>
      <c r="G632" s="20" t="s">
        <v>2566</v>
      </c>
      <c r="H632" s="20" t="s">
        <v>2567</v>
      </c>
      <c r="I632" s="20" t="s">
        <v>2668</v>
      </c>
      <c r="K632" s="20" t="s">
        <v>2600</v>
      </c>
      <c r="L632" s="20"/>
      <c r="M632" s="172" t="s">
        <v>3579</v>
      </c>
      <c r="N632" s="20" t="s">
        <v>2713</v>
      </c>
      <c r="O632" s="28">
        <v>4.0099999999999997E-2</v>
      </c>
      <c r="P632" s="28">
        <v>3.6903999999999992E-2</v>
      </c>
      <c r="Q632" s="65">
        <f t="shared" si="30"/>
        <v>3.1960000000000044E-3</v>
      </c>
      <c r="R632" s="28">
        <v>1.744</v>
      </c>
      <c r="S632" s="28">
        <v>9.1199999999999992</v>
      </c>
      <c r="T632" s="20">
        <f t="shared" ref="T632:T695" si="31">R632*S632</f>
        <v>15.905279999999999</v>
      </c>
      <c r="X632" s="20" t="s">
        <v>886</v>
      </c>
      <c r="Y632" s="20" t="s">
        <v>36</v>
      </c>
      <c r="Z632" s="20" t="s">
        <v>36</v>
      </c>
    </row>
    <row r="633" spans="1:26">
      <c r="A633" s="20" t="s">
        <v>1554</v>
      </c>
      <c r="B633" s="20" t="s">
        <v>2115</v>
      </c>
      <c r="C633" s="31" t="s">
        <v>2236</v>
      </c>
      <c r="D633" s="49">
        <v>42902</v>
      </c>
      <c r="E633" s="9">
        <v>10.022767</v>
      </c>
      <c r="F633" s="9">
        <v>49.938633000000003</v>
      </c>
      <c r="G633" s="20" t="s">
        <v>2572</v>
      </c>
      <c r="H633" s="20" t="s">
        <v>2573</v>
      </c>
      <c r="K633" s="20" t="s">
        <v>2606</v>
      </c>
      <c r="L633" s="20"/>
      <c r="M633" s="172" t="s">
        <v>3603</v>
      </c>
      <c r="N633" s="20" t="s">
        <v>2712</v>
      </c>
      <c r="O633" s="28">
        <v>3.95E-2</v>
      </c>
      <c r="P633" s="28">
        <v>3.6903999999999992E-2</v>
      </c>
      <c r="Q633" s="65">
        <f t="shared" si="30"/>
        <v>2.596000000000008E-3</v>
      </c>
      <c r="R633" s="20">
        <v>1.5369999999999999</v>
      </c>
      <c r="S633" s="20">
        <v>8.6980000000000004</v>
      </c>
      <c r="T633" s="20">
        <f t="shared" si="31"/>
        <v>13.368826</v>
      </c>
      <c r="X633" s="20" t="s">
        <v>886</v>
      </c>
      <c r="Y633" s="20" t="s">
        <v>36</v>
      </c>
      <c r="Z633" s="20" t="s">
        <v>36</v>
      </c>
    </row>
    <row r="634" spans="1:26">
      <c r="A634" s="20" t="s">
        <v>1606</v>
      </c>
      <c r="B634" s="20" t="s">
        <v>2115</v>
      </c>
      <c r="C634" s="31" t="s">
        <v>2230</v>
      </c>
      <c r="D634" s="49">
        <v>42872</v>
      </c>
      <c r="E634" s="9">
        <v>10.124091999999999</v>
      </c>
      <c r="F634" s="9">
        <v>49.906236</v>
      </c>
      <c r="G634" s="20" t="s">
        <v>2566</v>
      </c>
      <c r="H634" s="20" t="s">
        <v>2567</v>
      </c>
      <c r="I634" s="20" t="s">
        <v>2668</v>
      </c>
      <c r="K634" s="20" t="s">
        <v>892</v>
      </c>
      <c r="L634" s="20"/>
      <c r="M634" s="172" t="s">
        <v>3408</v>
      </c>
      <c r="N634" s="20" t="s">
        <v>2713</v>
      </c>
      <c r="O634" s="28">
        <v>4.7199999999999999E-2</v>
      </c>
      <c r="P634" s="28">
        <v>3.6903999999999992E-2</v>
      </c>
      <c r="Q634" s="65">
        <f t="shared" si="30"/>
        <v>1.0296000000000007E-2</v>
      </c>
      <c r="R634" s="28">
        <v>2.73</v>
      </c>
      <c r="S634" s="28">
        <v>14.747</v>
      </c>
      <c r="T634" s="20">
        <f t="shared" si="31"/>
        <v>40.259309999999999</v>
      </c>
      <c r="X634" s="20" t="s">
        <v>886</v>
      </c>
      <c r="Y634" s="20" t="s">
        <v>36</v>
      </c>
      <c r="Z634" s="20" t="s">
        <v>36</v>
      </c>
    </row>
    <row r="635" spans="1:26">
      <c r="A635" s="20" t="s">
        <v>1607</v>
      </c>
      <c r="B635" s="20" t="s">
        <v>2115</v>
      </c>
      <c r="C635" s="31" t="s">
        <v>2244</v>
      </c>
      <c r="D635" s="49">
        <v>42872</v>
      </c>
      <c r="E635" s="9">
        <v>10.017931000000001</v>
      </c>
      <c r="F635" s="9">
        <v>49.935696999999998</v>
      </c>
      <c r="G635" s="20" t="s">
        <v>2566</v>
      </c>
      <c r="H635" s="20" t="s">
        <v>2567</v>
      </c>
      <c r="I635" s="20" t="s">
        <v>2668</v>
      </c>
      <c r="K635" s="20" t="s">
        <v>892</v>
      </c>
      <c r="L635" s="20"/>
      <c r="M635" s="172" t="s">
        <v>3408</v>
      </c>
      <c r="N635" s="20" t="s">
        <v>2713</v>
      </c>
      <c r="O635" s="28">
        <v>4.6699999999999998E-2</v>
      </c>
      <c r="P635" s="28">
        <v>3.6903999999999992E-2</v>
      </c>
      <c r="Q635" s="65">
        <f t="shared" si="30"/>
        <v>9.7960000000000061E-3</v>
      </c>
      <c r="R635" s="28">
        <v>3.1819999999999999</v>
      </c>
      <c r="S635" s="28">
        <v>13.56</v>
      </c>
      <c r="T635" s="20">
        <f t="shared" si="31"/>
        <v>43.147919999999999</v>
      </c>
      <c r="X635" s="20" t="s">
        <v>886</v>
      </c>
      <c r="Y635" s="20" t="s">
        <v>36</v>
      </c>
      <c r="Z635" s="20" t="s">
        <v>36</v>
      </c>
    </row>
    <row r="636" spans="1:26">
      <c r="A636" s="20" t="s">
        <v>1608</v>
      </c>
      <c r="B636" s="20" t="s">
        <v>2115</v>
      </c>
      <c r="C636" s="31" t="s">
        <v>2236</v>
      </c>
      <c r="D636" s="49">
        <v>42872</v>
      </c>
      <c r="E636" s="9">
        <v>10.022767</v>
      </c>
      <c r="F636" s="9">
        <v>49.938633000000003</v>
      </c>
      <c r="G636" s="20" t="s">
        <v>2566</v>
      </c>
      <c r="H636" s="20" t="s">
        <v>2567</v>
      </c>
      <c r="I636" s="20" t="s">
        <v>2668</v>
      </c>
      <c r="K636" s="20" t="s">
        <v>892</v>
      </c>
      <c r="L636" s="20"/>
      <c r="M636" s="172" t="s">
        <v>2793</v>
      </c>
      <c r="N636" s="20" t="s">
        <v>2713</v>
      </c>
      <c r="O636" s="28">
        <v>6.8599999999999994E-2</v>
      </c>
      <c r="P636" s="28">
        <v>3.6903999999999992E-2</v>
      </c>
      <c r="Q636" s="65">
        <f t="shared" si="30"/>
        <v>3.1696000000000002E-2</v>
      </c>
      <c r="R636" s="28">
        <v>4.46</v>
      </c>
      <c r="S636" s="28">
        <v>21.209</v>
      </c>
      <c r="T636" s="20">
        <f t="shared" si="31"/>
        <v>94.592140000000001</v>
      </c>
      <c r="X636" s="20" t="s">
        <v>886</v>
      </c>
      <c r="Y636" s="20" t="s">
        <v>36</v>
      </c>
      <c r="Z636" s="20" t="s">
        <v>36</v>
      </c>
    </row>
    <row r="637" spans="1:26">
      <c r="A637" s="20" t="s">
        <v>1610</v>
      </c>
      <c r="B637" s="20" t="s">
        <v>2115</v>
      </c>
      <c r="C637" s="31" t="s">
        <v>2233</v>
      </c>
      <c r="D637" s="49">
        <v>42888</v>
      </c>
      <c r="E637" s="9">
        <v>10.086428</v>
      </c>
      <c r="F637" s="9">
        <v>49.909314000000002</v>
      </c>
      <c r="G637" s="20" t="s">
        <v>2566</v>
      </c>
      <c r="H637" s="20" t="s">
        <v>2567</v>
      </c>
      <c r="I637" s="20" t="s">
        <v>2668</v>
      </c>
      <c r="K637" s="20" t="s">
        <v>892</v>
      </c>
      <c r="L637" s="20"/>
      <c r="M637" s="172" t="s">
        <v>3408</v>
      </c>
      <c r="N637" s="20" t="s">
        <v>2713</v>
      </c>
      <c r="O637" s="28">
        <v>5.0500000000000003E-2</v>
      </c>
      <c r="P637" s="28">
        <v>3.6903999999999992E-2</v>
      </c>
      <c r="Q637" s="65">
        <f t="shared" si="30"/>
        <v>1.3596000000000011E-2</v>
      </c>
      <c r="R637" s="28">
        <v>3.18</v>
      </c>
      <c r="S637" s="28">
        <v>13.868</v>
      </c>
      <c r="T637" s="20">
        <f t="shared" si="31"/>
        <v>44.100240000000007</v>
      </c>
      <c r="X637" s="20" t="s">
        <v>886</v>
      </c>
      <c r="Y637" s="20" t="s">
        <v>36</v>
      </c>
      <c r="Z637" s="20" t="s">
        <v>36</v>
      </c>
    </row>
    <row r="638" spans="1:26">
      <c r="A638" s="20" t="s">
        <v>1611</v>
      </c>
      <c r="B638" s="20" t="s">
        <v>2115</v>
      </c>
      <c r="C638" s="31" t="s">
        <v>2244</v>
      </c>
      <c r="D638" s="49">
        <v>42888</v>
      </c>
      <c r="E638" s="9">
        <v>10.017931000000001</v>
      </c>
      <c r="F638" s="9">
        <v>49.935696999999998</v>
      </c>
      <c r="G638" s="20" t="s">
        <v>2566</v>
      </c>
      <c r="H638" s="20" t="s">
        <v>2567</v>
      </c>
      <c r="I638" s="20" t="s">
        <v>2668</v>
      </c>
      <c r="K638" s="20" t="s">
        <v>892</v>
      </c>
      <c r="L638" s="20"/>
      <c r="M638" s="172" t="s">
        <v>2793</v>
      </c>
      <c r="N638" s="20" t="s">
        <v>2713</v>
      </c>
      <c r="O638" s="28">
        <v>7.0599999999999996E-2</v>
      </c>
      <c r="P638" s="28">
        <v>3.6903999999999992E-2</v>
      </c>
      <c r="Q638" s="65">
        <f t="shared" si="30"/>
        <v>3.3696000000000004E-2</v>
      </c>
      <c r="R638" s="28">
        <v>4.2699999999999996</v>
      </c>
      <c r="S638" s="28">
        <v>20.324000000000002</v>
      </c>
      <c r="T638" s="20">
        <f t="shared" si="31"/>
        <v>86.783479999999997</v>
      </c>
      <c r="X638" s="20" t="s">
        <v>886</v>
      </c>
      <c r="Y638" s="20" t="s">
        <v>36</v>
      </c>
      <c r="Z638" s="20" t="s">
        <v>36</v>
      </c>
    </row>
    <row r="639" spans="1:26">
      <c r="A639" s="20" t="s">
        <v>1612</v>
      </c>
      <c r="B639" s="20" t="s">
        <v>2115</v>
      </c>
      <c r="C639" s="31" t="s">
        <v>2233</v>
      </c>
      <c r="D639" s="49">
        <v>42888</v>
      </c>
      <c r="E639" s="9">
        <v>10.086428</v>
      </c>
      <c r="F639" s="9">
        <v>49.909314000000002</v>
      </c>
      <c r="G639" s="20" t="s">
        <v>2566</v>
      </c>
      <c r="H639" s="20" t="s">
        <v>2567</v>
      </c>
      <c r="I639" s="20" t="s">
        <v>2668</v>
      </c>
      <c r="K639" s="20" t="s">
        <v>892</v>
      </c>
      <c r="L639" s="20"/>
      <c r="M639" s="172" t="s">
        <v>3408</v>
      </c>
      <c r="N639" s="20" t="s">
        <v>2713</v>
      </c>
      <c r="O639" s="28">
        <v>5.3800000000000001E-2</v>
      </c>
      <c r="P639" s="28">
        <v>3.6903999999999992E-2</v>
      </c>
      <c r="Q639" s="65">
        <f t="shared" si="30"/>
        <v>1.6896000000000008E-2</v>
      </c>
      <c r="R639" s="28">
        <v>3.169</v>
      </c>
      <c r="S639" s="28">
        <v>14.768000000000001</v>
      </c>
      <c r="T639" s="20">
        <f t="shared" si="31"/>
        <v>46.799792000000004</v>
      </c>
      <c r="X639" s="20" t="s">
        <v>886</v>
      </c>
      <c r="Y639" s="20" t="s">
        <v>36</v>
      </c>
      <c r="Z639" s="20" t="s">
        <v>36</v>
      </c>
    </row>
    <row r="640" spans="1:26">
      <c r="A640" s="20" t="s">
        <v>1614</v>
      </c>
      <c r="B640" s="20" t="s">
        <v>2115</v>
      </c>
      <c r="C640" s="31" t="s">
        <v>2230</v>
      </c>
      <c r="D640" s="49">
        <v>42888</v>
      </c>
      <c r="E640" s="9">
        <v>10.124091999999999</v>
      </c>
      <c r="F640" s="9">
        <v>49.906236</v>
      </c>
      <c r="G640" s="20" t="s">
        <v>2566</v>
      </c>
      <c r="H640" s="20" t="s">
        <v>2567</v>
      </c>
      <c r="I640" s="20" t="s">
        <v>2668</v>
      </c>
      <c r="K640" s="20" t="s">
        <v>892</v>
      </c>
      <c r="L640" s="20"/>
      <c r="M640" s="172" t="s">
        <v>3408</v>
      </c>
      <c r="N640" s="20" t="s">
        <v>2713</v>
      </c>
      <c r="O640" s="28">
        <v>4.87E-2</v>
      </c>
      <c r="P640" s="28">
        <v>3.6903999999999992E-2</v>
      </c>
      <c r="Q640" s="65">
        <f t="shared" si="30"/>
        <v>1.1796000000000008E-2</v>
      </c>
      <c r="R640" s="28">
        <v>2.907</v>
      </c>
      <c r="S640" s="28">
        <v>14.452999999999999</v>
      </c>
      <c r="T640" s="20">
        <f t="shared" si="31"/>
        <v>42.014870999999999</v>
      </c>
      <c r="X640" s="20" t="s">
        <v>886</v>
      </c>
      <c r="Y640" s="20" t="s">
        <v>36</v>
      </c>
      <c r="Z640" s="20" t="s">
        <v>36</v>
      </c>
    </row>
    <row r="641" spans="1:26">
      <c r="A641" s="20" t="s">
        <v>1615</v>
      </c>
      <c r="B641" s="20" t="s">
        <v>2115</v>
      </c>
      <c r="C641" s="31" t="s">
        <v>2244</v>
      </c>
      <c r="D641" s="49">
        <v>42888</v>
      </c>
      <c r="E641" s="9">
        <v>10.017931000000001</v>
      </c>
      <c r="F641" s="9">
        <v>49.935696999999998</v>
      </c>
      <c r="G641" s="20" t="s">
        <v>2566</v>
      </c>
      <c r="H641" s="20" t="s">
        <v>2567</v>
      </c>
      <c r="I641" s="20" t="s">
        <v>2668</v>
      </c>
      <c r="K641" s="20" t="s">
        <v>892</v>
      </c>
      <c r="L641" s="20"/>
      <c r="M641" s="172" t="s">
        <v>3408</v>
      </c>
      <c r="N641" s="20" t="s">
        <v>2713</v>
      </c>
      <c r="O641" s="28">
        <v>5.0799999999999998E-2</v>
      </c>
      <c r="P641" s="28">
        <v>3.6903999999999992E-2</v>
      </c>
      <c r="Q641" s="65">
        <f t="shared" si="30"/>
        <v>1.3896000000000006E-2</v>
      </c>
      <c r="R641" s="28">
        <v>3.25</v>
      </c>
      <c r="S641" s="28">
        <v>15.614000000000001</v>
      </c>
      <c r="T641" s="20">
        <f t="shared" si="31"/>
        <v>50.7455</v>
      </c>
      <c r="X641" s="20" t="s">
        <v>886</v>
      </c>
      <c r="Y641" s="20" t="s">
        <v>36</v>
      </c>
      <c r="Z641" s="20" t="s">
        <v>36</v>
      </c>
    </row>
    <row r="642" spans="1:26">
      <c r="A642" s="20" t="s">
        <v>1616</v>
      </c>
      <c r="B642" s="20" t="s">
        <v>2115</v>
      </c>
      <c r="C642" s="31" t="s">
        <v>2230</v>
      </c>
      <c r="D642" s="49">
        <v>42872</v>
      </c>
      <c r="E642" s="9">
        <v>10.124091999999999</v>
      </c>
      <c r="F642" s="9">
        <v>49.906236</v>
      </c>
      <c r="G642" s="20" t="s">
        <v>2566</v>
      </c>
      <c r="H642" s="20" t="s">
        <v>2567</v>
      </c>
      <c r="I642" s="20" t="s">
        <v>2668</v>
      </c>
      <c r="K642" s="20" t="s">
        <v>2600</v>
      </c>
      <c r="L642" s="20"/>
      <c r="M642" s="172" t="s">
        <v>3583</v>
      </c>
      <c r="N642" s="20" t="s">
        <v>2713</v>
      </c>
      <c r="O642" s="28">
        <v>4.6699999999999998E-2</v>
      </c>
      <c r="P642" s="28">
        <v>3.6903999999999992E-2</v>
      </c>
      <c r="Q642" s="65">
        <f t="shared" si="30"/>
        <v>9.7960000000000061E-3</v>
      </c>
      <c r="R642" s="28">
        <v>2.6920000000000002</v>
      </c>
      <c r="S642" s="28">
        <v>13.521000000000001</v>
      </c>
      <c r="T642" s="20">
        <f t="shared" si="31"/>
        <v>36.398532000000003</v>
      </c>
      <c r="X642" s="20" t="s">
        <v>886</v>
      </c>
      <c r="Y642" s="20" t="s">
        <v>36</v>
      </c>
      <c r="Z642" s="20" t="s">
        <v>36</v>
      </c>
    </row>
    <row r="643" spans="1:26">
      <c r="A643" s="20" t="s">
        <v>1555</v>
      </c>
      <c r="B643" s="20" t="s">
        <v>2115</v>
      </c>
      <c r="C643" s="31" t="s">
        <v>2233</v>
      </c>
      <c r="D643" s="49">
        <v>42888</v>
      </c>
      <c r="E643" s="9">
        <v>10.086428</v>
      </c>
      <c r="F643" s="9">
        <v>49.909314000000002</v>
      </c>
      <c r="G643" t="s">
        <v>2569</v>
      </c>
      <c r="H643" t="s">
        <v>2570</v>
      </c>
      <c r="I643" t="s">
        <v>2802</v>
      </c>
      <c r="K643" s="20" t="s">
        <v>3047</v>
      </c>
      <c r="L643" s="20"/>
      <c r="M643" s="172" t="s">
        <v>3606</v>
      </c>
      <c r="N643" s="20" t="s">
        <v>2713</v>
      </c>
      <c r="O643" s="28">
        <v>4.24E-2</v>
      </c>
      <c r="P643" s="28">
        <v>3.6903999999999992E-2</v>
      </c>
      <c r="Q643" s="65">
        <f t="shared" si="30"/>
        <v>5.4960000000000078E-3</v>
      </c>
      <c r="R643" s="28">
        <v>2.863</v>
      </c>
      <c r="S643" s="28">
        <v>10.452</v>
      </c>
      <c r="T643" s="20">
        <f t="shared" si="31"/>
        <v>29.924075999999999</v>
      </c>
      <c r="X643" s="20" t="s">
        <v>886</v>
      </c>
      <c r="Y643" s="20" t="s">
        <v>36</v>
      </c>
      <c r="Z643" s="20" t="s">
        <v>36</v>
      </c>
    </row>
    <row r="644" spans="1:26">
      <c r="A644" s="20" t="s">
        <v>1556</v>
      </c>
      <c r="B644" s="20" t="s">
        <v>2115</v>
      </c>
      <c r="C644" s="31" t="s">
        <v>2230</v>
      </c>
      <c r="D644" s="49">
        <v>42902</v>
      </c>
      <c r="E644" s="9">
        <v>10.124091999999999</v>
      </c>
      <c r="F644" s="9">
        <v>49.906236</v>
      </c>
      <c r="G644" t="s">
        <v>2569</v>
      </c>
      <c r="H644" t="s">
        <v>2570</v>
      </c>
      <c r="I644" t="s">
        <v>2802</v>
      </c>
      <c r="K644" s="20" t="s">
        <v>3047</v>
      </c>
      <c r="L644" s="20"/>
      <c r="M644" s="172" t="s">
        <v>3610</v>
      </c>
      <c r="N644" s="20" t="s">
        <v>2713</v>
      </c>
      <c r="O644" s="28">
        <v>4.2200000000000001E-2</v>
      </c>
      <c r="P644" s="28">
        <v>3.6903999999999992E-2</v>
      </c>
      <c r="Q644" s="65">
        <f t="shared" si="30"/>
        <v>5.296000000000009E-3</v>
      </c>
      <c r="R644" s="28">
        <v>2.605</v>
      </c>
      <c r="S644" s="28">
        <v>10.737</v>
      </c>
      <c r="T644" s="20">
        <f t="shared" si="31"/>
        <v>27.969885000000001</v>
      </c>
      <c r="X644" s="20" t="s">
        <v>886</v>
      </c>
      <c r="Y644" s="20" t="s">
        <v>36</v>
      </c>
      <c r="Z644" s="20" t="s">
        <v>36</v>
      </c>
    </row>
    <row r="645" spans="1:26">
      <c r="A645" s="20" t="s">
        <v>1348</v>
      </c>
      <c r="B645" s="20" t="s">
        <v>2115</v>
      </c>
      <c r="C645" s="31" t="s">
        <v>2237</v>
      </c>
      <c r="D645" s="49">
        <v>42856</v>
      </c>
      <c r="E645" s="9">
        <v>10.045693999999999</v>
      </c>
      <c r="F645" s="9">
        <v>49.896189</v>
      </c>
      <c r="G645" t="s">
        <v>2625</v>
      </c>
      <c r="H645" t="s">
        <v>2806</v>
      </c>
      <c r="I645" t="s">
        <v>2807</v>
      </c>
      <c r="K645" s="20" t="s">
        <v>2602</v>
      </c>
      <c r="L645" s="20"/>
      <c r="M645" s="172" t="s">
        <v>3589</v>
      </c>
      <c r="N645" s="20" t="s">
        <v>2713</v>
      </c>
      <c r="O645" s="28">
        <v>8.9800000000000005E-2</v>
      </c>
      <c r="P645" s="28">
        <v>3.6903999999999992E-2</v>
      </c>
      <c r="Q645" s="65">
        <f t="shared" si="30"/>
        <v>5.2896000000000012E-2</v>
      </c>
      <c r="R645" s="28">
        <v>4.7949999999999999</v>
      </c>
      <c r="S645" s="28">
        <f>10.578+9.103</f>
        <v>19.680999999999997</v>
      </c>
      <c r="T645" s="20">
        <f t="shared" si="31"/>
        <v>94.370394999999988</v>
      </c>
      <c r="X645" s="20" t="s">
        <v>886</v>
      </c>
      <c r="Y645" s="20" t="s">
        <v>36</v>
      </c>
      <c r="Z645" s="20" t="s">
        <v>36</v>
      </c>
    </row>
    <row r="646" spans="1:26">
      <c r="A646" s="20" t="s">
        <v>1557</v>
      </c>
      <c r="B646" s="20" t="s">
        <v>2115</v>
      </c>
      <c r="C646" s="31" t="s">
        <v>2239</v>
      </c>
      <c r="D646" s="49">
        <v>42902</v>
      </c>
      <c r="E646" s="9">
        <v>10.067944000000001</v>
      </c>
      <c r="F646" s="9">
        <v>49.912992000000003</v>
      </c>
      <c r="G646" t="s">
        <v>2569</v>
      </c>
      <c r="H646" t="s">
        <v>2570</v>
      </c>
      <c r="I646" t="s">
        <v>2802</v>
      </c>
      <c r="K646" s="20" t="s">
        <v>3047</v>
      </c>
      <c r="L646" s="20"/>
      <c r="M646" s="172" t="s">
        <v>3600</v>
      </c>
      <c r="N646" s="20" t="s">
        <v>2712</v>
      </c>
      <c r="O646" s="28">
        <v>4.24E-2</v>
      </c>
      <c r="P646" s="28">
        <v>3.6903999999999992E-2</v>
      </c>
      <c r="Q646" s="65">
        <f t="shared" si="30"/>
        <v>5.4960000000000078E-3</v>
      </c>
      <c r="R646" s="28">
        <v>2.323</v>
      </c>
      <c r="S646" s="28">
        <v>11.196</v>
      </c>
      <c r="T646" s="20">
        <f t="shared" si="31"/>
        <v>26.008308</v>
      </c>
      <c r="X646" s="20" t="s">
        <v>886</v>
      </c>
      <c r="Y646" s="20" t="s">
        <v>36</v>
      </c>
      <c r="Z646" s="20" t="s">
        <v>36</v>
      </c>
    </row>
    <row r="647" spans="1:26">
      <c r="A647" s="20" t="s">
        <v>1347</v>
      </c>
      <c r="B647" s="20" t="s">
        <v>2115</v>
      </c>
      <c r="C647" s="31" t="s">
        <v>2235</v>
      </c>
      <c r="D647" s="49">
        <v>42856</v>
      </c>
      <c r="E647" s="9">
        <v>10.057294000000001</v>
      </c>
      <c r="F647" s="9">
        <v>49.902307999999998</v>
      </c>
      <c r="G647" t="s">
        <v>2625</v>
      </c>
      <c r="H647" t="s">
        <v>2806</v>
      </c>
      <c r="I647" t="s">
        <v>2807</v>
      </c>
      <c r="K647" s="20" t="s">
        <v>2602</v>
      </c>
      <c r="L647" s="20"/>
      <c r="M647" s="172" t="s">
        <v>3596</v>
      </c>
      <c r="N647" s="20" t="s">
        <v>2713</v>
      </c>
      <c r="O647" s="28">
        <v>5.4600000000000003E-2</v>
      </c>
      <c r="P647" s="28">
        <v>3.6903999999999992E-2</v>
      </c>
      <c r="Q647" s="65">
        <f t="shared" si="30"/>
        <v>1.769600000000001E-2</v>
      </c>
      <c r="R647" s="28">
        <v>3.585</v>
      </c>
      <c r="S647" s="28">
        <f>7.878+7.969</f>
        <v>15.847000000000001</v>
      </c>
      <c r="T647" s="20">
        <f t="shared" si="31"/>
        <v>56.811495000000001</v>
      </c>
      <c r="X647" s="20" t="s">
        <v>886</v>
      </c>
      <c r="Y647" s="20" t="s">
        <v>36</v>
      </c>
      <c r="Z647" s="20" t="s">
        <v>36</v>
      </c>
    </row>
    <row r="648" spans="1:26">
      <c r="A648" s="20" t="s">
        <v>1346</v>
      </c>
      <c r="B648" s="20" t="s">
        <v>2115</v>
      </c>
      <c r="C648" s="31" t="s">
        <v>2235</v>
      </c>
      <c r="D648" s="49">
        <v>42856</v>
      </c>
      <c r="E648" s="9">
        <v>10.057294000000001</v>
      </c>
      <c r="F648" s="9">
        <v>49.902307999999998</v>
      </c>
      <c r="G648" t="s">
        <v>2625</v>
      </c>
      <c r="H648" t="s">
        <v>2806</v>
      </c>
      <c r="I648" t="s">
        <v>2807</v>
      </c>
      <c r="K648" s="20" t="s">
        <v>2602</v>
      </c>
      <c r="L648" s="20"/>
      <c r="M648" s="172" t="s">
        <v>3589</v>
      </c>
      <c r="N648" s="20" t="s">
        <v>2713</v>
      </c>
      <c r="O648" s="28">
        <v>8.2299999999999998E-2</v>
      </c>
      <c r="P648" s="28">
        <v>3.6903999999999992E-2</v>
      </c>
      <c r="Q648" s="65">
        <f t="shared" si="30"/>
        <v>4.5396000000000006E-2</v>
      </c>
      <c r="R648" s="28">
        <v>4.8650000000000002</v>
      </c>
      <c r="S648" s="28">
        <v>20.994</v>
      </c>
      <c r="T648" s="20">
        <f t="shared" si="31"/>
        <v>102.13581000000001</v>
      </c>
      <c r="X648" s="20" t="s">
        <v>886</v>
      </c>
      <c r="Y648" s="20" t="s">
        <v>36</v>
      </c>
      <c r="Z648" s="20" t="s">
        <v>36</v>
      </c>
    </row>
    <row r="649" spans="1:26">
      <c r="A649" s="20" t="s">
        <v>1345</v>
      </c>
      <c r="B649" s="20" t="s">
        <v>2115</v>
      </c>
      <c r="C649" s="31" t="s">
        <v>2237</v>
      </c>
      <c r="D649" s="49">
        <v>42856</v>
      </c>
      <c r="E649" s="9">
        <v>10.045693999999999</v>
      </c>
      <c r="F649" s="9">
        <v>49.896189</v>
      </c>
      <c r="G649" t="s">
        <v>2625</v>
      </c>
      <c r="H649" t="s">
        <v>2806</v>
      </c>
      <c r="I649" t="s">
        <v>2807</v>
      </c>
      <c r="K649" s="20" t="s">
        <v>2602</v>
      </c>
      <c r="L649" s="20"/>
      <c r="M649" s="172" t="s">
        <v>2823</v>
      </c>
      <c r="N649" s="20" t="s">
        <v>2713</v>
      </c>
      <c r="O649" s="28">
        <v>6.4600000000000005E-2</v>
      </c>
      <c r="P649" s="28">
        <v>3.6903999999999992E-2</v>
      </c>
      <c r="Q649" s="65">
        <f t="shared" si="30"/>
        <v>2.7696000000000012E-2</v>
      </c>
      <c r="R649" s="28">
        <v>3.9140000000000001</v>
      </c>
      <c r="S649" s="28">
        <f>9.491+8.198</f>
        <v>17.689</v>
      </c>
      <c r="T649" s="20">
        <f t="shared" si="31"/>
        <v>69.234746000000001</v>
      </c>
      <c r="X649" s="20" t="s">
        <v>886</v>
      </c>
      <c r="Y649" s="20" t="s">
        <v>36</v>
      </c>
      <c r="Z649" s="20" t="s">
        <v>36</v>
      </c>
    </row>
    <row r="650" spans="1:26">
      <c r="A650" s="20" t="s">
        <v>1344</v>
      </c>
      <c r="B650" s="20" t="s">
        <v>2115</v>
      </c>
      <c r="C650" s="31" t="s">
        <v>2235</v>
      </c>
      <c r="D650" s="49">
        <v>42856</v>
      </c>
      <c r="E650" s="9">
        <v>10.057294000000001</v>
      </c>
      <c r="F650" s="9">
        <v>49.902307999999998</v>
      </c>
      <c r="G650" t="s">
        <v>2625</v>
      </c>
      <c r="H650" t="s">
        <v>2806</v>
      </c>
      <c r="I650" t="s">
        <v>2807</v>
      </c>
      <c r="K650" s="20" t="s">
        <v>2602</v>
      </c>
      <c r="L650" s="20"/>
      <c r="M650" s="172" t="s">
        <v>2823</v>
      </c>
      <c r="N650" s="20" t="s">
        <v>2713</v>
      </c>
      <c r="O650" s="28">
        <v>5.9499999999999997E-2</v>
      </c>
      <c r="P650" s="28">
        <v>3.6903999999999992E-2</v>
      </c>
      <c r="Q650" s="65">
        <f t="shared" si="30"/>
        <v>2.2596000000000005E-2</v>
      </c>
      <c r="R650" s="28">
        <v>3.7349999999999999</v>
      </c>
      <c r="S650" s="28">
        <v>17.577999999999999</v>
      </c>
      <c r="T650" s="20">
        <f t="shared" si="31"/>
        <v>65.653829999999999</v>
      </c>
      <c r="X650" s="20" t="s">
        <v>886</v>
      </c>
      <c r="Y650" s="20" t="s">
        <v>36</v>
      </c>
      <c r="Z650" s="20" t="s">
        <v>36</v>
      </c>
    </row>
    <row r="651" spans="1:26">
      <c r="A651" s="20" t="s">
        <v>1617</v>
      </c>
      <c r="B651" s="20" t="s">
        <v>2115</v>
      </c>
      <c r="C651" s="31" t="s">
        <v>2230</v>
      </c>
      <c r="D651" s="49">
        <v>42856</v>
      </c>
      <c r="E651" s="9">
        <v>10.124091999999999</v>
      </c>
      <c r="F651" s="9">
        <v>49.906236</v>
      </c>
      <c r="G651" s="20" t="s">
        <v>2566</v>
      </c>
      <c r="H651" s="20" t="s">
        <v>2567</v>
      </c>
      <c r="I651" s="20" t="s">
        <v>2668</v>
      </c>
      <c r="K651" s="20" t="s">
        <v>892</v>
      </c>
      <c r="L651" s="20"/>
      <c r="M651" s="172" t="s">
        <v>3583</v>
      </c>
      <c r="N651" s="20" t="s">
        <v>2713</v>
      </c>
      <c r="O651" s="28">
        <v>4.7699999999999999E-2</v>
      </c>
      <c r="P651" s="28">
        <v>3.6903999999999992E-2</v>
      </c>
      <c r="Q651" s="65">
        <f t="shared" si="30"/>
        <v>1.0796000000000007E-2</v>
      </c>
      <c r="R651" s="28">
        <v>2.4830000000000001</v>
      </c>
      <c r="S651" s="28">
        <v>13.81</v>
      </c>
      <c r="T651" s="20">
        <f t="shared" si="31"/>
        <v>34.290230000000001</v>
      </c>
      <c r="X651" s="20" t="s">
        <v>886</v>
      </c>
      <c r="Y651" s="20" t="s">
        <v>36</v>
      </c>
      <c r="Z651" s="20" t="s">
        <v>36</v>
      </c>
    </row>
    <row r="652" spans="1:26">
      <c r="A652" s="20" t="s">
        <v>1558</v>
      </c>
      <c r="B652" s="20" t="s">
        <v>2115</v>
      </c>
      <c r="C652" s="31" t="s">
        <v>2234</v>
      </c>
      <c r="D652" s="49">
        <v>42902</v>
      </c>
      <c r="E652" s="9">
        <v>10.053630999999999</v>
      </c>
      <c r="F652" s="9">
        <v>49.900486000000001</v>
      </c>
      <c r="G652" s="20" t="s">
        <v>2572</v>
      </c>
      <c r="H652" s="20" t="s">
        <v>2573</v>
      </c>
      <c r="K652" s="20" t="s">
        <v>2606</v>
      </c>
      <c r="L652" s="20"/>
      <c r="M652" s="172" t="s">
        <v>3611</v>
      </c>
      <c r="N652" s="20" t="s">
        <v>2713</v>
      </c>
      <c r="O652" s="28">
        <v>4.3900000000000002E-2</v>
      </c>
      <c r="P652" s="28">
        <v>3.6903999999999992E-2</v>
      </c>
      <c r="Q652" s="65">
        <f t="shared" si="30"/>
        <v>6.9960000000000092E-3</v>
      </c>
      <c r="R652" s="28">
        <v>2.2799999999999998</v>
      </c>
      <c r="S652" s="28">
        <v>12.340999999999999</v>
      </c>
      <c r="T652" s="20">
        <f t="shared" si="31"/>
        <v>28.137479999999996</v>
      </c>
      <c r="X652" s="20" t="s">
        <v>886</v>
      </c>
      <c r="Y652" s="20" t="s">
        <v>36</v>
      </c>
      <c r="Z652" s="20" t="s">
        <v>36</v>
      </c>
    </row>
    <row r="653" spans="1:26">
      <c r="A653" s="20" t="s">
        <v>1618</v>
      </c>
      <c r="B653" s="20" t="s">
        <v>2115</v>
      </c>
      <c r="C653" s="31" t="s">
        <v>2230</v>
      </c>
      <c r="D653" s="49">
        <v>42872</v>
      </c>
      <c r="E653" s="9">
        <v>10.124091999999999</v>
      </c>
      <c r="F653" s="9">
        <v>49.906236</v>
      </c>
      <c r="G653" s="20" t="s">
        <v>2566</v>
      </c>
      <c r="H653" s="20" t="s">
        <v>2567</v>
      </c>
      <c r="I653" s="20" t="s">
        <v>2668</v>
      </c>
      <c r="K653" s="20" t="s">
        <v>892</v>
      </c>
      <c r="L653" s="20"/>
      <c r="M653" s="172" t="s">
        <v>3579</v>
      </c>
      <c r="N653" s="20" t="s">
        <v>2713</v>
      </c>
      <c r="O653" s="28">
        <v>4.0500000000000001E-2</v>
      </c>
      <c r="P653" s="28">
        <v>3.6903999999999992E-2</v>
      </c>
      <c r="Q653" s="65">
        <f t="shared" si="30"/>
        <v>3.5960000000000089E-3</v>
      </c>
      <c r="R653" s="28">
        <v>1.6020000000000001</v>
      </c>
      <c r="S653" s="28">
        <v>10.199999999999999</v>
      </c>
      <c r="T653" s="20">
        <f t="shared" si="31"/>
        <v>16.340399999999999</v>
      </c>
      <c r="X653" s="20" t="s">
        <v>886</v>
      </c>
      <c r="Y653" s="20" t="s">
        <v>36</v>
      </c>
      <c r="Z653" s="20" t="s">
        <v>36</v>
      </c>
    </row>
    <row r="654" spans="1:26">
      <c r="A654" s="20" t="s">
        <v>1619</v>
      </c>
      <c r="B654" s="20" t="s">
        <v>2115</v>
      </c>
      <c r="C654" s="60" t="s">
        <v>2240</v>
      </c>
      <c r="D654" s="49">
        <v>42872</v>
      </c>
      <c r="E654" s="9">
        <v>10.094319</v>
      </c>
      <c r="F654" s="9">
        <v>49.925831000000002</v>
      </c>
      <c r="G654" s="20" t="s">
        <v>2566</v>
      </c>
      <c r="H654" s="20" t="s">
        <v>2567</v>
      </c>
      <c r="I654" s="20" t="s">
        <v>2668</v>
      </c>
      <c r="K654" s="20" t="s">
        <v>892</v>
      </c>
      <c r="L654" s="20"/>
      <c r="M654" s="172" t="s">
        <v>3583</v>
      </c>
      <c r="N654" s="20" t="s">
        <v>2713</v>
      </c>
      <c r="O654" s="28">
        <v>4.4699999999999997E-2</v>
      </c>
      <c r="P654" s="28">
        <v>3.6903999999999992E-2</v>
      </c>
      <c r="Q654" s="65">
        <f t="shared" si="30"/>
        <v>7.7960000000000043E-3</v>
      </c>
      <c r="R654" s="28">
        <v>2.464</v>
      </c>
      <c r="S654" s="28">
        <v>12.378</v>
      </c>
      <c r="T654" s="20">
        <f t="shared" si="31"/>
        <v>30.499392</v>
      </c>
      <c r="X654" s="20" t="s">
        <v>886</v>
      </c>
      <c r="Y654" s="20" t="s">
        <v>36</v>
      </c>
      <c r="Z654" s="20" t="s">
        <v>36</v>
      </c>
    </row>
    <row r="655" spans="1:26">
      <c r="A655" s="20" t="s">
        <v>1559</v>
      </c>
      <c r="B655" s="20" t="s">
        <v>2115</v>
      </c>
      <c r="C655" s="31" t="s">
        <v>2227</v>
      </c>
      <c r="D655" s="49">
        <v>42902</v>
      </c>
      <c r="E655" s="9">
        <v>10.040881000000001</v>
      </c>
      <c r="F655" s="9">
        <v>49.937356000000001</v>
      </c>
      <c r="G655" s="20" t="s">
        <v>2569</v>
      </c>
      <c r="H655" s="20" t="s">
        <v>2570</v>
      </c>
      <c r="I655" s="20" t="s">
        <v>2571</v>
      </c>
      <c r="K655" s="20" t="s">
        <v>2369</v>
      </c>
      <c r="L655" s="20"/>
      <c r="M655" s="172" t="s">
        <v>3602</v>
      </c>
      <c r="N655" s="20" t="s">
        <v>2712</v>
      </c>
      <c r="O655" s="28">
        <v>6.7900000000000002E-2</v>
      </c>
      <c r="P655" s="28">
        <v>3.6903999999999992E-2</v>
      </c>
      <c r="Q655" s="65">
        <f t="shared" si="30"/>
        <v>3.099600000000001E-2</v>
      </c>
      <c r="R655" s="20">
        <v>4.702</v>
      </c>
      <c r="S655" s="20">
        <v>17.245999999999999</v>
      </c>
      <c r="T655" s="20">
        <f t="shared" si="31"/>
        <v>81.09069199999999</v>
      </c>
      <c r="X655" s="20" t="s">
        <v>886</v>
      </c>
      <c r="Y655" s="20" t="s">
        <v>36</v>
      </c>
      <c r="Z655" s="20" t="s">
        <v>36</v>
      </c>
    </row>
    <row r="656" spans="1:26">
      <c r="A656" s="20" t="s">
        <v>1560</v>
      </c>
      <c r="B656" s="20" t="s">
        <v>2115</v>
      </c>
      <c r="C656" s="31" t="s">
        <v>2227</v>
      </c>
      <c r="D656" s="49">
        <v>42888</v>
      </c>
      <c r="E656" s="9">
        <v>10.040881000000001</v>
      </c>
      <c r="F656" s="9">
        <v>49.937356000000001</v>
      </c>
      <c r="G656" s="20" t="s">
        <v>2569</v>
      </c>
      <c r="H656" s="20" t="s">
        <v>2570</v>
      </c>
      <c r="K656" s="20" t="s">
        <v>3576</v>
      </c>
      <c r="L656" s="20"/>
      <c r="M656" s="172" t="s">
        <v>3612</v>
      </c>
      <c r="N656" s="20" t="s">
        <v>2712</v>
      </c>
      <c r="O656" s="28">
        <v>4.7100000000000003E-2</v>
      </c>
      <c r="P656" s="28">
        <v>3.6903999999999992E-2</v>
      </c>
      <c r="Q656" s="65">
        <f t="shared" si="30"/>
        <v>1.0196000000000011E-2</v>
      </c>
      <c r="R656" s="20">
        <v>3.0470000000000002</v>
      </c>
      <c r="S656" s="20">
        <v>14.696</v>
      </c>
      <c r="T656" s="20">
        <f t="shared" si="31"/>
        <v>44.778711999999999</v>
      </c>
      <c r="X656" s="20" t="s">
        <v>886</v>
      </c>
      <c r="Y656" s="20" t="s">
        <v>36</v>
      </c>
      <c r="Z656" s="20" t="s">
        <v>36</v>
      </c>
    </row>
    <row r="657" spans="1:26">
      <c r="A657" s="20" t="s">
        <v>1620</v>
      </c>
      <c r="B657" s="20" t="s">
        <v>2115</v>
      </c>
      <c r="C657" s="31" t="s">
        <v>2232</v>
      </c>
      <c r="D657" s="49">
        <v>42902</v>
      </c>
      <c r="E657" s="9">
        <v>10.065003000000001</v>
      </c>
      <c r="F657" s="9">
        <v>49.916336000000001</v>
      </c>
      <c r="G657" s="20" t="s">
        <v>2566</v>
      </c>
      <c r="H657" s="20" t="s">
        <v>2567</v>
      </c>
      <c r="I657" s="20" t="s">
        <v>2668</v>
      </c>
      <c r="K657" s="20" t="s">
        <v>892</v>
      </c>
      <c r="L657" s="20"/>
      <c r="M657" s="172" t="s">
        <v>2793</v>
      </c>
      <c r="N657" s="20" t="s">
        <v>2713</v>
      </c>
      <c r="O657" s="28">
        <v>6.5699999999999995E-2</v>
      </c>
      <c r="P657" s="28">
        <v>3.6903999999999992E-2</v>
      </c>
      <c r="Q657" s="65">
        <f t="shared" si="30"/>
        <v>2.8796000000000002E-2</v>
      </c>
      <c r="R657" s="28">
        <v>4.2839999999999998</v>
      </c>
      <c r="S657" s="28">
        <v>21.553000000000001</v>
      </c>
      <c r="T657" s="20">
        <f t="shared" si="31"/>
        <v>92.333051999999995</v>
      </c>
      <c r="X657" s="20" t="s">
        <v>886</v>
      </c>
      <c r="Y657" s="20" t="s">
        <v>36</v>
      </c>
      <c r="Z657" s="20" t="s">
        <v>36</v>
      </c>
    </row>
    <row r="658" spans="1:26">
      <c r="A658" s="20" t="s">
        <v>1621</v>
      </c>
      <c r="B658" s="20" t="s">
        <v>2115</v>
      </c>
      <c r="C658" s="31" t="s">
        <v>2232</v>
      </c>
      <c r="D658" s="49">
        <v>42872</v>
      </c>
      <c r="E658" s="9">
        <v>10.065003000000001</v>
      </c>
      <c r="F658" s="9">
        <v>49.916336000000001</v>
      </c>
      <c r="G658" s="20" t="s">
        <v>2566</v>
      </c>
      <c r="H658" s="20" t="s">
        <v>2567</v>
      </c>
      <c r="I658" s="20" t="s">
        <v>2668</v>
      </c>
      <c r="K658" s="20" t="s">
        <v>892</v>
      </c>
      <c r="L658" s="20"/>
      <c r="M658" s="172" t="s">
        <v>2793</v>
      </c>
      <c r="N658" s="20" t="s">
        <v>2713</v>
      </c>
      <c r="O658" s="28">
        <v>6.59E-2</v>
      </c>
      <c r="P658" s="28">
        <v>3.6903999999999992E-2</v>
      </c>
      <c r="Q658" s="65">
        <f t="shared" si="30"/>
        <v>2.8996000000000008E-2</v>
      </c>
      <c r="R658" s="28">
        <v>3.831</v>
      </c>
      <c r="S658" s="28">
        <v>19.853999999999999</v>
      </c>
      <c r="T658" s="20">
        <f t="shared" si="31"/>
        <v>76.060673999999992</v>
      </c>
      <c r="X658" s="20" t="s">
        <v>886</v>
      </c>
      <c r="Y658" s="20" t="s">
        <v>36</v>
      </c>
      <c r="Z658" s="20" t="s">
        <v>36</v>
      </c>
    </row>
    <row r="659" spans="1:26">
      <c r="A659" s="20" t="s">
        <v>1622</v>
      </c>
      <c r="B659" s="20" t="s">
        <v>2115</v>
      </c>
      <c r="C659" s="31" t="s">
        <v>2228</v>
      </c>
      <c r="D659" s="49">
        <v>42902</v>
      </c>
      <c r="E659" s="9">
        <v>10.050008</v>
      </c>
      <c r="F659" s="9">
        <v>49.941994000000001</v>
      </c>
      <c r="G659" s="20" t="s">
        <v>2566</v>
      </c>
      <c r="H659" s="20" t="s">
        <v>2567</v>
      </c>
      <c r="I659" s="20" t="s">
        <v>2668</v>
      </c>
      <c r="K659" s="20" t="s">
        <v>892</v>
      </c>
      <c r="L659" s="20"/>
      <c r="M659" s="172" t="s">
        <v>2793</v>
      </c>
      <c r="N659" s="20" t="s">
        <v>2713</v>
      </c>
      <c r="O659" s="28">
        <v>6.9500000000000006E-2</v>
      </c>
      <c r="P659" s="28">
        <v>3.6903999999999992E-2</v>
      </c>
      <c r="Q659" s="65">
        <f t="shared" si="30"/>
        <v>3.2596000000000014E-2</v>
      </c>
      <c r="R659" s="28">
        <v>4.1449999999999996</v>
      </c>
      <c r="S659" s="28">
        <v>20.77</v>
      </c>
      <c r="T659" s="20">
        <f t="shared" si="31"/>
        <v>86.091649999999987</v>
      </c>
      <c r="X659" s="20" t="s">
        <v>886</v>
      </c>
      <c r="Y659" s="20" t="s">
        <v>36</v>
      </c>
      <c r="Z659" s="20" t="s">
        <v>36</v>
      </c>
    </row>
    <row r="660" spans="1:26">
      <c r="A660" s="20" t="s">
        <v>1623</v>
      </c>
      <c r="B660" s="20" t="s">
        <v>2115</v>
      </c>
      <c r="C660" s="31" t="s">
        <v>2239</v>
      </c>
      <c r="D660" s="49">
        <v>42872</v>
      </c>
      <c r="E660" s="9">
        <v>10.067944000000001</v>
      </c>
      <c r="F660" s="9">
        <v>49.912992000000003</v>
      </c>
      <c r="G660" s="20" t="s">
        <v>2566</v>
      </c>
      <c r="H660" s="20" t="s">
        <v>2567</v>
      </c>
      <c r="I660" s="20" t="s">
        <v>2668</v>
      </c>
      <c r="K660" s="20" t="s">
        <v>892</v>
      </c>
      <c r="L660" s="20"/>
      <c r="M660" s="172" t="s">
        <v>2793</v>
      </c>
      <c r="N660" s="20" t="s">
        <v>2713</v>
      </c>
      <c r="O660" s="28">
        <v>6.5600000000000006E-2</v>
      </c>
      <c r="P660" s="28">
        <v>3.6903999999999992E-2</v>
      </c>
      <c r="Q660" s="65">
        <f t="shared" si="30"/>
        <v>2.8696000000000013E-2</v>
      </c>
      <c r="R660" s="28">
        <v>3.79</v>
      </c>
      <c r="S660" s="28">
        <v>20.481999999999999</v>
      </c>
      <c r="T660" s="20">
        <f t="shared" si="31"/>
        <v>77.626779999999997</v>
      </c>
      <c r="X660" s="20" t="s">
        <v>886</v>
      </c>
      <c r="Y660" s="20" t="s">
        <v>36</v>
      </c>
      <c r="Z660" s="20" t="s">
        <v>36</v>
      </c>
    </row>
    <row r="661" spans="1:26">
      <c r="A661" s="20" t="s">
        <v>1624</v>
      </c>
      <c r="B661" s="20" t="s">
        <v>2115</v>
      </c>
      <c r="C661" s="31" t="s">
        <v>2237</v>
      </c>
      <c r="D661" s="49">
        <v>42902</v>
      </c>
      <c r="E661" s="9">
        <v>10.045693999999999</v>
      </c>
      <c r="F661" s="9">
        <v>49.896189</v>
      </c>
      <c r="G661" s="20" t="s">
        <v>2566</v>
      </c>
      <c r="H661" s="20" t="s">
        <v>2567</v>
      </c>
      <c r="I661" s="20" t="s">
        <v>2668</v>
      </c>
      <c r="K661" s="20" t="s">
        <v>2600</v>
      </c>
      <c r="L661" s="20"/>
      <c r="M661" s="172" t="s">
        <v>2827</v>
      </c>
      <c r="N661" s="20" t="s">
        <v>2713</v>
      </c>
      <c r="O661" s="28">
        <v>4.8000000000000001E-2</v>
      </c>
      <c r="P661" s="28">
        <v>3.6903999999999992E-2</v>
      </c>
      <c r="Q661" s="65">
        <f t="shared" si="30"/>
        <v>1.1096000000000009E-2</v>
      </c>
      <c r="R661" s="28">
        <v>3.0129999999999999</v>
      </c>
      <c r="S661" s="28">
        <v>12.994999999999999</v>
      </c>
      <c r="T661" s="20">
        <f t="shared" si="31"/>
        <v>39.153934999999997</v>
      </c>
      <c r="X661" s="20" t="s">
        <v>886</v>
      </c>
      <c r="Y661" s="20" t="s">
        <v>36</v>
      </c>
      <c r="Z661" s="20" t="s">
        <v>36</v>
      </c>
    </row>
    <row r="662" spans="1:26">
      <c r="A662" s="20" t="s">
        <v>1625</v>
      </c>
      <c r="B662" s="20" t="s">
        <v>2115</v>
      </c>
      <c r="C662" s="31" t="s">
        <v>2233</v>
      </c>
      <c r="D662" s="49">
        <v>42872</v>
      </c>
      <c r="E662" s="9">
        <v>10.086428</v>
      </c>
      <c r="F662" s="9">
        <v>49.909314000000002</v>
      </c>
      <c r="G662" s="20" t="s">
        <v>2566</v>
      </c>
      <c r="H662" s="20" t="s">
        <v>2567</v>
      </c>
      <c r="I662" s="20" t="s">
        <v>2668</v>
      </c>
      <c r="K662" s="20" t="s">
        <v>2600</v>
      </c>
      <c r="L662" s="20"/>
      <c r="M662" s="172" t="s">
        <v>3583</v>
      </c>
      <c r="N662" s="20" t="s">
        <v>2713</v>
      </c>
      <c r="O662" s="28">
        <v>4.4699999999999997E-2</v>
      </c>
      <c r="P662" s="28">
        <v>3.6903999999999992E-2</v>
      </c>
      <c r="Q662" s="65">
        <f t="shared" si="30"/>
        <v>7.7960000000000043E-3</v>
      </c>
      <c r="R662" s="28">
        <v>2.5529999999999999</v>
      </c>
      <c r="S662" s="28">
        <v>13.606</v>
      </c>
      <c r="T662" s="20">
        <f t="shared" si="31"/>
        <v>34.736117999999998</v>
      </c>
      <c r="X662" s="20" t="s">
        <v>886</v>
      </c>
      <c r="Y662" s="20" t="s">
        <v>36</v>
      </c>
      <c r="Z662" s="20" t="s">
        <v>36</v>
      </c>
    </row>
    <row r="663" spans="1:26">
      <c r="A663" s="20" t="s">
        <v>1626</v>
      </c>
      <c r="B663" s="20" t="s">
        <v>2115</v>
      </c>
      <c r="C663" s="31" t="s">
        <v>2233</v>
      </c>
      <c r="D663" s="49">
        <v>42872</v>
      </c>
      <c r="E663" s="9">
        <v>10.086428</v>
      </c>
      <c r="F663" s="9">
        <v>49.909314000000002</v>
      </c>
      <c r="G663" s="20" t="s">
        <v>2566</v>
      </c>
      <c r="H663" s="20" t="s">
        <v>2567</v>
      </c>
      <c r="I663" s="20" t="s">
        <v>2668</v>
      </c>
      <c r="K663" s="20" t="s">
        <v>2600</v>
      </c>
      <c r="L663" s="20"/>
      <c r="M663" s="172" t="s">
        <v>3583</v>
      </c>
      <c r="N663" s="20" t="s">
        <v>2713</v>
      </c>
      <c r="O663" s="28">
        <v>4.3999999999999997E-2</v>
      </c>
      <c r="P663" s="28">
        <v>3.6903999999999992E-2</v>
      </c>
      <c r="Q663" s="65">
        <f t="shared" si="30"/>
        <v>7.0960000000000051E-3</v>
      </c>
      <c r="R663" s="28">
        <v>2.6869999999999998</v>
      </c>
      <c r="S663" s="28">
        <v>12.961</v>
      </c>
      <c r="T663" s="20">
        <f t="shared" si="31"/>
        <v>34.826206999999997</v>
      </c>
      <c r="X663" s="20" t="s">
        <v>886</v>
      </c>
      <c r="Y663" s="20" t="s">
        <v>36</v>
      </c>
      <c r="Z663" s="20" t="s">
        <v>36</v>
      </c>
    </row>
    <row r="664" spans="1:26">
      <c r="A664" s="20" t="s">
        <v>1627</v>
      </c>
      <c r="B664" s="20" t="s">
        <v>2115</v>
      </c>
      <c r="C664" s="31" t="s">
        <v>2237</v>
      </c>
      <c r="D664" s="49">
        <v>42888</v>
      </c>
      <c r="E664" s="9">
        <v>10.045693999999999</v>
      </c>
      <c r="F664" s="9">
        <v>49.896189</v>
      </c>
      <c r="G664" s="20" t="s">
        <v>2566</v>
      </c>
      <c r="H664" s="20" t="s">
        <v>2567</v>
      </c>
      <c r="I664" s="20" t="s">
        <v>2668</v>
      </c>
      <c r="K664" s="20" t="s">
        <v>2600</v>
      </c>
      <c r="L664" s="20"/>
      <c r="M664" s="172" t="s">
        <v>3605</v>
      </c>
      <c r="N664" s="20" t="s">
        <v>2713</v>
      </c>
      <c r="O664" s="28">
        <v>5.7099999999999998E-2</v>
      </c>
      <c r="P664" s="28">
        <v>3.6903999999999992E-2</v>
      </c>
      <c r="Q664" s="65">
        <f t="shared" si="30"/>
        <v>2.0196000000000006E-2</v>
      </c>
      <c r="R664" s="28">
        <v>4.0460000000000003</v>
      </c>
      <c r="S664" s="28">
        <v>18.155000000000001</v>
      </c>
      <c r="T664" s="20">
        <f t="shared" si="31"/>
        <v>73.455130000000011</v>
      </c>
      <c r="X664" s="20" t="s">
        <v>886</v>
      </c>
      <c r="Y664" s="20" t="s">
        <v>36</v>
      </c>
      <c r="Z664" s="20" t="s">
        <v>36</v>
      </c>
    </row>
    <row r="665" spans="1:26">
      <c r="A665" s="20" t="s">
        <v>1628</v>
      </c>
      <c r="B665" s="20" t="s">
        <v>2115</v>
      </c>
      <c r="C665" s="31" t="s">
        <v>2233</v>
      </c>
      <c r="D665" s="49">
        <v>42872</v>
      </c>
      <c r="E665" s="9">
        <v>10.086428</v>
      </c>
      <c r="F665" s="9">
        <v>49.909314000000002</v>
      </c>
      <c r="G665" s="20" t="s">
        <v>2566</v>
      </c>
      <c r="H665" s="20" t="s">
        <v>2567</v>
      </c>
      <c r="I665" s="20" t="s">
        <v>2668</v>
      </c>
      <c r="K665" s="20" t="s">
        <v>2600</v>
      </c>
      <c r="L665" s="20"/>
      <c r="M665" s="172" t="s">
        <v>3583</v>
      </c>
      <c r="N665" s="20" t="s">
        <v>2713</v>
      </c>
      <c r="O665" s="28">
        <v>4.7300000000000002E-2</v>
      </c>
      <c r="P665" s="28">
        <v>3.6903999999999992E-2</v>
      </c>
      <c r="Q665" s="65">
        <f t="shared" si="30"/>
        <v>1.0396000000000009E-2</v>
      </c>
      <c r="R665" s="28">
        <v>3.056</v>
      </c>
      <c r="S665" s="28">
        <v>14.933999999999999</v>
      </c>
      <c r="T665" s="20">
        <f t="shared" si="31"/>
        <v>45.638303999999998</v>
      </c>
      <c r="X665" s="20" t="s">
        <v>886</v>
      </c>
      <c r="Y665" s="20" t="s">
        <v>36</v>
      </c>
      <c r="Z665" s="20" t="s">
        <v>36</v>
      </c>
    </row>
    <row r="666" spans="1:26">
      <c r="A666" s="20" t="s">
        <v>1561</v>
      </c>
      <c r="B666" s="20" t="s">
        <v>2115</v>
      </c>
      <c r="C666" s="31" t="s">
        <v>2228</v>
      </c>
      <c r="D666" s="49">
        <v>42902</v>
      </c>
      <c r="E666" s="9">
        <v>10.050008</v>
      </c>
      <c r="F666" s="9">
        <v>49.941994000000001</v>
      </c>
      <c r="G666" t="s">
        <v>2569</v>
      </c>
      <c r="H666" t="s">
        <v>2570</v>
      </c>
      <c r="I666" t="s">
        <v>2802</v>
      </c>
      <c r="K666" s="20" t="s">
        <v>3047</v>
      </c>
      <c r="L666" s="20"/>
      <c r="M666" s="172" t="s">
        <v>2803</v>
      </c>
      <c r="N666" s="20" t="s">
        <v>2713</v>
      </c>
      <c r="O666" s="28">
        <v>5.9200000000000003E-2</v>
      </c>
      <c r="P666" s="28">
        <v>3.6903999999999992E-2</v>
      </c>
      <c r="Q666" s="65">
        <f t="shared" si="30"/>
        <v>2.229600000000001E-2</v>
      </c>
      <c r="R666" s="28">
        <v>3.81</v>
      </c>
      <c r="S666" s="28">
        <v>17.138000000000002</v>
      </c>
      <c r="T666" s="20">
        <f t="shared" si="31"/>
        <v>65.295780000000008</v>
      </c>
      <c r="X666" s="20" t="s">
        <v>886</v>
      </c>
      <c r="Y666" s="20" t="s">
        <v>36</v>
      </c>
      <c r="Z666" s="20" t="s">
        <v>36</v>
      </c>
    </row>
    <row r="667" spans="1:26">
      <c r="A667" s="20" t="s">
        <v>1562</v>
      </c>
      <c r="B667" s="20" t="s">
        <v>2115</v>
      </c>
      <c r="C667" s="31" t="s">
        <v>2233</v>
      </c>
      <c r="D667" s="49">
        <v>42902</v>
      </c>
      <c r="E667" s="9">
        <v>10.086428</v>
      </c>
      <c r="F667" s="9">
        <v>49.909314000000002</v>
      </c>
      <c r="G667" t="s">
        <v>2569</v>
      </c>
      <c r="H667" t="s">
        <v>2570</v>
      </c>
      <c r="I667" t="s">
        <v>2802</v>
      </c>
      <c r="K667" s="20" t="s">
        <v>3047</v>
      </c>
      <c r="L667" s="20"/>
      <c r="M667" s="172" t="s">
        <v>2803</v>
      </c>
      <c r="N667" s="20" t="s">
        <v>2712</v>
      </c>
      <c r="O667" s="28">
        <v>5.8200000000000002E-2</v>
      </c>
      <c r="P667" s="28">
        <v>3.6903999999999992E-2</v>
      </c>
      <c r="Q667" s="65">
        <f t="shared" si="30"/>
        <v>2.1296000000000009E-2</v>
      </c>
      <c r="R667" s="28">
        <v>4.2699999999999996</v>
      </c>
      <c r="S667" s="28">
        <v>17.986000000000001</v>
      </c>
      <c r="T667" s="20">
        <f t="shared" si="31"/>
        <v>76.800219999999996</v>
      </c>
      <c r="X667" s="20" t="s">
        <v>886</v>
      </c>
      <c r="Y667" s="20" t="s">
        <v>36</v>
      </c>
      <c r="Z667" s="20" t="s">
        <v>36</v>
      </c>
    </row>
    <row r="668" spans="1:26">
      <c r="A668" s="20" t="s">
        <v>1343</v>
      </c>
      <c r="B668" s="20" t="s">
        <v>2115</v>
      </c>
      <c r="C668" s="31" t="s">
        <v>2236</v>
      </c>
      <c r="D668" s="49">
        <v>42856</v>
      </c>
      <c r="E668" s="9">
        <v>10.022767</v>
      </c>
      <c r="F668" s="9">
        <v>49.938633000000003</v>
      </c>
      <c r="G668" t="s">
        <v>2625</v>
      </c>
      <c r="H668" t="s">
        <v>2806</v>
      </c>
      <c r="I668" t="s">
        <v>2807</v>
      </c>
      <c r="K668" s="20" t="s">
        <v>2602</v>
      </c>
      <c r="L668" s="20"/>
      <c r="M668" s="172" t="s">
        <v>3596</v>
      </c>
      <c r="N668" s="20" t="s">
        <v>2713</v>
      </c>
      <c r="O668" s="28">
        <v>5.7700000000000001E-2</v>
      </c>
      <c r="P668" s="28">
        <v>3.6903999999999992E-2</v>
      </c>
      <c r="Q668" s="65">
        <f t="shared" si="30"/>
        <v>2.0796000000000009E-2</v>
      </c>
      <c r="R668" s="28">
        <v>3.76</v>
      </c>
      <c r="S668" s="28">
        <f>7.707+7.847</f>
        <v>15.554</v>
      </c>
      <c r="T668" s="20">
        <f t="shared" si="31"/>
        <v>58.483039999999995</v>
      </c>
      <c r="X668" s="20" t="s">
        <v>886</v>
      </c>
      <c r="Y668" s="20" t="s">
        <v>36</v>
      </c>
      <c r="Z668" s="20" t="s">
        <v>36</v>
      </c>
    </row>
    <row r="669" spans="1:26">
      <c r="A669" s="20" t="s">
        <v>1342</v>
      </c>
      <c r="B669" s="20" t="s">
        <v>2115</v>
      </c>
      <c r="C669" s="31" t="s">
        <v>2244</v>
      </c>
      <c r="D669" s="49">
        <v>42856</v>
      </c>
      <c r="E669" s="9">
        <v>10.017931000000001</v>
      </c>
      <c r="F669" s="9">
        <v>49.935696999999998</v>
      </c>
      <c r="G669" t="s">
        <v>2625</v>
      </c>
      <c r="H669" t="s">
        <v>2806</v>
      </c>
      <c r="I669" t="s">
        <v>2807</v>
      </c>
      <c r="K669" s="20" t="s">
        <v>2602</v>
      </c>
      <c r="L669" s="20"/>
      <c r="M669" s="172" t="s">
        <v>2823</v>
      </c>
      <c r="N669" s="20" t="s">
        <v>2713</v>
      </c>
      <c r="O669" s="28">
        <v>6.1400000000000003E-2</v>
      </c>
      <c r="P669" s="28">
        <v>3.6903999999999992E-2</v>
      </c>
      <c r="Q669" s="65">
        <f t="shared" si="30"/>
        <v>2.4496000000000011E-2</v>
      </c>
      <c r="R669" s="28">
        <v>3.8279999999999998</v>
      </c>
      <c r="S669" s="28">
        <f>9.636+8.366</f>
        <v>18.001999999999999</v>
      </c>
      <c r="T669" s="20">
        <f t="shared" si="31"/>
        <v>68.911655999999994</v>
      </c>
      <c r="X669" s="20" t="s">
        <v>886</v>
      </c>
      <c r="Y669" s="20" t="s">
        <v>36</v>
      </c>
      <c r="Z669" s="20" t="s">
        <v>36</v>
      </c>
    </row>
    <row r="670" spans="1:26">
      <c r="A670" s="20" t="s">
        <v>1341</v>
      </c>
      <c r="B670" s="20" t="s">
        <v>2115</v>
      </c>
      <c r="C670" s="31" t="s">
        <v>2236</v>
      </c>
      <c r="D670" s="49">
        <v>42856</v>
      </c>
      <c r="E670" s="9">
        <v>10.022767</v>
      </c>
      <c r="F670" s="9">
        <v>49.938633000000003</v>
      </c>
      <c r="G670" t="s">
        <v>2625</v>
      </c>
      <c r="H670" t="s">
        <v>2806</v>
      </c>
      <c r="I670" t="s">
        <v>2807</v>
      </c>
      <c r="K670" s="20" t="s">
        <v>2602</v>
      </c>
      <c r="L670" s="20"/>
      <c r="M670" s="172" t="s">
        <v>3594</v>
      </c>
      <c r="N670" s="20" t="s">
        <v>2713</v>
      </c>
      <c r="O670" s="28">
        <v>6.6400000000000001E-2</v>
      </c>
      <c r="P670" s="28">
        <v>3.6903999999999992E-2</v>
      </c>
      <c r="Q670" s="65">
        <f t="shared" si="30"/>
        <v>2.9496000000000008E-2</v>
      </c>
      <c r="R670" s="28">
        <v>4.0570000000000004</v>
      </c>
      <c r="S670" s="28">
        <f>8.399+9.529</f>
        <v>17.927999999999997</v>
      </c>
      <c r="T670" s="20">
        <f t="shared" si="31"/>
        <v>72.733896000000001</v>
      </c>
      <c r="X670" s="20" t="s">
        <v>886</v>
      </c>
      <c r="Y670" s="20" t="s">
        <v>36</v>
      </c>
      <c r="Z670" s="20" t="s">
        <v>36</v>
      </c>
    </row>
    <row r="671" spans="1:26">
      <c r="A671" s="20" t="s">
        <v>1340</v>
      </c>
      <c r="B671" s="20" t="s">
        <v>2115</v>
      </c>
      <c r="C671" s="31" t="s">
        <v>2229</v>
      </c>
      <c r="D671" s="49">
        <v>42856</v>
      </c>
      <c r="E671" s="9">
        <v>10.057994000000001</v>
      </c>
      <c r="F671" s="9">
        <v>49.937230999999997</v>
      </c>
      <c r="G671" t="s">
        <v>2625</v>
      </c>
      <c r="H671" t="s">
        <v>2806</v>
      </c>
      <c r="I671" t="s">
        <v>2807</v>
      </c>
      <c r="K671" s="20" t="s">
        <v>2602</v>
      </c>
      <c r="L671" s="20"/>
      <c r="M671" s="172" t="s">
        <v>3597</v>
      </c>
      <c r="N671" s="20" t="s">
        <v>2713</v>
      </c>
      <c r="O671" s="28">
        <v>5.45E-2</v>
      </c>
      <c r="P671" s="28">
        <v>3.6903999999999992E-2</v>
      </c>
      <c r="Q671" s="65">
        <f t="shared" si="30"/>
        <v>1.7596000000000007E-2</v>
      </c>
      <c r="R671" s="28">
        <v>3.7370000000000001</v>
      </c>
      <c r="S671" s="28">
        <f>7.359+7.91</f>
        <v>15.269</v>
      </c>
      <c r="T671" s="20">
        <f t="shared" si="31"/>
        <v>57.060253000000003</v>
      </c>
      <c r="X671" s="20" t="s">
        <v>886</v>
      </c>
      <c r="Y671" s="20" t="s">
        <v>36</v>
      </c>
      <c r="Z671" s="20" t="s">
        <v>36</v>
      </c>
    </row>
    <row r="672" spans="1:26">
      <c r="A672" s="20" t="s">
        <v>1339</v>
      </c>
      <c r="B672" s="20" t="s">
        <v>2115</v>
      </c>
      <c r="C672" s="31" t="s">
        <v>2232</v>
      </c>
      <c r="D672" s="49">
        <v>42856</v>
      </c>
      <c r="E672" s="9">
        <v>10.065003000000001</v>
      </c>
      <c r="F672" s="9">
        <v>49.916336000000001</v>
      </c>
      <c r="G672" t="s">
        <v>2625</v>
      </c>
      <c r="H672" t="s">
        <v>2806</v>
      </c>
      <c r="I672" t="s">
        <v>2807</v>
      </c>
      <c r="K672" s="20" t="s">
        <v>2602</v>
      </c>
      <c r="L672" s="20"/>
      <c r="M672" s="172" t="s">
        <v>3596</v>
      </c>
      <c r="N672" s="20" t="s">
        <v>2713</v>
      </c>
      <c r="O672" s="28">
        <v>5.8200000000000002E-2</v>
      </c>
      <c r="P672" s="28">
        <v>3.6903999999999992E-2</v>
      </c>
      <c r="Q672" s="65">
        <f t="shared" si="30"/>
        <v>2.1296000000000009E-2</v>
      </c>
      <c r="R672" s="28">
        <v>3.6429999999999998</v>
      </c>
      <c r="S672" s="28">
        <f>8.192+8.953</f>
        <v>17.145</v>
      </c>
      <c r="T672" s="20">
        <f t="shared" si="31"/>
        <v>62.459234999999993</v>
      </c>
      <c r="X672" s="20" t="s">
        <v>886</v>
      </c>
      <c r="Y672" s="20" t="s">
        <v>36</v>
      </c>
      <c r="Z672" s="20" t="s">
        <v>36</v>
      </c>
    </row>
    <row r="673" spans="1:26">
      <c r="A673" s="20" t="s">
        <v>1338</v>
      </c>
      <c r="B673" s="20" t="s">
        <v>2115</v>
      </c>
      <c r="C673" s="31" t="s">
        <v>2229</v>
      </c>
      <c r="D673" s="49">
        <v>42856</v>
      </c>
      <c r="E673" s="9">
        <v>10.057994000000001</v>
      </c>
      <c r="F673" s="9">
        <v>49.937230999999997</v>
      </c>
      <c r="G673" t="s">
        <v>2625</v>
      </c>
      <c r="H673" t="s">
        <v>2806</v>
      </c>
      <c r="I673" t="s">
        <v>2807</v>
      </c>
      <c r="K673" s="20" t="s">
        <v>2602</v>
      </c>
      <c r="L673" s="20"/>
      <c r="M673" s="172" t="s">
        <v>3597</v>
      </c>
      <c r="N673" s="20" t="s">
        <v>2713</v>
      </c>
      <c r="O673" s="28">
        <v>5.7299999999999997E-2</v>
      </c>
      <c r="P673" s="28">
        <v>3.6903999999999992E-2</v>
      </c>
      <c r="Q673" s="65">
        <f t="shared" si="30"/>
        <v>2.0396000000000004E-2</v>
      </c>
      <c r="R673" s="28">
        <v>3.7160000000000002</v>
      </c>
      <c r="S673" s="28">
        <f>8.745+7.849</f>
        <v>16.594000000000001</v>
      </c>
      <c r="T673" s="20">
        <f t="shared" si="31"/>
        <v>61.663304000000011</v>
      </c>
      <c r="X673" s="20" t="s">
        <v>886</v>
      </c>
      <c r="Y673" s="20" t="s">
        <v>36</v>
      </c>
      <c r="Z673" s="20" t="s">
        <v>36</v>
      </c>
    </row>
    <row r="674" spans="1:26">
      <c r="A674" s="20" t="s">
        <v>1524</v>
      </c>
      <c r="B674" s="20" t="s">
        <v>2115</v>
      </c>
      <c r="C674" s="31" t="s">
        <v>2230</v>
      </c>
      <c r="D674" s="49">
        <v>42902</v>
      </c>
      <c r="E674" s="9">
        <v>10.124091999999999</v>
      </c>
      <c r="F674" s="9">
        <v>49.906236</v>
      </c>
      <c r="G674" t="s">
        <v>2566</v>
      </c>
      <c r="H674" t="s">
        <v>2567</v>
      </c>
      <c r="I674" t="s">
        <v>2668</v>
      </c>
      <c r="K674" s="20" t="s">
        <v>3036</v>
      </c>
      <c r="L674" s="20"/>
      <c r="M674" s="172" t="s">
        <v>3613</v>
      </c>
      <c r="N674" s="20" t="s">
        <v>2713</v>
      </c>
      <c r="O674" s="28">
        <v>4.36E-2</v>
      </c>
      <c r="P674" s="28">
        <v>3.6903999999999992E-2</v>
      </c>
      <c r="Q674" s="65">
        <f t="shared" ref="Q674:Q737" si="32">O674-P674</f>
        <v>6.6960000000000075E-3</v>
      </c>
      <c r="R674" s="20">
        <v>2.0699999999999998</v>
      </c>
      <c r="S674" s="20">
        <v>10.760999999999999</v>
      </c>
      <c r="T674" s="20">
        <f t="shared" si="31"/>
        <v>22.275269999999995</v>
      </c>
      <c r="X674" s="20" t="s">
        <v>886</v>
      </c>
      <c r="Y674" s="20" t="s">
        <v>36</v>
      </c>
      <c r="Z674" s="20" t="s">
        <v>36</v>
      </c>
    </row>
    <row r="675" spans="1:26">
      <c r="A675" s="20" t="s">
        <v>1525</v>
      </c>
      <c r="B675" s="20" t="s">
        <v>2115</v>
      </c>
      <c r="C675" s="31" t="s">
        <v>2235</v>
      </c>
      <c r="D675" s="49">
        <v>42872</v>
      </c>
      <c r="E675" s="9">
        <v>10.057294000000001</v>
      </c>
      <c r="F675" s="9">
        <v>49.902307999999998</v>
      </c>
      <c r="G675" s="20" t="s">
        <v>2566</v>
      </c>
      <c r="H675" s="20" t="s">
        <v>2567</v>
      </c>
      <c r="I675" s="20" t="s">
        <v>2668</v>
      </c>
      <c r="K675" s="20" t="s">
        <v>2600</v>
      </c>
      <c r="L675" s="20"/>
      <c r="M675" s="172" t="s">
        <v>3579</v>
      </c>
      <c r="N675" s="20" t="s">
        <v>2713</v>
      </c>
      <c r="O675" s="28">
        <v>4.1500000000000002E-2</v>
      </c>
      <c r="P675" s="28">
        <v>3.6903999999999992E-2</v>
      </c>
      <c r="Q675" s="65">
        <f t="shared" si="32"/>
        <v>4.5960000000000098E-3</v>
      </c>
      <c r="R675" s="28">
        <v>1.877</v>
      </c>
      <c r="S675" s="28">
        <v>10.151999999999999</v>
      </c>
      <c r="T675" s="20">
        <f t="shared" si="31"/>
        <v>19.055304</v>
      </c>
      <c r="X675" s="20" t="s">
        <v>886</v>
      </c>
      <c r="Y675" s="20" t="s">
        <v>36</v>
      </c>
      <c r="Z675" s="20" t="s">
        <v>36</v>
      </c>
    </row>
    <row r="676" spans="1:26">
      <c r="A676" s="20" t="s">
        <v>1526</v>
      </c>
      <c r="B676" s="20" t="s">
        <v>2115</v>
      </c>
      <c r="C676" s="31" t="s">
        <v>2231</v>
      </c>
      <c r="D676" s="49">
        <v>42872</v>
      </c>
      <c r="E676" s="9">
        <v>10.113375</v>
      </c>
      <c r="F676" s="9">
        <v>49.850391999999999</v>
      </c>
      <c r="G676" t="s">
        <v>1687</v>
      </c>
      <c r="H676" t="s">
        <v>2563</v>
      </c>
      <c r="I676" t="s">
        <v>2835</v>
      </c>
      <c r="K676" s="20" t="s">
        <v>3577</v>
      </c>
      <c r="L676" s="20"/>
      <c r="M676" s="172" t="s">
        <v>3614</v>
      </c>
      <c r="N676" s="20" t="s">
        <v>2712</v>
      </c>
      <c r="O676" s="28">
        <v>7.3400000000000007E-2</v>
      </c>
      <c r="P676" s="28">
        <v>3.6903999999999992E-2</v>
      </c>
      <c r="Q676" s="65">
        <f t="shared" si="32"/>
        <v>3.6496000000000015E-2</v>
      </c>
      <c r="R676" s="20">
        <v>5.3170000000000002</v>
      </c>
      <c r="S676" s="20">
        <v>20.027000000000001</v>
      </c>
      <c r="T676" s="20">
        <f t="shared" si="31"/>
        <v>106.48355900000001</v>
      </c>
      <c r="X676" s="20" t="s">
        <v>886</v>
      </c>
      <c r="Y676" s="20" t="s">
        <v>36</v>
      </c>
      <c r="Z676" s="20" t="s">
        <v>36</v>
      </c>
    </row>
    <row r="677" spans="1:26">
      <c r="A677" s="20" t="s">
        <v>1527</v>
      </c>
      <c r="B677" s="20" t="s">
        <v>2115</v>
      </c>
      <c r="C677" s="31" t="s">
        <v>2230</v>
      </c>
      <c r="D677" s="49">
        <v>42872</v>
      </c>
      <c r="E677" s="9">
        <v>10.124091999999999</v>
      </c>
      <c r="F677" s="9">
        <v>49.906236</v>
      </c>
      <c r="G677" s="20" t="s">
        <v>2566</v>
      </c>
      <c r="H677" s="20" t="s">
        <v>2567</v>
      </c>
      <c r="I677" s="20" t="s">
        <v>2668</v>
      </c>
      <c r="K677" s="20" t="s">
        <v>2600</v>
      </c>
      <c r="L677" s="20"/>
      <c r="M677" s="172" t="s">
        <v>3578</v>
      </c>
      <c r="N677" s="20" t="s">
        <v>2713</v>
      </c>
      <c r="O677" s="28">
        <v>3.9600000000000003E-2</v>
      </c>
      <c r="P677" s="28">
        <v>3.6903999999999992E-2</v>
      </c>
      <c r="Q677" s="65">
        <f t="shared" si="32"/>
        <v>2.6960000000000109E-3</v>
      </c>
      <c r="R677" s="28">
        <v>1.5960000000000001</v>
      </c>
      <c r="S677" s="28">
        <v>7.8129999999999997</v>
      </c>
      <c r="T677" s="20">
        <f t="shared" si="31"/>
        <v>12.469548</v>
      </c>
      <c r="X677" s="20" t="s">
        <v>886</v>
      </c>
      <c r="Y677" s="20" t="s">
        <v>36</v>
      </c>
      <c r="Z677" s="20" t="s">
        <v>36</v>
      </c>
    </row>
    <row r="678" spans="1:26">
      <c r="A678" s="20" t="s">
        <v>1528</v>
      </c>
      <c r="B678" s="20" t="s">
        <v>2115</v>
      </c>
      <c r="C678" s="31" t="s">
        <v>2230</v>
      </c>
      <c r="D678" s="49">
        <v>42872</v>
      </c>
      <c r="E678" s="9">
        <v>10.124091999999999</v>
      </c>
      <c r="F678" s="9">
        <v>49.906236</v>
      </c>
      <c r="G678" s="20" t="s">
        <v>2566</v>
      </c>
      <c r="H678" s="20" t="s">
        <v>2567</v>
      </c>
      <c r="I678" s="20" t="s">
        <v>2668</v>
      </c>
      <c r="K678" s="20" t="s">
        <v>2600</v>
      </c>
      <c r="L678" s="20"/>
      <c r="M678" s="172" t="s">
        <v>3579</v>
      </c>
      <c r="N678" s="20" t="s">
        <v>2713</v>
      </c>
      <c r="O678" s="28">
        <v>3.9699999999999999E-2</v>
      </c>
      <c r="P678" s="28">
        <v>3.6903999999999992E-2</v>
      </c>
      <c r="Q678" s="65">
        <f t="shared" si="32"/>
        <v>2.7960000000000068E-3</v>
      </c>
      <c r="R678" s="28">
        <v>1.85</v>
      </c>
      <c r="S678" s="28">
        <v>9.9570000000000007</v>
      </c>
      <c r="T678" s="20">
        <f t="shared" si="31"/>
        <v>18.420450000000002</v>
      </c>
      <c r="X678" s="20" t="s">
        <v>886</v>
      </c>
      <c r="Y678" s="20" t="s">
        <v>36</v>
      </c>
      <c r="Z678" s="20" t="s">
        <v>36</v>
      </c>
    </row>
    <row r="679" spans="1:26">
      <c r="A679" s="20" t="s">
        <v>1529</v>
      </c>
      <c r="B679" s="20" t="s">
        <v>2115</v>
      </c>
      <c r="C679" s="31" t="s">
        <v>2230</v>
      </c>
      <c r="D679" s="49">
        <v>42872</v>
      </c>
      <c r="E679" s="9">
        <v>10.124091999999999</v>
      </c>
      <c r="F679" s="9">
        <v>49.906236</v>
      </c>
      <c r="G679" s="20" t="s">
        <v>2566</v>
      </c>
      <c r="H679" s="20" t="s">
        <v>2567</v>
      </c>
      <c r="I679" s="20" t="s">
        <v>2668</v>
      </c>
      <c r="K679" s="20" t="s">
        <v>2600</v>
      </c>
      <c r="L679" s="20"/>
      <c r="M679" s="172" t="s">
        <v>3579</v>
      </c>
      <c r="N679" s="20" t="s">
        <v>2713</v>
      </c>
      <c r="O679" s="28">
        <v>3.8300000000000001E-2</v>
      </c>
      <c r="P679" s="28">
        <v>3.6903999999999992E-2</v>
      </c>
      <c r="Q679" s="65">
        <f t="shared" si="32"/>
        <v>1.3960000000000083E-3</v>
      </c>
      <c r="R679" s="28">
        <v>1.8240000000000001</v>
      </c>
      <c r="S679" s="28">
        <v>9.4339999999999993</v>
      </c>
      <c r="T679" s="20">
        <f t="shared" si="31"/>
        <v>17.207615999999998</v>
      </c>
      <c r="X679" s="20" t="s">
        <v>886</v>
      </c>
      <c r="Y679" s="20" t="s">
        <v>36</v>
      </c>
      <c r="Z679" s="20" t="s">
        <v>36</v>
      </c>
    </row>
    <row r="680" spans="1:26">
      <c r="A680" s="20" t="s">
        <v>1530</v>
      </c>
      <c r="B680" s="20" t="s">
        <v>2115</v>
      </c>
      <c r="C680" s="31" t="s">
        <v>2232</v>
      </c>
      <c r="D680" s="49">
        <v>42902</v>
      </c>
      <c r="E680" s="9">
        <v>10.065003000000001</v>
      </c>
      <c r="F680" s="9">
        <v>49.916336000000001</v>
      </c>
      <c r="G680" s="20" t="s">
        <v>2566</v>
      </c>
      <c r="H680" s="20" t="s">
        <v>2567</v>
      </c>
      <c r="I680" s="20" t="s">
        <v>2668</v>
      </c>
      <c r="K680" s="20" t="s">
        <v>892</v>
      </c>
      <c r="L680" s="20"/>
      <c r="M680" s="172" t="s">
        <v>2793</v>
      </c>
      <c r="N680" s="20" t="s">
        <v>2713</v>
      </c>
      <c r="O680" s="28">
        <v>6.7500000000000004E-2</v>
      </c>
      <c r="P680" s="28">
        <v>3.6903999999999992E-2</v>
      </c>
      <c r="Q680" s="65">
        <f t="shared" si="32"/>
        <v>3.0596000000000012E-2</v>
      </c>
      <c r="R680" s="28">
        <v>4.0259999999999998</v>
      </c>
      <c r="S680" s="28">
        <v>18.954000000000001</v>
      </c>
      <c r="T680" s="20">
        <f t="shared" si="31"/>
        <v>76.308803999999995</v>
      </c>
      <c r="X680" s="20" t="s">
        <v>886</v>
      </c>
      <c r="Y680" s="20" t="s">
        <v>36</v>
      </c>
      <c r="Z680" s="20" t="s">
        <v>36</v>
      </c>
    </row>
    <row r="681" spans="1:26">
      <c r="A681" s="20" t="s">
        <v>1531</v>
      </c>
      <c r="B681" s="20" t="s">
        <v>2115</v>
      </c>
      <c r="C681" s="31" t="s">
        <v>2236</v>
      </c>
      <c r="D681" s="49">
        <v>42872</v>
      </c>
      <c r="E681" s="9">
        <v>10.022767</v>
      </c>
      <c r="F681" s="9">
        <v>49.938633000000003</v>
      </c>
      <c r="G681" s="20" t="s">
        <v>2566</v>
      </c>
      <c r="H681" s="20" t="s">
        <v>2567</v>
      </c>
      <c r="I681" s="20" t="s">
        <v>2668</v>
      </c>
      <c r="K681" s="20" t="s">
        <v>892</v>
      </c>
      <c r="L681" s="20"/>
      <c r="M681" s="172" t="s">
        <v>3408</v>
      </c>
      <c r="N681" s="20" t="s">
        <v>2713</v>
      </c>
      <c r="O681" s="28">
        <v>4.9700000000000001E-2</v>
      </c>
      <c r="P681" s="28">
        <v>3.6903999999999992E-2</v>
      </c>
      <c r="Q681" s="65">
        <f t="shared" si="32"/>
        <v>1.2796000000000009E-2</v>
      </c>
      <c r="R681" s="28">
        <v>3.0169999999999999</v>
      </c>
      <c r="S681" s="28">
        <v>15.25</v>
      </c>
      <c r="T681" s="20">
        <f t="shared" si="31"/>
        <v>46.009250000000002</v>
      </c>
      <c r="X681" s="20" t="s">
        <v>886</v>
      </c>
      <c r="Y681" s="20" t="s">
        <v>36</v>
      </c>
      <c r="Z681" s="20" t="s">
        <v>36</v>
      </c>
    </row>
    <row r="682" spans="1:26">
      <c r="A682" s="20" t="s">
        <v>1532</v>
      </c>
      <c r="B682" s="20" t="s">
        <v>2115</v>
      </c>
      <c r="C682" s="31" t="s">
        <v>2233</v>
      </c>
      <c r="D682" s="49">
        <v>42872</v>
      </c>
      <c r="E682" s="9">
        <v>10.086428</v>
      </c>
      <c r="F682" s="9">
        <v>49.909314000000002</v>
      </c>
      <c r="G682" s="20" t="s">
        <v>2566</v>
      </c>
      <c r="H682" s="20" t="s">
        <v>2567</v>
      </c>
      <c r="I682" s="20" t="s">
        <v>2668</v>
      </c>
      <c r="K682" s="20" t="s">
        <v>2600</v>
      </c>
      <c r="L682" s="20"/>
      <c r="M682" s="172" t="s">
        <v>3588</v>
      </c>
      <c r="N682" s="20" t="s">
        <v>2713</v>
      </c>
      <c r="O682" s="28">
        <v>4.6399999999999997E-2</v>
      </c>
      <c r="P682" s="28">
        <v>3.6903999999999992E-2</v>
      </c>
      <c r="Q682" s="65">
        <f t="shared" si="32"/>
        <v>9.4960000000000044E-3</v>
      </c>
      <c r="R682" s="28">
        <v>2.6629999999999998</v>
      </c>
      <c r="S682" s="28">
        <v>13.993</v>
      </c>
      <c r="T682" s="20">
        <f t="shared" si="31"/>
        <v>37.263359000000001</v>
      </c>
      <c r="X682" s="20" t="s">
        <v>886</v>
      </c>
      <c r="Y682" s="20" t="s">
        <v>36</v>
      </c>
      <c r="Z682" s="20" t="s">
        <v>36</v>
      </c>
    </row>
    <row r="683" spans="1:26">
      <c r="A683" s="20" t="s">
        <v>1533</v>
      </c>
      <c r="B683" s="20" t="s">
        <v>2115</v>
      </c>
      <c r="C683" s="31" t="s">
        <v>2244</v>
      </c>
      <c r="D683" s="49">
        <v>42872</v>
      </c>
      <c r="E683" s="9">
        <v>10.017931000000001</v>
      </c>
      <c r="F683" s="9">
        <v>49.935696999999998</v>
      </c>
      <c r="G683" s="20" t="s">
        <v>2566</v>
      </c>
      <c r="H683" s="20" t="s">
        <v>2567</v>
      </c>
      <c r="I683" s="20" t="s">
        <v>2668</v>
      </c>
      <c r="K683" s="20" t="s">
        <v>2600</v>
      </c>
      <c r="L683" s="20"/>
      <c r="M683" s="172" t="s">
        <v>3583</v>
      </c>
      <c r="N683" s="20" t="s">
        <v>2713</v>
      </c>
      <c r="O683" s="28">
        <v>4.4999999999999998E-2</v>
      </c>
      <c r="P683" s="28">
        <v>3.6903999999999992E-2</v>
      </c>
      <c r="Q683" s="65">
        <f t="shared" si="32"/>
        <v>8.096000000000006E-3</v>
      </c>
      <c r="R683" s="28">
        <v>2.4580000000000002</v>
      </c>
      <c r="S683" s="28">
        <v>13.435</v>
      </c>
      <c r="T683" s="20">
        <f t="shared" si="31"/>
        <v>33.023230000000005</v>
      </c>
      <c r="X683" s="20" t="s">
        <v>886</v>
      </c>
      <c r="Y683" s="20" t="s">
        <v>36</v>
      </c>
      <c r="Z683" s="20" t="s">
        <v>36</v>
      </c>
    </row>
    <row r="684" spans="1:26">
      <c r="A684" s="20" t="s">
        <v>1534</v>
      </c>
      <c r="B684" s="20" t="s">
        <v>2115</v>
      </c>
      <c r="C684" s="31" t="s">
        <v>2233</v>
      </c>
      <c r="D684" s="49">
        <v>42888</v>
      </c>
      <c r="E684" s="9">
        <v>10.086428</v>
      </c>
      <c r="F684" s="9">
        <v>49.909314000000002</v>
      </c>
      <c r="G684" s="20" t="s">
        <v>2566</v>
      </c>
      <c r="H684" s="20" t="s">
        <v>2567</v>
      </c>
      <c r="I684" s="20" t="s">
        <v>2668</v>
      </c>
      <c r="K684" s="20" t="s">
        <v>892</v>
      </c>
      <c r="L684" s="20"/>
      <c r="M684" s="172" t="s">
        <v>3408</v>
      </c>
      <c r="N684" s="20" t="s">
        <v>2713</v>
      </c>
      <c r="O684" s="28">
        <v>4.2200000000000001E-2</v>
      </c>
      <c r="P684" s="28">
        <v>3.6903999999999992E-2</v>
      </c>
      <c r="Q684" s="65">
        <f t="shared" si="32"/>
        <v>5.296000000000009E-3</v>
      </c>
      <c r="R684" s="28">
        <v>2.702</v>
      </c>
      <c r="S684" s="28">
        <v>12.401</v>
      </c>
      <c r="T684" s="20">
        <f t="shared" si="31"/>
        <v>33.507502000000002</v>
      </c>
      <c r="X684" s="20" t="s">
        <v>886</v>
      </c>
      <c r="Y684" s="20" t="s">
        <v>36</v>
      </c>
      <c r="Z684" s="20" t="s">
        <v>36</v>
      </c>
    </row>
    <row r="685" spans="1:26">
      <c r="A685" s="20" t="s">
        <v>1535</v>
      </c>
      <c r="B685" s="20" t="s">
        <v>2115</v>
      </c>
      <c r="C685" s="31" t="s">
        <v>2227</v>
      </c>
      <c r="D685" s="49">
        <v>42872</v>
      </c>
      <c r="E685" s="9">
        <v>10.040881000000001</v>
      </c>
      <c r="F685" s="9">
        <v>49.937356000000001</v>
      </c>
      <c r="G685" s="20" t="s">
        <v>2566</v>
      </c>
      <c r="H685" s="20" t="s">
        <v>2567</v>
      </c>
      <c r="I685" s="20" t="s">
        <v>2668</v>
      </c>
      <c r="K685" s="20" t="s">
        <v>2600</v>
      </c>
      <c r="L685" s="20"/>
      <c r="M685" s="172" t="s">
        <v>3583</v>
      </c>
      <c r="N685" s="20" t="s">
        <v>2713</v>
      </c>
      <c r="O685" s="28">
        <v>4.4499999999999998E-2</v>
      </c>
      <c r="P685" s="28">
        <v>3.6903999999999992E-2</v>
      </c>
      <c r="Q685" s="65">
        <f t="shared" si="32"/>
        <v>7.5960000000000055E-3</v>
      </c>
      <c r="R685" s="28">
        <v>2.6259999999999999</v>
      </c>
      <c r="S685" s="28">
        <v>13.494999999999999</v>
      </c>
      <c r="T685" s="20">
        <f t="shared" si="31"/>
        <v>35.437869999999997</v>
      </c>
      <c r="X685" s="20" t="s">
        <v>886</v>
      </c>
      <c r="Y685" s="20" t="s">
        <v>36</v>
      </c>
      <c r="Z685" s="20" t="s">
        <v>36</v>
      </c>
    </row>
    <row r="686" spans="1:26">
      <c r="A686" s="20" t="s">
        <v>1536</v>
      </c>
      <c r="B686" s="20" t="s">
        <v>2115</v>
      </c>
      <c r="C686" s="31" t="s">
        <v>2230</v>
      </c>
      <c r="D686" s="49">
        <v>42902</v>
      </c>
      <c r="E686" s="9">
        <v>10.124091999999999</v>
      </c>
      <c r="F686" s="9">
        <v>49.906236</v>
      </c>
      <c r="G686" s="20" t="s">
        <v>2566</v>
      </c>
      <c r="H686" s="20" t="s">
        <v>2567</v>
      </c>
      <c r="I686" s="20" t="s">
        <v>2668</v>
      </c>
      <c r="K686" s="20" t="s">
        <v>892</v>
      </c>
      <c r="L686" s="20"/>
      <c r="M686" s="172" t="s">
        <v>3408</v>
      </c>
      <c r="N686" s="20" t="s">
        <v>2713</v>
      </c>
      <c r="O686" s="28">
        <v>4.9599999999999998E-2</v>
      </c>
      <c r="P686" s="28">
        <v>3.6903999999999992E-2</v>
      </c>
      <c r="Q686" s="65">
        <f t="shared" si="32"/>
        <v>1.2696000000000006E-2</v>
      </c>
      <c r="R686" s="28">
        <v>2.88</v>
      </c>
      <c r="S686" s="28">
        <v>14.137</v>
      </c>
      <c r="T686" s="20">
        <f t="shared" si="31"/>
        <v>40.714559999999999</v>
      </c>
      <c r="X686" s="20" t="s">
        <v>886</v>
      </c>
      <c r="Y686" s="20" t="s">
        <v>36</v>
      </c>
      <c r="Z686" s="20" t="s">
        <v>36</v>
      </c>
    </row>
    <row r="687" spans="1:26">
      <c r="A687" s="20" t="s">
        <v>1537</v>
      </c>
      <c r="B687" s="20" t="s">
        <v>2115</v>
      </c>
      <c r="C687" s="31" t="s">
        <v>2244</v>
      </c>
      <c r="D687" s="49">
        <v>42888</v>
      </c>
      <c r="E687" s="9">
        <v>10.017931000000001</v>
      </c>
      <c r="F687" s="9">
        <v>49.935696999999998</v>
      </c>
      <c r="G687" s="20" t="s">
        <v>2566</v>
      </c>
      <c r="H687" s="20" t="s">
        <v>2567</v>
      </c>
      <c r="I687" s="20" t="s">
        <v>2668</v>
      </c>
      <c r="K687" s="20" t="s">
        <v>2600</v>
      </c>
      <c r="L687" s="20"/>
      <c r="M687" s="172" t="s">
        <v>3605</v>
      </c>
      <c r="N687" s="20" t="s">
        <v>2713</v>
      </c>
      <c r="O687" s="28">
        <v>5.8700000000000002E-2</v>
      </c>
      <c r="P687" s="28">
        <v>3.6903999999999992E-2</v>
      </c>
      <c r="Q687" s="65">
        <f t="shared" si="32"/>
        <v>2.179600000000001E-2</v>
      </c>
      <c r="R687" s="28">
        <v>3.5649999999999999</v>
      </c>
      <c r="S687" s="28">
        <v>16.401</v>
      </c>
      <c r="T687" s="20">
        <f t="shared" si="31"/>
        <v>58.469564999999996</v>
      </c>
      <c r="X687" s="20" t="s">
        <v>886</v>
      </c>
      <c r="Y687" s="20" t="s">
        <v>36</v>
      </c>
      <c r="Z687" s="20" t="s">
        <v>36</v>
      </c>
    </row>
    <row r="688" spans="1:26">
      <c r="A688" s="20" t="s">
        <v>1538</v>
      </c>
      <c r="B688" s="20" t="s">
        <v>2115</v>
      </c>
      <c r="C688" s="60" t="s">
        <v>2240</v>
      </c>
      <c r="D688" s="49">
        <v>42872</v>
      </c>
      <c r="E688" s="9">
        <v>10.094319</v>
      </c>
      <c r="F688" s="9">
        <v>49.925831000000002</v>
      </c>
      <c r="G688" s="20" t="s">
        <v>2566</v>
      </c>
      <c r="H688" s="20" t="s">
        <v>2567</v>
      </c>
      <c r="I688" s="20" t="s">
        <v>2668</v>
      </c>
      <c r="K688" s="20" t="s">
        <v>892</v>
      </c>
      <c r="L688" s="20"/>
      <c r="M688" s="172" t="s">
        <v>3408</v>
      </c>
      <c r="N688" s="20" t="s">
        <v>2713</v>
      </c>
      <c r="O688" s="28">
        <v>4.7699999999999999E-2</v>
      </c>
      <c r="P688" s="28">
        <v>3.6903999999999992E-2</v>
      </c>
      <c r="Q688" s="65">
        <f t="shared" si="32"/>
        <v>1.0796000000000007E-2</v>
      </c>
      <c r="R688" s="28">
        <v>2.972</v>
      </c>
      <c r="S688" s="28">
        <v>14.616</v>
      </c>
      <c r="T688" s="20">
        <f t="shared" si="31"/>
        <v>43.438752000000001</v>
      </c>
      <c r="X688" s="20" t="s">
        <v>886</v>
      </c>
      <c r="Y688" s="20" t="s">
        <v>36</v>
      </c>
      <c r="Z688" s="20" t="s">
        <v>36</v>
      </c>
    </row>
    <row r="689" spans="1:26">
      <c r="A689" s="20" t="s">
        <v>1539</v>
      </c>
      <c r="B689" s="20" t="s">
        <v>2115</v>
      </c>
      <c r="C689" s="31" t="s">
        <v>2227</v>
      </c>
      <c r="D689" s="49">
        <v>42856</v>
      </c>
      <c r="E689" s="9">
        <v>10.040881000000001</v>
      </c>
      <c r="F689" s="9">
        <v>49.937356000000001</v>
      </c>
      <c r="G689" t="s">
        <v>2569</v>
      </c>
      <c r="H689" t="s">
        <v>2570</v>
      </c>
      <c r="I689" t="s">
        <v>2802</v>
      </c>
      <c r="K689" s="20" t="s">
        <v>3047</v>
      </c>
      <c r="L689" s="20"/>
      <c r="M689" s="172" t="s">
        <v>2381</v>
      </c>
      <c r="N689" s="20" t="s">
        <v>2713</v>
      </c>
      <c r="O689" s="28">
        <v>5.9900000000000002E-2</v>
      </c>
      <c r="P689" s="28">
        <v>3.6903999999999992E-2</v>
      </c>
      <c r="Q689" s="65">
        <f t="shared" si="32"/>
        <v>2.2996000000000009E-2</v>
      </c>
      <c r="R689" s="28">
        <v>3.9260000000000002</v>
      </c>
      <c r="S689" s="28">
        <v>16.32</v>
      </c>
      <c r="T689" s="20">
        <f t="shared" si="31"/>
        <v>64.072320000000005</v>
      </c>
      <c r="X689" s="20" t="s">
        <v>886</v>
      </c>
      <c r="Y689" s="20" t="s">
        <v>36</v>
      </c>
      <c r="Z689" s="20" t="s">
        <v>36</v>
      </c>
    </row>
    <row r="690" spans="1:26">
      <c r="A690" s="20" t="s">
        <v>1540</v>
      </c>
      <c r="B690" s="20" t="s">
        <v>2115</v>
      </c>
      <c r="C690" s="31" t="s">
        <v>2228</v>
      </c>
      <c r="D690" s="49">
        <v>42902</v>
      </c>
      <c r="E690" s="9">
        <v>10.050008</v>
      </c>
      <c r="F690" s="9">
        <v>49.941994000000001</v>
      </c>
      <c r="G690" t="s">
        <v>2569</v>
      </c>
      <c r="H690" t="s">
        <v>2570</v>
      </c>
      <c r="I690" t="s">
        <v>2802</v>
      </c>
      <c r="K690" s="20" t="s">
        <v>3047</v>
      </c>
      <c r="L690" s="20"/>
      <c r="M690" s="172" t="s">
        <v>2803</v>
      </c>
      <c r="N690" s="20" t="s">
        <v>2713</v>
      </c>
      <c r="O690" s="28">
        <v>6.0499999999999998E-2</v>
      </c>
      <c r="P690" s="28">
        <v>3.6903999999999992E-2</v>
      </c>
      <c r="Q690" s="65">
        <f t="shared" si="32"/>
        <v>2.3596000000000006E-2</v>
      </c>
      <c r="R690" s="28">
        <v>4.0869999999999997</v>
      </c>
      <c r="S690" s="28">
        <v>19.052</v>
      </c>
      <c r="T690" s="20">
        <f t="shared" si="31"/>
        <v>77.865523999999994</v>
      </c>
      <c r="X690" s="20" t="s">
        <v>886</v>
      </c>
      <c r="Y690" s="20" t="s">
        <v>36</v>
      </c>
      <c r="Z690" s="20" t="s">
        <v>36</v>
      </c>
    </row>
    <row r="691" spans="1:26">
      <c r="A691" s="20" t="s">
        <v>1337</v>
      </c>
      <c r="B691" s="20" t="s">
        <v>2115</v>
      </c>
      <c r="C691" s="31" t="s">
        <v>2229</v>
      </c>
      <c r="D691" s="49">
        <v>42856</v>
      </c>
      <c r="E691" s="9">
        <v>10.057994000000001</v>
      </c>
      <c r="F691" s="9">
        <v>49.937230999999997</v>
      </c>
      <c r="G691" t="s">
        <v>2625</v>
      </c>
      <c r="H691" t="s">
        <v>2806</v>
      </c>
      <c r="I691" t="s">
        <v>2807</v>
      </c>
      <c r="K691" s="20" t="s">
        <v>2602</v>
      </c>
      <c r="L691" s="20"/>
      <c r="M691" s="172" t="s">
        <v>3597</v>
      </c>
      <c r="N691" s="20" t="s">
        <v>2713</v>
      </c>
      <c r="O691" s="28">
        <v>5.5500000000000001E-2</v>
      </c>
      <c r="P691" s="28">
        <v>3.6903999999999992E-2</v>
      </c>
      <c r="Q691" s="65">
        <f t="shared" si="32"/>
        <v>1.8596000000000008E-2</v>
      </c>
      <c r="R691" s="28">
        <v>3.8540000000000001</v>
      </c>
      <c r="S691" s="28">
        <f>8.81+7.397</f>
        <v>16.207000000000001</v>
      </c>
      <c r="T691" s="20">
        <f t="shared" si="31"/>
        <v>62.461778000000002</v>
      </c>
      <c r="X691" s="20" t="s">
        <v>886</v>
      </c>
      <c r="Y691" s="20" t="s">
        <v>36</v>
      </c>
      <c r="Z691" s="20" t="s">
        <v>36</v>
      </c>
    </row>
    <row r="692" spans="1:26">
      <c r="A692" s="20" t="s">
        <v>1336</v>
      </c>
      <c r="B692" s="20" t="s">
        <v>2115</v>
      </c>
      <c r="C692" s="31" t="s">
        <v>2234</v>
      </c>
      <c r="D692" s="49">
        <v>42856</v>
      </c>
      <c r="E692" s="9">
        <v>10.053630999999999</v>
      </c>
      <c r="F692" s="9">
        <v>49.900486000000001</v>
      </c>
      <c r="G692" t="s">
        <v>2625</v>
      </c>
      <c r="H692" t="s">
        <v>2806</v>
      </c>
      <c r="I692" t="s">
        <v>2807</v>
      </c>
      <c r="K692" s="20" t="s">
        <v>2602</v>
      </c>
      <c r="L692" s="20"/>
      <c r="M692" s="172" t="s">
        <v>3594</v>
      </c>
      <c r="N692" s="20" t="s">
        <v>2713</v>
      </c>
      <c r="O692" s="28">
        <v>6.4500000000000002E-2</v>
      </c>
      <c r="P692" s="28">
        <v>3.6903999999999992E-2</v>
      </c>
      <c r="Q692" s="65">
        <f t="shared" si="32"/>
        <v>2.7596000000000009E-2</v>
      </c>
      <c r="R692" s="28">
        <v>4.2709999999999999</v>
      </c>
      <c r="S692" s="28">
        <f>9.665+8.554</f>
        <v>18.219000000000001</v>
      </c>
      <c r="T692" s="20">
        <f t="shared" si="31"/>
        <v>77.813349000000002</v>
      </c>
      <c r="X692" s="20" t="s">
        <v>886</v>
      </c>
      <c r="Y692" s="20" t="s">
        <v>36</v>
      </c>
      <c r="Z692" s="20" t="s">
        <v>36</v>
      </c>
    </row>
    <row r="693" spans="1:26">
      <c r="A693" s="20" t="s">
        <v>1563</v>
      </c>
      <c r="B693" s="20" t="s">
        <v>2115</v>
      </c>
      <c r="C693" s="31" t="s">
        <v>2230</v>
      </c>
      <c r="D693" s="49">
        <v>42902</v>
      </c>
      <c r="E693" s="9">
        <v>10.124091999999999</v>
      </c>
      <c r="F693" s="9">
        <v>49.906236</v>
      </c>
      <c r="G693" t="s">
        <v>2569</v>
      </c>
      <c r="H693" t="s">
        <v>2570</v>
      </c>
      <c r="I693" t="s">
        <v>2802</v>
      </c>
      <c r="K693" s="20" t="s">
        <v>3047</v>
      </c>
      <c r="L693" s="20"/>
      <c r="M693" s="172" t="s">
        <v>3610</v>
      </c>
      <c r="N693" s="20" t="s">
        <v>2713</v>
      </c>
      <c r="O693" s="28">
        <v>4.87E-2</v>
      </c>
      <c r="P693" s="28">
        <v>3.6903999999999992E-2</v>
      </c>
      <c r="Q693" s="65">
        <f t="shared" si="32"/>
        <v>1.1796000000000008E-2</v>
      </c>
      <c r="R693" s="28">
        <v>3.2679999999999998</v>
      </c>
      <c r="S693" s="28">
        <v>11.541</v>
      </c>
      <c r="T693" s="20">
        <f t="shared" si="31"/>
        <v>37.715987999999996</v>
      </c>
      <c r="X693" s="20" t="s">
        <v>886</v>
      </c>
      <c r="Y693" s="20" t="s">
        <v>36</v>
      </c>
      <c r="Z693" s="20" t="s">
        <v>36</v>
      </c>
    </row>
    <row r="694" spans="1:26">
      <c r="A694" s="20" t="s">
        <v>1564</v>
      </c>
      <c r="B694" s="20" t="s">
        <v>2115</v>
      </c>
      <c r="C694" s="31" t="s">
        <v>2228</v>
      </c>
      <c r="D694" s="49">
        <v>42902</v>
      </c>
      <c r="E694" s="9">
        <v>10.050008</v>
      </c>
      <c r="F694" s="9">
        <v>49.941994000000001</v>
      </c>
      <c r="G694" t="s">
        <v>2569</v>
      </c>
      <c r="H694" t="s">
        <v>2570</v>
      </c>
      <c r="I694" t="s">
        <v>2802</v>
      </c>
      <c r="K694" s="20" t="s">
        <v>3047</v>
      </c>
      <c r="L694" s="20"/>
      <c r="M694" s="172" t="s">
        <v>3600</v>
      </c>
      <c r="N694" s="20" t="s">
        <v>2712</v>
      </c>
      <c r="O694" s="28">
        <v>4.1700000000000001E-2</v>
      </c>
      <c r="P694" s="28">
        <v>3.6903999999999992E-2</v>
      </c>
      <c r="Q694" s="65">
        <f t="shared" si="32"/>
        <v>4.7960000000000086E-3</v>
      </c>
      <c r="R694" s="28">
        <v>2.0099999999999998</v>
      </c>
      <c r="S694" s="28">
        <v>8.3539999999999992</v>
      </c>
      <c r="T694" s="20">
        <f t="shared" si="31"/>
        <v>16.791539999999998</v>
      </c>
      <c r="X694" s="20" t="s">
        <v>886</v>
      </c>
      <c r="Y694" s="20" t="s">
        <v>36</v>
      </c>
      <c r="Z694" s="20" t="s">
        <v>36</v>
      </c>
    </row>
    <row r="695" spans="1:26">
      <c r="A695" s="20" t="s">
        <v>1565</v>
      </c>
      <c r="B695" s="20" t="s">
        <v>2115</v>
      </c>
      <c r="C695" s="31" t="s">
        <v>2227</v>
      </c>
      <c r="D695" s="49">
        <v>42902</v>
      </c>
      <c r="E695" s="9">
        <v>10.040881000000001</v>
      </c>
      <c r="F695" s="9">
        <v>49.937356000000001</v>
      </c>
      <c r="G695" t="s">
        <v>2569</v>
      </c>
      <c r="H695" t="s">
        <v>2570</v>
      </c>
      <c r="I695" t="s">
        <v>2802</v>
      </c>
      <c r="K695" s="20" t="s">
        <v>3047</v>
      </c>
      <c r="L695" s="20"/>
      <c r="M695" s="172" t="s">
        <v>3615</v>
      </c>
      <c r="N695" s="20" t="s">
        <v>2712</v>
      </c>
      <c r="O695" s="28">
        <v>4.7899999999999998E-2</v>
      </c>
      <c r="P695" s="28">
        <v>3.6903999999999992E-2</v>
      </c>
      <c r="Q695" s="65">
        <f t="shared" si="32"/>
        <v>1.0996000000000006E-2</v>
      </c>
      <c r="R695" s="28">
        <v>3.1379999999999999</v>
      </c>
      <c r="S695" s="28">
        <v>12.897</v>
      </c>
      <c r="T695" s="20">
        <f t="shared" si="31"/>
        <v>40.470785999999997</v>
      </c>
      <c r="X695" s="20" t="s">
        <v>886</v>
      </c>
      <c r="Y695" s="20" t="s">
        <v>36</v>
      </c>
      <c r="Z695" s="20" t="s">
        <v>36</v>
      </c>
    </row>
    <row r="696" spans="1:26">
      <c r="A696" s="20" t="s">
        <v>1335</v>
      </c>
      <c r="B696" s="20" t="s">
        <v>2115</v>
      </c>
      <c r="C696" s="31" t="s">
        <v>2234</v>
      </c>
      <c r="D696" s="49">
        <v>42856</v>
      </c>
      <c r="E696" s="9">
        <v>10.053630999999999</v>
      </c>
      <c r="F696" s="9">
        <v>49.900486000000001</v>
      </c>
      <c r="G696" t="s">
        <v>2625</v>
      </c>
      <c r="H696" t="s">
        <v>2806</v>
      </c>
      <c r="I696" t="s">
        <v>2807</v>
      </c>
      <c r="K696" s="20" t="s">
        <v>2602</v>
      </c>
      <c r="L696" s="20"/>
      <c r="M696" s="172" t="s">
        <v>2823</v>
      </c>
      <c r="N696" s="20" t="s">
        <v>2713</v>
      </c>
      <c r="O696" s="28">
        <v>6.08E-2</v>
      </c>
      <c r="P696" s="28">
        <v>3.6903999999999992E-2</v>
      </c>
      <c r="Q696" s="65">
        <f t="shared" si="32"/>
        <v>2.3896000000000008E-2</v>
      </c>
      <c r="R696" s="28">
        <v>3.7090000000000001</v>
      </c>
      <c r="S696" s="28">
        <v>17.713999999999999</v>
      </c>
      <c r="T696" s="20">
        <f t="shared" ref="T696:T759" si="33">R696*S696</f>
        <v>65.701225999999991</v>
      </c>
      <c r="X696" s="20" t="s">
        <v>886</v>
      </c>
      <c r="Y696" s="20" t="s">
        <v>36</v>
      </c>
      <c r="Z696" s="20" t="s">
        <v>36</v>
      </c>
    </row>
    <row r="697" spans="1:26">
      <c r="A697" s="20" t="s">
        <v>1629</v>
      </c>
      <c r="B697" s="20" t="s">
        <v>2115</v>
      </c>
      <c r="C697" s="31" t="s">
        <v>2233</v>
      </c>
      <c r="D697" s="49">
        <v>42856</v>
      </c>
      <c r="E697" s="9">
        <v>10.086428</v>
      </c>
      <c r="F697" s="9">
        <v>49.909314000000002</v>
      </c>
      <c r="G697" s="20" t="s">
        <v>2566</v>
      </c>
      <c r="H697" s="20" t="s">
        <v>2567</v>
      </c>
      <c r="I697" s="20" t="s">
        <v>2668</v>
      </c>
      <c r="K697" s="20" t="s">
        <v>892</v>
      </c>
      <c r="L697" s="20"/>
      <c r="M697" s="172" t="s">
        <v>3583</v>
      </c>
      <c r="N697" s="20" t="s">
        <v>2713</v>
      </c>
      <c r="O697" s="28">
        <v>4.6699999999999998E-2</v>
      </c>
      <c r="P697" s="28">
        <v>3.6903999999999992E-2</v>
      </c>
      <c r="Q697" s="65">
        <f t="shared" si="32"/>
        <v>9.7960000000000061E-3</v>
      </c>
      <c r="R697" s="28">
        <v>2.4900000000000002</v>
      </c>
      <c r="S697" s="28">
        <v>13.474</v>
      </c>
      <c r="T697" s="20">
        <f t="shared" si="33"/>
        <v>33.550260000000002</v>
      </c>
      <c r="X697" s="20" t="s">
        <v>886</v>
      </c>
      <c r="Y697" s="20" t="s">
        <v>36</v>
      </c>
      <c r="Z697" s="20" t="s">
        <v>36</v>
      </c>
    </row>
    <row r="698" spans="1:26">
      <c r="A698" s="20" t="s">
        <v>1566</v>
      </c>
      <c r="B698" s="20" t="s">
        <v>2115</v>
      </c>
      <c r="C698" s="31" t="s">
        <v>2237</v>
      </c>
      <c r="D698" s="49">
        <v>42902</v>
      </c>
      <c r="E698" s="9">
        <v>10.045693999999999</v>
      </c>
      <c r="F698" s="9">
        <v>49.896189</v>
      </c>
      <c r="G698" s="20" t="s">
        <v>2572</v>
      </c>
      <c r="H698" s="20" t="s">
        <v>2573</v>
      </c>
      <c r="K698" s="20" t="s">
        <v>2606</v>
      </c>
      <c r="L698" s="20"/>
      <c r="M698" s="172" t="s">
        <v>3609</v>
      </c>
      <c r="N698" s="20" t="s">
        <v>2712</v>
      </c>
      <c r="O698" s="28">
        <v>3.9699999999999999E-2</v>
      </c>
      <c r="P698" s="28">
        <v>3.6903999999999992E-2</v>
      </c>
      <c r="Q698" s="65">
        <f t="shared" si="32"/>
        <v>2.7960000000000068E-3</v>
      </c>
      <c r="R698" s="20">
        <v>1.681</v>
      </c>
      <c r="S698" s="20">
        <v>8.32</v>
      </c>
      <c r="T698" s="20">
        <f t="shared" si="33"/>
        <v>13.98592</v>
      </c>
      <c r="X698" s="20" t="s">
        <v>886</v>
      </c>
      <c r="Y698" s="20" t="s">
        <v>36</v>
      </c>
      <c r="Z698" s="20" t="s">
        <v>36</v>
      </c>
    </row>
    <row r="699" spans="1:26">
      <c r="A699" s="20" t="s">
        <v>1567</v>
      </c>
      <c r="B699" s="20" t="s">
        <v>2115</v>
      </c>
      <c r="C699" s="31" t="s">
        <v>2235</v>
      </c>
      <c r="D699" s="49">
        <v>42902</v>
      </c>
      <c r="E699" s="9">
        <v>10.057294000000001</v>
      </c>
      <c r="F699" s="9">
        <v>49.902307999999998</v>
      </c>
      <c r="G699" s="20" t="s">
        <v>2572</v>
      </c>
      <c r="H699" s="20" t="s">
        <v>2573</v>
      </c>
      <c r="K699" s="20" t="s">
        <v>2606</v>
      </c>
      <c r="L699" s="20"/>
      <c r="M699" s="172" t="s">
        <v>2590</v>
      </c>
      <c r="N699" s="20" t="s">
        <v>2713</v>
      </c>
      <c r="O699" s="28">
        <v>4.0099999999999997E-2</v>
      </c>
      <c r="P699" s="28">
        <v>3.6903999999999992E-2</v>
      </c>
      <c r="Q699" s="65">
        <f t="shared" si="32"/>
        <v>3.1960000000000044E-3</v>
      </c>
      <c r="R699" s="28">
        <v>1.6910000000000001</v>
      </c>
      <c r="S699" s="28">
        <v>9.1419999999999995</v>
      </c>
      <c r="T699" s="20">
        <f t="shared" si="33"/>
        <v>15.459121999999999</v>
      </c>
      <c r="X699" s="20" t="s">
        <v>886</v>
      </c>
      <c r="Y699" s="20" t="s">
        <v>36</v>
      </c>
      <c r="Z699" s="20" t="s">
        <v>36</v>
      </c>
    </row>
    <row r="700" spans="1:26">
      <c r="A700" s="20" t="s">
        <v>1568</v>
      </c>
      <c r="B700" s="20" t="s">
        <v>2115</v>
      </c>
      <c r="C700" s="31" t="s">
        <v>2235</v>
      </c>
      <c r="D700" s="49">
        <v>42902</v>
      </c>
      <c r="E700" s="9">
        <v>10.057294000000001</v>
      </c>
      <c r="F700" s="9">
        <v>49.902307999999998</v>
      </c>
      <c r="G700" s="20" t="s">
        <v>2572</v>
      </c>
      <c r="H700" s="20" t="s">
        <v>2573</v>
      </c>
      <c r="K700" s="20" t="s">
        <v>2606</v>
      </c>
      <c r="L700" s="20"/>
      <c r="M700" s="172" t="s">
        <v>2590</v>
      </c>
      <c r="N700" s="20" t="s">
        <v>2713</v>
      </c>
      <c r="O700" s="28">
        <v>4.0500000000000001E-2</v>
      </c>
      <c r="P700" s="28">
        <v>3.6903999999999992E-2</v>
      </c>
      <c r="Q700" s="65">
        <f t="shared" si="32"/>
        <v>3.5960000000000089E-3</v>
      </c>
      <c r="R700" s="28">
        <v>1.887</v>
      </c>
      <c r="S700" s="28">
        <v>8.99</v>
      </c>
      <c r="T700" s="20">
        <f t="shared" si="33"/>
        <v>16.964130000000001</v>
      </c>
      <c r="X700" s="20" t="s">
        <v>886</v>
      </c>
      <c r="Y700" s="20" t="s">
        <v>36</v>
      </c>
      <c r="Z700" s="20" t="s">
        <v>36</v>
      </c>
    </row>
    <row r="701" spans="1:26">
      <c r="A701" s="20" t="s">
        <v>1569</v>
      </c>
      <c r="B701" s="20" t="s">
        <v>2115</v>
      </c>
      <c r="C701" s="31" t="s">
        <v>2230</v>
      </c>
      <c r="D701" s="49">
        <v>42902</v>
      </c>
      <c r="E701" s="9">
        <v>10.124091999999999</v>
      </c>
      <c r="F701" s="9">
        <v>49.906236</v>
      </c>
      <c r="G701" t="s">
        <v>1687</v>
      </c>
      <c r="H701" t="s">
        <v>2828</v>
      </c>
      <c r="I701" t="s">
        <v>2829</v>
      </c>
      <c r="K701" s="20" t="s">
        <v>3044</v>
      </c>
      <c r="L701" s="20"/>
      <c r="M701" s="172" t="s">
        <v>3616</v>
      </c>
      <c r="N701" s="20" t="s">
        <v>2713</v>
      </c>
      <c r="O701" s="28">
        <v>4.65E-2</v>
      </c>
      <c r="P701" s="28">
        <v>3.6903999999999992E-2</v>
      </c>
      <c r="Q701" s="65">
        <f t="shared" si="32"/>
        <v>9.5960000000000073E-3</v>
      </c>
      <c r="R701" s="20">
        <v>2.6030000000000002</v>
      </c>
      <c r="S701" s="20">
        <v>11.779</v>
      </c>
      <c r="T701" s="20">
        <f t="shared" si="33"/>
        <v>30.660737000000001</v>
      </c>
      <c r="X701" s="20" t="s">
        <v>886</v>
      </c>
      <c r="Y701" s="20" t="s">
        <v>36</v>
      </c>
      <c r="Z701" s="20" t="s">
        <v>36</v>
      </c>
    </row>
    <row r="702" spans="1:26">
      <c r="A702" s="20" t="s">
        <v>1630</v>
      </c>
      <c r="B702" s="20" t="s">
        <v>2115</v>
      </c>
      <c r="C702" s="31" t="s">
        <v>2230</v>
      </c>
      <c r="D702" s="49">
        <v>42872</v>
      </c>
      <c r="E702" s="9">
        <v>10.124091999999999</v>
      </c>
      <c r="F702" s="9">
        <v>49.906236</v>
      </c>
      <c r="G702" s="20" t="s">
        <v>2566</v>
      </c>
      <c r="H702" s="20" t="s">
        <v>2567</v>
      </c>
      <c r="I702" s="20" t="s">
        <v>2668</v>
      </c>
      <c r="K702" s="20" t="s">
        <v>2600</v>
      </c>
      <c r="L702" s="20"/>
      <c r="M702" s="172" t="s">
        <v>3579</v>
      </c>
      <c r="N702" s="20" t="s">
        <v>2713</v>
      </c>
      <c r="O702" s="28">
        <v>3.9600000000000003E-2</v>
      </c>
      <c r="P702" s="28">
        <v>3.6903999999999992E-2</v>
      </c>
      <c r="Q702" s="65">
        <f t="shared" si="32"/>
        <v>2.6960000000000109E-3</v>
      </c>
      <c r="R702" s="28">
        <v>1.643</v>
      </c>
      <c r="S702" s="28">
        <v>9.2840000000000007</v>
      </c>
      <c r="T702" s="20">
        <f t="shared" si="33"/>
        <v>15.253612000000002</v>
      </c>
      <c r="X702" s="20" t="s">
        <v>886</v>
      </c>
      <c r="Y702" s="20" t="s">
        <v>36</v>
      </c>
      <c r="Z702" s="20" t="s">
        <v>36</v>
      </c>
    </row>
    <row r="703" spans="1:26">
      <c r="A703" s="20" t="s">
        <v>1631</v>
      </c>
      <c r="B703" s="20" t="s">
        <v>2115</v>
      </c>
      <c r="C703" s="31" t="s">
        <v>2239</v>
      </c>
      <c r="D703" s="49">
        <v>42888</v>
      </c>
      <c r="E703" s="9">
        <v>10.067944000000001</v>
      </c>
      <c r="F703" s="9">
        <v>49.912992000000003</v>
      </c>
      <c r="G703" s="20" t="s">
        <v>2566</v>
      </c>
      <c r="H703" s="20" t="s">
        <v>2567</v>
      </c>
      <c r="I703" s="20" t="s">
        <v>2668</v>
      </c>
      <c r="K703" s="20" t="s">
        <v>892</v>
      </c>
      <c r="L703" s="20"/>
      <c r="M703" s="172" t="s">
        <v>3408</v>
      </c>
      <c r="N703" s="20" t="s">
        <v>2713</v>
      </c>
      <c r="O703" s="28">
        <v>4.8599999999999997E-2</v>
      </c>
      <c r="P703" s="28">
        <v>3.6903999999999992E-2</v>
      </c>
      <c r="Q703" s="65">
        <f t="shared" si="32"/>
        <v>1.1696000000000005E-2</v>
      </c>
      <c r="R703" s="28">
        <v>2.8519999999999999</v>
      </c>
      <c r="S703" s="28">
        <v>14.597</v>
      </c>
      <c r="T703" s="20">
        <f t="shared" si="33"/>
        <v>41.630643999999997</v>
      </c>
      <c r="X703" s="20" t="s">
        <v>886</v>
      </c>
      <c r="Y703" s="20" t="s">
        <v>36</v>
      </c>
      <c r="Z703" s="20" t="s">
        <v>36</v>
      </c>
    </row>
    <row r="704" spans="1:26">
      <c r="A704" s="20" t="s">
        <v>1632</v>
      </c>
      <c r="B704" s="20" t="s">
        <v>2115</v>
      </c>
      <c r="C704" s="31" t="s">
        <v>2237</v>
      </c>
      <c r="D704" s="49">
        <v>42888</v>
      </c>
      <c r="E704" s="9">
        <v>10.045693999999999</v>
      </c>
      <c r="F704" s="9">
        <v>49.896189</v>
      </c>
      <c r="G704" s="20" t="s">
        <v>2566</v>
      </c>
      <c r="H704" s="20" t="s">
        <v>2567</v>
      </c>
      <c r="I704" s="20" t="s">
        <v>2668</v>
      </c>
      <c r="K704" s="20" t="s">
        <v>2600</v>
      </c>
      <c r="L704" s="20"/>
      <c r="M704" s="172" t="s">
        <v>2827</v>
      </c>
      <c r="N704" s="20" t="s">
        <v>2713</v>
      </c>
      <c r="O704" s="28">
        <v>4.8899999999999999E-2</v>
      </c>
      <c r="P704" s="28">
        <v>3.6903999999999992E-2</v>
      </c>
      <c r="Q704" s="65">
        <f t="shared" si="32"/>
        <v>1.1996000000000007E-2</v>
      </c>
      <c r="R704" s="28">
        <v>2.7730000000000001</v>
      </c>
      <c r="S704" s="28">
        <v>13.196999999999999</v>
      </c>
      <c r="T704" s="20">
        <f t="shared" si="33"/>
        <v>36.595281</v>
      </c>
      <c r="X704" s="20" t="s">
        <v>886</v>
      </c>
      <c r="Y704" s="20" t="s">
        <v>36</v>
      </c>
      <c r="Z704" s="20" t="s">
        <v>36</v>
      </c>
    </row>
    <row r="705" spans="1:26">
      <c r="A705" s="20" t="s">
        <v>1633</v>
      </c>
      <c r="B705" s="20" t="s">
        <v>2115</v>
      </c>
      <c r="C705" s="31" t="s">
        <v>2244</v>
      </c>
      <c r="D705" s="49">
        <v>42872</v>
      </c>
      <c r="E705" s="9">
        <v>10.017931000000001</v>
      </c>
      <c r="F705" s="9">
        <v>49.935696999999998</v>
      </c>
      <c r="G705" s="20" t="s">
        <v>2566</v>
      </c>
      <c r="H705" s="20" t="s">
        <v>2567</v>
      </c>
      <c r="I705" s="20" t="s">
        <v>2668</v>
      </c>
      <c r="K705" s="20" t="s">
        <v>892</v>
      </c>
      <c r="L705" s="20"/>
      <c r="M705" s="172" t="s">
        <v>3408</v>
      </c>
      <c r="N705" s="20" t="s">
        <v>2713</v>
      </c>
      <c r="O705" s="28">
        <v>4.6800000000000001E-2</v>
      </c>
      <c r="P705" s="28">
        <v>3.6903999999999992E-2</v>
      </c>
      <c r="Q705" s="65">
        <f t="shared" si="32"/>
        <v>9.896000000000009E-3</v>
      </c>
      <c r="R705" s="28">
        <v>3.0939999999999999</v>
      </c>
      <c r="S705" s="28">
        <v>13.936999999999999</v>
      </c>
      <c r="T705" s="20">
        <f t="shared" si="33"/>
        <v>43.121077999999997</v>
      </c>
      <c r="X705" s="20" t="s">
        <v>886</v>
      </c>
      <c r="Y705" s="20" t="s">
        <v>36</v>
      </c>
      <c r="Z705" s="20" t="s">
        <v>36</v>
      </c>
    </row>
    <row r="706" spans="1:26">
      <c r="A706" s="20" t="s">
        <v>1635</v>
      </c>
      <c r="B706" s="20" t="s">
        <v>2115</v>
      </c>
      <c r="C706" s="31" t="s">
        <v>2233</v>
      </c>
      <c r="D706" s="49">
        <v>42888</v>
      </c>
      <c r="E706" s="9">
        <v>10.086428</v>
      </c>
      <c r="F706" s="9">
        <v>49.909314000000002</v>
      </c>
      <c r="G706" s="20" t="s">
        <v>2566</v>
      </c>
      <c r="H706" s="20" t="s">
        <v>2567</v>
      </c>
      <c r="I706" s="20" t="s">
        <v>2668</v>
      </c>
      <c r="K706" s="20" t="s">
        <v>2600</v>
      </c>
      <c r="L706" s="20"/>
      <c r="M706" s="172" t="s">
        <v>3588</v>
      </c>
      <c r="N706" s="20" t="s">
        <v>2713</v>
      </c>
      <c r="O706" s="28">
        <v>4.5699999999999998E-2</v>
      </c>
      <c r="P706" s="28">
        <v>3.6903999999999992E-2</v>
      </c>
      <c r="Q706" s="65">
        <f t="shared" si="32"/>
        <v>8.7960000000000052E-3</v>
      </c>
      <c r="R706" s="28">
        <v>2.8610000000000002</v>
      </c>
      <c r="S706" s="28">
        <v>14.407999999999999</v>
      </c>
      <c r="T706" s="20">
        <f t="shared" si="33"/>
        <v>41.221288000000001</v>
      </c>
      <c r="X706" s="20" t="s">
        <v>886</v>
      </c>
      <c r="Y706" s="20" t="s">
        <v>36</v>
      </c>
      <c r="Z706" s="20" t="s">
        <v>36</v>
      </c>
    </row>
    <row r="707" spans="1:26">
      <c r="A707" s="20" t="s">
        <v>1636</v>
      </c>
      <c r="B707" s="20" t="s">
        <v>2115</v>
      </c>
      <c r="C707" s="31" t="s">
        <v>2235</v>
      </c>
      <c r="D707" s="49">
        <v>42902</v>
      </c>
      <c r="E707" s="9">
        <v>10.057294000000001</v>
      </c>
      <c r="F707" s="9">
        <v>49.902307999999998</v>
      </c>
      <c r="G707" s="20" t="s">
        <v>2566</v>
      </c>
      <c r="H707" s="20" t="s">
        <v>2567</v>
      </c>
      <c r="I707" s="20" t="s">
        <v>2668</v>
      </c>
      <c r="K707" s="20" t="s">
        <v>2600</v>
      </c>
      <c r="L707" s="20"/>
      <c r="M707" s="172" t="s">
        <v>2827</v>
      </c>
      <c r="N707" s="20" t="s">
        <v>2713</v>
      </c>
      <c r="O707" s="28">
        <v>4.7199999999999999E-2</v>
      </c>
      <c r="P707" s="28">
        <v>3.6903999999999992E-2</v>
      </c>
      <c r="Q707" s="65">
        <f t="shared" si="32"/>
        <v>1.0296000000000007E-2</v>
      </c>
      <c r="R707" s="28">
        <v>2.7050000000000001</v>
      </c>
      <c r="S707" s="28">
        <v>12.606999999999999</v>
      </c>
      <c r="T707" s="20">
        <f t="shared" si="33"/>
        <v>34.101934999999997</v>
      </c>
      <c r="X707" s="20" t="s">
        <v>886</v>
      </c>
      <c r="Y707" s="20" t="s">
        <v>36</v>
      </c>
      <c r="Z707" s="20" t="s">
        <v>36</v>
      </c>
    </row>
    <row r="708" spans="1:26">
      <c r="A708" s="20" t="s">
        <v>1637</v>
      </c>
      <c r="B708" s="20" t="s">
        <v>2115</v>
      </c>
      <c r="C708" s="31" t="s">
        <v>2236</v>
      </c>
      <c r="D708" s="49">
        <v>42902</v>
      </c>
      <c r="E708" s="9">
        <v>10.022767</v>
      </c>
      <c r="F708" s="9">
        <v>49.938633000000003</v>
      </c>
      <c r="G708" s="20" t="s">
        <v>2566</v>
      </c>
      <c r="H708" s="20" t="s">
        <v>2567</v>
      </c>
      <c r="I708" s="20" t="s">
        <v>2668</v>
      </c>
      <c r="K708" s="20" t="s">
        <v>2600</v>
      </c>
      <c r="L708" s="20"/>
      <c r="M708" s="172" t="s">
        <v>2827</v>
      </c>
      <c r="N708" s="20" t="s">
        <v>2713</v>
      </c>
      <c r="O708" s="28">
        <v>5.0200000000000002E-2</v>
      </c>
      <c r="P708" s="28">
        <v>3.6903999999999992E-2</v>
      </c>
      <c r="Q708" s="65">
        <f t="shared" si="32"/>
        <v>1.3296000000000009E-2</v>
      </c>
      <c r="R708" s="28">
        <v>2.948</v>
      </c>
      <c r="S708" s="28">
        <v>14.321</v>
      </c>
      <c r="T708" s="20">
        <f t="shared" si="33"/>
        <v>42.218308</v>
      </c>
      <c r="X708" s="20" t="s">
        <v>886</v>
      </c>
      <c r="Y708" s="20" t="s">
        <v>36</v>
      </c>
      <c r="Z708" s="20" t="s">
        <v>36</v>
      </c>
    </row>
    <row r="709" spans="1:26">
      <c r="A709" s="20" t="s">
        <v>1638</v>
      </c>
      <c r="B709" s="20" t="s">
        <v>2115</v>
      </c>
      <c r="C709" s="31" t="s">
        <v>2232</v>
      </c>
      <c r="D709" s="49">
        <v>42902</v>
      </c>
      <c r="E709" s="9">
        <v>10.065003000000001</v>
      </c>
      <c r="F709" s="9">
        <v>49.916336000000001</v>
      </c>
      <c r="G709" s="20" t="s">
        <v>2566</v>
      </c>
      <c r="H709" s="20" t="s">
        <v>2567</v>
      </c>
      <c r="I709" s="20" t="s">
        <v>2668</v>
      </c>
      <c r="K709" s="20" t="s">
        <v>892</v>
      </c>
      <c r="L709" s="20"/>
      <c r="M709" s="172" t="s">
        <v>3408</v>
      </c>
      <c r="N709" s="20" t="s">
        <v>2713</v>
      </c>
      <c r="O709" s="28">
        <v>5.1499999999999997E-2</v>
      </c>
      <c r="P709" s="28">
        <v>3.6903999999999992E-2</v>
      </c>
      <c r="Q709" s="65">
        <f t="shared" si="32"/>
        <v>1.4596000000000005E-2</v>
      </c>
      <c r="R709" s="28">
        <v>3.1869999999999998</v>
      </c>
      <c r="S709" s="28">
        <v>15.558</v>
      </c>
      <c r="T709" s="20">
        <f t="shared" si="33"/>
        <v>49.583345999999999</v>
      </c>
      <c r="X709" s="20" t="s">
        <v>886</v>
      </c>
      <c r="Y709" s="20" t="s">
        <v>36</v>
      </c>
      <c r="Z709" s="20" t="s">
        <v>36</v>
      </c>
    </row>
    <row r="710" spans="1:26">
      <c r="A710" s="20" t="s">
        <v>1639</v>
      </c>
      <c r="B710" s="20" t="s">
        <v>2115</v>
      </c>
      <c r="C710" s="31" t="s">
        <v>2230</v>
      </c>
      <c r="D710" s="49">
        <v>42872</v>
      </c>
      <c r="E710" s="9">
        <v>10.124091999999999</v>
      </c>
      <c r="F710" s="9">
        <v>49.906236</v>
      </c>
      <c r="G710" s="20" t="s">
        <v>2566</v>
      </c>
      <c r="H710" s="20" t="s">
        <v>2567</v>
      </c>
      <c r="I710" s="20" t="s">
        <v>2668</v>
      </c>
      <c r="K710" s="20" t="s">
        <v>892</v>
      </c>
      <c r="L710" s="20"/>
      <c r="M710" s="172" t="s">
        <v>3408</v>
      </c>
      <c r="N710" s="20" t="s">
        <v>2713</v>
      </c>
      <c r="O710" s="28">
        <v>5.1900000000000002E-2</v>
      </c>
      <c r="P710" s="28">
        <v>3.6903999999999992E-2</v>
      </c>
      <c r="Q710" s="65">
        <f t="shared" si="32"/>
        <v>1.4996000000000009E-2</v>
      </c>
      <c r="R710" s="28">
        <v>2.88</v>
      </c>
      <c r="S710" s="28">
        <v>14.601000000000001</v>
      </c>
      <c r="T710" s="20">
        <f t="shared" si="33"/>
        <v>42.050879999999999</v>
      </c>
      <c r="X710" s="20" t="s">
        <v>886</v>
      </c>
      <c r="Y710" s="20" t="s">
        <v>36</v>
      </c>
      <c r="Z710" s="20" t="s">
        <v>36</v>
      </c>
    </row>
    <row r="711" spans="1:26">
      <c r="A711" s="20" t="s">
        <v>1570</v>
      </c>
      <c r="B711" s="20" t="s">
        <v>2115</v>
      </c>
      <c r="C711" s="31" t="s">
        <v>2228</v>
      </c>
      <c r="D711" s="49">
        <v>42902</v>
      </c>
      <c r="E711" s="9">
        <v>10.050008</v>
      </c>
      <c r="F711" s="9">
        <v>49.941994000000001</v>
      </c>
      <c r="G711" t="s">
        <v>2569</v>
      </c>
      <c r="H711" t="s">
        <v>2570</v>
      </c>
      <c r="I711" t="s">
        <v>2802</v>
      </c>
      <c r="K711" s="20" t="s">
        <v>3047</v>
      </c>
      <c r="L711" s="20"/>
      <c r="M711" s="172" t="s">
        <v>2847</v>
      </c>
      <c r="N711" s="20" t="s">
        <v>2713</v>
      </c>
      <c r="O711" s="28">
        <v>7.2300000000000003E-2</v>
      </c>
      <c r="P711" s="28">
        <v>3.6903999999999992E-2</v>
      </c>
      <c r="Q711" s="65">
        <f t="shared" si="32"/>
        <v>3.5396000000000011E-2</v>
      </c>
      <c r="R711" s="28">
        <v>4.7460000000000004</v>
      </c>
      <c r="S711" s="28">
        <v>18.925999999999998</v>
      </c>
      <c r="T711" s="20">
        <f t="shared" si="33"/>
        <v>89.822795999999997</v>
      </c>
      <c r="X711" s="20" t="s">
        <v>886</v>
      </c>
      <c r="Y711" s="20" t="s">
        <v>36</v>
      </c>
      <c r="Z711" s="20" t="s">
        <v>36</v>
      </c>
    </row>
    <row r="712" spans="1:26">
      <c r="A712" s="20" t="s">
        <v>1571</v>
      </c>
      <c r="B712" s="20" t="s">
        <v>2115</v>
      </c>
      <c r="C712" s="31" t="s">
        <v>2227</v>
      </c>
      <c r="D712" s="49">
        <v>42902</v>
      </c>
      <c r="E712" s="9">
        <v>10.040881000000001</v>
      </c>
      <c r="F712" s="9">
        <v>49.937356000000001</v>
      </c>
      <c r="G712" t="s">
        <v>2569</v>
      </c>
      <c r="H712" t="s">
        <v>2570</v>
      </c>
      <c r="I712" t="s">
        <v>2802</v>
      </c>
      <c r="K712" s="20" t="s">
        <v>3047</v>
      </c>
      <c r="L712" s="20"/>
      <c r="M712" s="172" t="s">
        <v>3617</v>
      </c>
      <c r="N712" s="20" t="s">
        <v>2712</v>
      </c>
      <c r="O712" s="28">
        <v>4.5900000000000003E-2</v>
      </c>
      <c r="P712" s="28">
        <v>3.6903999999999992E-2</v>
      </c>
      <c r="Q712" s="65">
        <f t="shared" si="32"/>
        <v>8.9960000000000109E-3</v>
      </c>
      <c r="R712" s="28">
        <v>3.073</v>
      </c>
      <c r="S712" s="28">
        <v>11.455</v>
      </c>
      <c r="T712" s="20">
        <f t="shared" si="33"/>
        <v>35.201214999999998</v>
      </c>
      <c r="X712" s="20" t="s">
        <v>886</v>
      </c>
      <c r="Y712" s="20" t="s">
        <v>36</v>
      </c>
      <c r="Z712" s="20" t="s">
        <v>36</v>
      </c>
    </row>
    <row r="713" spans="1:26">
      <c r="A713" s="20" t="s">
        <v>1334</v>
      </c>
      <c r="B713" s="20" t="s">
        <v>2115</v>
      </c>
      <c r="C713" s="31" t="s">
        <v>2237</v>
      </c>
      <c r="D713" s="49">
        <v>42888</v>
      </c>
      <c r="E713" s="9">
        <v>10.045693999999999</v>
      </c>
      <c r="F713" s="9">
        <v>49.896189</v>
      </c>
      <c r="G713" t="s">
        <v>2625</v>
      </c>
      <c r="H713" t="s">
        <v>2806</v>
      </c>
      <c r="I713" t="s">
        <v>2807</v>
      </c>
      <c r="K713" s="20" t="s">
        <v>2602</v>
      </c>
      <c r="L713" s="20"/>
      <c r="M713" s="172" t="s">
        <v>3597</v>
      </c>
      <c r="N713" s="20" t="s">
        <v>2713</v>
      </c>
      <c r="O713" s="28">
        <v>5.1299999999999998E-2</v>
      </c>
      <c r="P713" s="28">
        <v>3.6903999999999992E-2</v>
      </c>
      <c r="Q713" s="65">
        <f t="shared" si="32"/>
        <v>1.4396000000000006E-2</v>
      </c>
      <c r="R713" s="28">
        <v>3.7</v>
      </c>
      <c r="S713" s="28">
        <f>8.531+6.925</f>
        <v>15.456</v>
      </c>
      <c r="T713" s="20">
        <f t="shared" si="33"/>
        <v>57.187200000000004</v>
      </c>
      <c r="X713" s="20" t="s">
        <v>886</v>
      </c>
      <c r="Y713" s="20" t="s">
        <v>36</v>
      </c>
      <c r="Z713" s="20" t="s">
        <v>36</v>
      </c>
    </row>
    <row r="714" spans="1:26">
      <c r="A714" s="20" t="s">
        <v>1333</v>
      </c>
      <c r="B714" s="20" t="s">
        <v>2115</v>
      </c>
      <c r="C714" s="31" t="s">
        <v>2229</v>
      </c>
      <c r="D714" s="49">
        <v>42856</v>
      </c>
      <c r="E714" s="9">
        <v>10.057994000000001</v>
      </c>
      <c r="F714" s="9">
        <v>49.937230999999997</v>
      </c>
      <c r="G714" t="s">
        <v>2625</v>
      </c>
      <c r="H714" t="s">
        <v>2806</v>
      </c>
      <c r="I714" t="s">
        <v>2807</v>
      </c>
      <c r="K714" s="20" t="s">
        <v>2602</v>
      </c>
      <c r="L714" s="20"/>
      <c r="M714" s="172" t="s">
        <v>3597</v>
      </c>
      <c r="N714" t="s">
        <v>2713</v>
      </c>
      <c r="O714" s="28">
        <v>5.2699999999999997E-2</v>
      </c>
      <c r="P714" s="28">
        <v>3.6903999999999992E-2</v>
      </c>
      <c r="Q714" s="65">
        <f t="shared" si="32"/>
        <v>1.5796000000000004E-2</v>
      </c>
      <c r="R714" s="28">
        <v>3.597</v>
      </c>
      <c r="S714" s="28">
        <f>7.887+7.377</f>
        <v>15.263999999999999</v>
      </c>
      <c r="T714" s="20">
        <f t="shared" si="33"/>
        <v>54.904607999999996</v>
      </c>
      <c r="X714" s="20" t="s">
        <v>886</v>
      </c>
      <c r="Y714" s="20" t="s">
        <v>36</v>
      </c>
      <c r="Z714" s="20" t="s">
        <v>36</v>
      </c>
    </row>
    <row r="715" spans="1:26">
      <c r="A715" s="20" t="s">
        <v>1572</v>
      </c>
      <c r="B715" s="20" t="s">
        <v>2115</v>
      </c>
      <c r="C715" s="31" t="s">
        <v>2237</v>
      </c>
      <c r="D715" s="49">
        <v>42888</v>
      </c>
      <c r="E715" s="9">
        <v>10.045693999999999</v>
      </c>
      <c r="F715" s="9">
        <v>49.896189</v>
      </c>
      <c r="G715" t="s">
        <v>2569</v>
      </c>
      <c r="H715" t="s">
        <v>2570</v>
      </c>
      <c r="I715" t="s">
        <v>2802</v>
      </c>
      <c r="K715" s="20" t="s">
        <v>3047</v>
      </c>
      <c r="L715" s="20"/>
      <c r="M715" s="172" t="s">
        <v>3606</v>
      </c>
      <c r="N715" s="20" t="s">
        <v>2712</v>
      </c>
      <c r="O715" s="28">
        <v>4.1300000000000003E-2</v>
      </c>
      <c r="P715" s="28">
        <v>3.6903999999999992E-2</v>
      </c>
      <c r="Q715" s="65">
        <f t="shared" si="32"/>
        <v>4.396000000000011E-3</v>
      </c>
      <c r="R715" s="28">
        <v>2.6619999999999999</v>
      </c>
      <c r="S715" s="28">
        <v>9.4779999999999998</v>
      </c>
      <c r="T715" s="20">
        <f t="shared" si="33"/>
        <v>25.230435999999997</v>
      </c>
      <c r="X715" s="20" t="s">
        <v>886</v>
      </c>
      <c r="Y715" s="20" t="s">
        <v>36</v>
      </c>
      <c r="Z715" s="20" t="s">
        <v>36</v>
      </c>
    </row>
    <row r="716" spans="1:26">
      <c r="A716" s="20" t="s">
        <v>2120</v>
      </c>
      <c r="B716" s="20" t="s">
        <v>2115</v>
      </c>
      <c r="C716" s="31" t="s">
        <v>2234</v>
      </c>
      <c r="D716" s="49">
        <v>42856</v>
      </c>
      <c r="E716" s="9">
        <v>10.053630999999999</v>
      </c>
      <c r="F716" s="9">
        <v>49.900486000000001</v>
      </c>
      <c r="G716" t="s">
        <v>2625</v>
      </c>
      <c r="H716" t="s">
        <v>2806</v>
      </c>
      <c r="I716" t="s">
        <v>2807</v>
      </c>
      <c r="K716" s="20" t="s">
        <v>2602</v>
      </c>
      <c r="L716" s="20"/>
      <c r="M716" s="172" t="s">
        <v>3594</v>
      </c>
      <c r="N716" s="20" t="s">
        <v>2713</v>
      </c>
      <c r="O716" s="28">
        <v>6.3100000000000003E-2</v>
      </c>
      <c r="P716" s="28">
        <v>3.6903999999999992E-2</v>
      </c>
      <c r="Q716" s="65">
        <f t="shared" si="32"/>
        <v>2.6196000000000011E-2</v>
      </c>
      <c r="R716" s="28">
        <v>4.1559999999999997</v>
      </c>
      <c r="S716" s="28">
        <f>9.205+8.05</f>
        <v>17.255000000000003</v>
      </c>
      <c r="T716" s="20">
        <f t="shared" si="33"/>
        <v>71.711780000000005</v>
      </c>
      <c r="X716" s="20" t="s">
        <v>886</v>
      </c>
      <c r="Y716" s="20" t="s">
        <v>36</v>
      </c>
      <c r="Z716" s="20" t="s">
        <v>36</v>
      </c>
    </row>
    <row r="717" spans="1:26">
      <c r="A717" s="20" t="s">
        <v>1573</v>
      </c>
      <c r="B717" s="20" t="s">
        <v>2115</v>
      </c>
      <c r="C717" s="31" t="s">
        <v>2238</v>
      </c>
      <c r="D717" s="49">
        <v>42872</v>
      </c>
      <c r="E717" s="9">
        <v>10.135947</v>
      </c>
      <c r="F717" s="9">
        <v>49.868039000000003</v>
      </c>
      <c r="G717" t="s">
        <v>2569</v>
      </c>
      <c r="H717" t="s">
        <v>2570</v>
      </c>
      <c r="I717" t="s">
        <v>2802</v>
      </c>
      <c r="K717" s="20" t="s">
        <v>3047</v>
      </c>
      <c r="L717" s="20"/>
      <c r="M717" s="172" t="s">
        <v>3618</v>
      </c>
      <c r="N717" s="20" t="s">
        <v>2712</v>
      </c>
      <c r="O717" s="28">
        <v>4.4400000000000002E-2</v>
      </c>
      <c r="P717" s="28">
        <v>3.6903999999999992E-2</v>
      </c>
      <c r="Q717" s="65">
        <f t="shared" si="32"/>
        <v>7.4960000000000096E-3</v>
      </c>
      <c r="R717" s="28">
        <v>2.38</v>
      </c>
      <c r="S717" s="28">
        <v>13.596</v>
      </c>
      <c r="T717" s="20">
        <f t="shared" si="33"/>
        <v>32.35848</v>
      </c>
      <c r="X717" s="20" t="s">
        <v>886</v>
      </c>
      <c r="Y717" s="20" t="s">
        <v>36</v>
      </c>
      <c r="Z717" s="20" t="s">
        <v>36</v>
      </c>
    </row>
    <row r="718" spans="1:26">
      <c r="A718" s="20" t="s">
        <v>1574</v>
      </c>
      <c r="B718" s="20" t="s">
        <v>2115</v>
      </c>
      <c r="C718" s="31" t="s">
        <v>2229</v>
      </c>
      <c r="D718" s="49">
        <v>42856</v>
      </c>
      <c r="E718" s="9">
        <v>10.057994000000001</v>
      </c>
      <c r="F718" s="9">
        <v>49.937230999999997</v>
      </c>
      <c r="G718" t="s">
        <v>2569</v>
      </c>
      <c r="H718" t="s">
        <v>2570</v>
      </c>
      <c r="I718" t="s">
        <v>2802</v>
      </c>
      <c r="K718" s="20" t="s">
        <v>3047</v>
      </c>
      <c r="L718" s="20"/>
      <c r="M718" s="172" t="s">
        <v>2847</v>
      </c>
      <c r="N718" s="20" t="s">
        <v>2712</v>
      </c>
      <c r="O718" s="28">
        <v>6.6699999999999995E-2</v>
      </c>
      <c r="P718" s="28">
        <v>3.6903999999999992E-2</v>
      </c>
      <c r="Q718" s="65">
        <f t="shared" si="32"/>
        <v>2.9796000000000003E-2</v>
      </c>
      <c r="R718" s="28">
        <v>5.18</v>
      </c>
      <c r="S718" s="28">
        <v>17.709</v>
      </c>
      <c r="T718" s="20">
        <f t="shared" si="33"/>
        <v>91.732619999999997</v>
      </c>
      <c r="X718" s="20" t="s">
        <v>886</v>
      </c>
      <c r="Y718" s="20" t="s">
        <v>36</v>
      </c>
      <c r="Z718" s="20" t="s">
        <v>36</v>
      </c>
    </row>
    <row r="719" spans="1:26">
      <c r="A719" s="20" t="s">
        <v>1575</v>
      </c>
      <c r="B719" s="20" t="s">
        <v>2115</v>
      </c>
      <c r="C719" s="31" t="s">
        <v>2235</v>
      </c>
      <c r="D719" s="49">
        <v>42902</v>
      </c>
      <c r="E719" s="9">
        <v>10.057294000000001</v>
      </c>
      <c r="F719" s="9">
        <v>49.902307999999998</v>
      </c>
      <c r="G719" s="20" t="s">
        <v>2572</v>
      </c>
      <c r="H719" s="20" t="s">
        <v>2573</v>
      </c>
      <c r="K719" s="20" t="s">
        <v>2606</v>
      </c>
      <c r="L719" s="20"/>
      <c r="M719" s="172" t="s">
        <v>3609</v>
      </c>
      <c r="N719" s="20" t="s">
        <v>2713</v>
      </c>
      <c r="O719" s="28">
        <v>3.9E-2</v>
      </c>
      <c r="P719" s="28">
        <v>3.6903999999999992E-2</v>
      </c>
      <c r="Q719" s="65">
        <f t="shared" si="32"/>
        <v>2.0960000000000076E-3</v>
      </c>
      <c r="R719" s="28">
        <v>1.609</v>
      </c>
      <c r="S719" s="28">
        <v>7.899</v>
      </c>
      <c r="T719" s="20">
        <f t="shared" si="33"/>
        <v>12.709491</v>
      </c>
      <c r="X719" s="20" t="s">
        <v>886</v>
      </c>
      <c r="Y719" s="20" t="s">
        <v>36</v>
      </c>
      <c r="Z719" s="20" t="s">
        <v>36</v>
      </c>
    </row>
    <row r="720" spans="1:26">
      <c r="A720" s="20" t="s">
        <v>1576</v>
      </c>
      <c r="B720" s="20" t="s">
        <v>2115</v>
      </c>
      <c r="C720" s="31" t="s">
        <v>2233</v>
      </c>
      <c r="D720" s="49">
        <v>42888</v>
      </c>
      <c r="E720" s="9">
        <v>10.086428</v>
      </c>
      <c r="F720" s="9">
        <v>49.909314000000002</v>
      </c>
      <c r="G720" s="20" t="s">
        <v>2572</v>
      </c>
      <c r="H720" s="20" t="s">
        <v>2573</v>
      </c>
      <c r="K720" s="20" t="s">
        <v>2606</v>
      </c>
      <c r="L720" s="20"/>
      <c r="M720" s="172" t="s">
        <v>3609</v>
      </c>
      <c r="N720" s="20" t="s">
        <v>2713</v>
      </c>
      <c r="O720" s="28">
        <v>3.9199999999999999E-2</v>
      </c>
      <c r="P720" s="28">
        <v>3.6903999999999992E-2</v>
      </c>
      <c r="Q720" s="65">
        <f t="shared" si="32"/>
        <v>2.2960000000000064E-3</v>
      </c>
      <c r="R720" s="28">
        <v>1.5940000000000001</v>
      </c>
      <c r="S720" s="28">
        <v>8.8379999999999992</v>
      </c>
      <c r="T720" s="20">
        <f t="shared" si="33"/>
        <v>14.087771999999999</v>
      </c>
      <c r="X720" s="20" t="s">
        <v>886</v>
      </c>
      <c r="Y720" s="20" t="s">
        <v>36</v>
      </c>
      <c r="Z720" s="20" t="s">
        <v>36</v>
      </c>
    </row>
    <row r="721" spans="1:26">
      <c r="A721" s="20" t="s">
        <v>1577</v>
      </c>
      <c r="B721" s="20" t="s">
        <v>2115</v>
      </c>
      <c r="C721" s="31" t="s">
        <v>2229</v>
      </c>
      <c r="D721" s="49">
        <v>42856</v>
      </c>
      <c r="E721" s="9">
        <v>10.057994000000001</v>
      </c>
      <c r="F721" s="9">
        <v>49.937230999999997</v>
      </c>
      <c r="G721" t="s">
        <v>2569</v>
      </c>
      <c r="H721" t="s">
        <v>2570</v>
      </c>
      <c r="I721" t="s">
        <v>2802</v>
      </c>
      <c r="K721" s="20" t="s">
        <v>3047</v>
      </c>
      <c r="L721" s="20"/>
      <c r="M721" s="172" t="s">
        <v>2847</v>
      </c>
      <c r="N721" s="20" t="s">
        <v>2712</v>
      </c>
      <c r="O721" s="28">
        <v>5.7299999999999997E-2</v>
      </c>
      <c r="P721" s="28">
        <v>3.6903999999999992E-2</v>
      </c>
      <c r="Q721" s="65">
        <f t="shared" si="32"/>
        <v>2.0396000000000004E-2</v>
      </c>
      <c r="R721" s="28">
        <v>4.5209999999999999</v>
      </c>
      <c r="S721" s="28">
        <v>19.361000000000001</v>
      </c>
      <c r="T721" s="20">
        <f t="shared" si="33"/>
        <v>87.531081</v>
      </c>
      <c r="X721" s="20" t="s">
        <v>886</v>
      </c>
      <c r="Y721" s="20" t="s">
        <v>36</v>
      </c>
      <c r="Z721" s="20" t="s">
        <v>36</v>
      </c>
    </row>
    <row r="722" spans="1:26">
      <c r="A722" s="20" t="s">
        <v>1578</v>
      </c>
      <c r="B722" s="20" t="s">
        <v>2115</v>
      </c>
      <c r="C722" s="31" t="s">
        <v>2227</v>
      </c>
      <c r="D722" s="49">
        <v>42902</v>
      </c>
      <c r="E722" s="9">
        <v>10.040881000000001</v>
      </c>
      <c r="F722" s="9">
        <v>49.937356000000001</v>
      </c>
      <c r="G722" s="20" t="s">
        <v>2572</v>
      </c>
      <c r="H722" s="20" t="s">
        <v>2573</v>
      </c>
      <c r="K722" s="20" t="s">
        <v>2606</v>
      </c>
      <c r="L722" s="20"/>
      <c r="M722" s="172" t="s">
        <v>3611</v>
      </c>
      <c r="N722" s="20" t="s">
        <v>2713</v>
      </c>
      <c r="O722" s="28">
        <v>4.4299999999999999E-2</v>
      </c>
      <c r="P722" s="28">
        <v>3.6903999999999992E-2</v>
      </c>
      <c r="Q722" s="65">
        <f t="shared" si="32"/>
        <v>7.3960000000000067E-3</v>
      </c>
      <c r="R722" s="28">
        <v>2.6560000000000001</v>
      </c>
      <c r="S722" s="28">
        <v>11.343</v>
      </c>
      <c r="T722" s="20">
        <f t="shared" si="33"/>
        <v>30.127008</v>
      </c>
      <c r="X722" s="20" t="s">
        <v>886</v>
      </c>
      <c r="Y722" s="20" t="s">
        <v>36</v>
      </c>
      <c r="Z722" s="20" t="s">
        <v>36</v>
      </c>
    </row>
    <row r="723" spans="1:26">
      <c r="A723" s="20" t="s">
        <v>1579</v>
      </c>
      <c r="B723" s="20" t="s">
        <v>2115</v>
      </c>
      <c r="C723" s="31" t="s">
        <v>2236</v>
      </c>
      <c r="D723" s="49">
        <v>42888</v>
      </c>
      <c r="E723" s="9">
        <v>10.022767</v>
      </c>
      <c r="F723" s="9">
        <v>49.938633000000003</v>
      </c>
      <c r="G723" s="20" t="s">
        <v>2572</v>
      </c>
      <c r="H723" s="20" t="s">
        <v>2573</v>
      </c>
      <c r="K723" s="20" t="s">
        <v>2606</v>
      </c>
      <c r="L723" s="20"/>
      <c r="M723" s="172" t="s">
        <v>2590</v>
      </c>
      <c r="N723" s="20" t="s">
        <v>2713</v>
      </c>
      <c r="O723" s="28">
        <v>3.95E-2</v>
      </c>
      <c r="P723" s="28">
        <v>3.6903999999999992E-2</v>
      </c>
      <c r="Q723" s="65">
        <f t="shared" si="32"/>
        <v>2.596000000000008E-3</v>
      </c>
      <c r="R723" s="28">
        <v>1.53</v>
      </c>
      <c r="S723" s="28">
        <v>9.1370000000000005</v>
      </c>
      <c r="T723" s="20">
        <f t="shared" si="33"/>
        <v>13.979610000000001</v>
      </c>
      <c r="X723" s="20" t="s">
        <v>886</v>
      </c>
      <c r="Y723" s="20" t="s">
        <v>36</v>
      </c>
      <c r="Z723" s="20" t="s">
        <v>36</v>
      </c>
    </row>
    <row r="724" spans="1:26">
      <c r="A724" s="20" t="s">
        <v>1580</v>
      </c>
      <c r="B724" s="20" t="s">
        <v>2115</v>
      </c>
      <c r="C724" s="31" t="s">
        <v>2229</v>
      </c>
      <c r="D724" s="49">
        <v>42856</v>
      </c>
      <c r="E724" s="9">
        <v>10.057994000000001</v>
      </c>
      <c r="F724" s="9">
        <v>49.937230999999997</v>
      </c>
      <c r="G724" t="s">
        <v>2569</v>
      </c>
      <c r="H724" t="s">
        <v>2570</v>
      </c>
      <c r="I724" t="s">
        <v>2802</v>
      </c>
      <c r="K724" s="20" t="s">
        <v>3047</v>
      </c>
      <c r="L724" s="20"/>
      <c r="M724" s="172" t="s">
        <v>3597</v>
      </c>
      <c r="N724" s="20" t="s">
        <v>2712</v>
      </c>
      <c r="O724" s="28">
        <v>4.7E-2</v>
      </c>
      <c r="P724" s="28">
        <v>3.6903999999999992E-2</v>
      </c>
      <c r="Q724" s="65">
        <f t="shared" si="32"/>
        <v>1.0096000000000008E-2</v>
      </c>
      <c r="R724" s="28">
        <v>3.1389999999999998</v>
      </c>
      <c r="S724" s="28">
        <v>13.565</v>
      </c>
      <c r="T724" s="20">
        <f t="shared" si="33"/>
        <v>42.580534999999998</v>
      </c>
      <c r="X724" s="20" t="s">
        <v>886</v>
      </c>
      <c r="Y724" s="20" t="s">
        <v>36</v>
      </c>
      <c r="Z724" s="20" t="s">
        <v>36</v>
      </c>
    </row>
    <row r="725" spans="1:26">
      <c r="A725" s="20" t="s">
        <v>1640</v>
      </c>
      <c r="B725" s="20" t="s">
        <v>2115</v>
      </c>
      <c r="C725" s="31" t="s">
        <v>2237</v>
      </c>
      <c r="D725" s="49">
        <v>42888</v>
      </c>
      <c r="E725" s="9">
        <v>10.045693999999999</v>
      </c>
      <c r="F725" s="9">
        <v>49.896189</v>
      </c>
      <c r="G725" s="20" t="s">
        <v>2566</v>
      </c>
      <c r="H725" s="20" t="s">
        <v>2567</v>
      </c>
      <c r="I725" s="20" t="s">
        <v>2668</v>
      </c>
      <c r="K725" s="20" t="s">
        <v>2600</v>
      </c>
      <c r="L725" s="20"/>
      <c r="M725" s="172" t="s">
        <v>3605</v>
      </c>
      <c r="N725" s="20" t="s">
        <v>2713</v>
      </c>
      <c r="O725" s="28">
        <v>6.0900000000000003E-2</v>
      </c>
      <c r="P725" s="28">
        <v>3.6903999999999992E-2</v>
      </c>
      <c r="Q725" s="65">
        <f t="shared" si="32"/>
        <v>2.399600000000001E-2</v>
      </c>
      <c r="R725" s="28">
        <v>3.931</v>
      </c>
      <c r="S725" s="28">
        <v>18.547999999999998</v>
      </c>
      <c r="T725" s="20">
        <f t="shared" si="33"/>
        <v>72.912188</v>
      </c>
      <c r="X725" s="20" t="s">
        <v>886</v>
      </c>
      <c r="Y725" s="20" t="s">
        <v>36</v>
      </c>
      <c r="Z725" s="20" t="s">
        <v>36</v>
      </c>
    </row>
    <row r="726" spans="1:26">
      <c r="A726" s="20" t="s">
        <v>1641</v>
      </c>
      <c r="B726" s="20" t="s">
        <v>2115</v>
      </c>
      <c r="C726" s="31" t="s">
        <v>2244</v>
      </c>
      <c r="D726" s="49">
        <v>42902</v>
      </c>
      <c r="E726" s="9">
        <v>10.017931000000001</v>
      </c>
      <c r="F726" s="9">
        <v>49.935696999999998</v>
      </c>
      <c r="G726" s="20" t="s">
        <v>2566</v>
      </c>
      <c r="H726" s="20" t="s">
        <v>2567</v>
      </c>
      <c r="I726" s="20" t="s">
        <v>2668</v>
      </c>
      <c r="K726" s="20" t="s">
        <v>892</v>
      </c>
      <c r="L726" s="20"/>
      <c r="M726" s="172" t="s">
        <v>2793</v>
      </c>
      <c r="N726" s="20" t="s">
        <v>2713</v>
      </c>
      <c r="O726" s="28">
        <v>6.1100000000000002E-2</v>
      </c>
      <c r="P726" s="28">
        <v>3.6903999999999992E-2</v>
      </c>
      <c r="Q726" s="65">
        <f t="shared" si="32"/>
        <v>2.4196000000000009E-2</v>
      </c>
      <c r="R726" s="28">
        <v>3.802</v>
      </c>
      <c r="S726" s="28">
        <v>19.677</v>
      </c>
      <c r="T726" s="20">
        <f t="shared" si="33"/>
        <v>74.811954</v>
      </c>
      <c r="X726" s="20" t="s">
        <v>886</v>
      </c>
      <c r="Y726" s="20" t="s">
        <v>36</v>
      </c>
      <c r="Z726" s="20" t="s">
        <v>36</v>
      </c>
    </row>
    <row r="727" spans="1:26">
      <c r="A727" s="20" t="s">
        <v>1642</v>
      </c>
      <c r="B727" s="20" t="s">
        <v>2115</v>
      </c>
      <c r="C727" s="31" t="s">
        <v>2227</v>
      </c>
      <c r="D727" s="49">
        <v>42888</v>
      </c>
      <c r="E727" s="9">
        <v>10.040881000000001</v>
      </c>
      <c r="F727" s="9">
        <v>49.937356000000001</v>
      </c>
      <c r="G727" s="20" t="s">
        <v>2566</v>
      </c>
      <c r="H727" s="20" t="s">
        <v>2567</v>
      </c>
      <c r="I727" s="20" t="s">
        <v>2668</v>
      </c>
      <c r="K727" s="20" t="s">
        <v>2600</v>
      </c>
      <c r="L727" s="20"/>
      <c r="M727" s="172" t="s">
        <v>3605</v>
      </c>
      <c r="N727" s="20" t="s">
        <v>2713</v>
      </c>
      <c r="O727" s="28">
        <v>5.74E-2</v>
      </c>
      <c r="P727" s="28">
        <v>3.6903999999999992E-2</v>
      </c>
      <c r="Q727" s="65">
        <f t="shared" si="32"/>
        <v>2.0496000000000007E-2</v>
      </c>
      <c r="R727" s="28">
        <v>3.24</v>
      </c>
      <c r="S727" s="28">
        <v>16.562999999999999</v>
      </c>
      <c r="T727" s="20">
        <f t="shared" si="33"/>
        <v>53.664119999999997</v>
      </c>
      <c r="X727" s="20" t="s">
        <v>886</v>
      </c>
      <c r="Y727" s="20" t="s">
        <v>36</v>
      </c>
      <c r="Z727" s="20" t="s">
        <v>36</v>
      </c>
    </row>
    <row r="728" spans="1:26">
      <c r="A728" s="20" t="s">
        <v>1643</v>
      </c>
      <c r="B728" s="20" t="s">
        <v>2115</v>
      </c>
      <c r="C728" s="31" t="s">
        <v>2243</v>
      </c>
      <c r="D728" s="49">
        <v>42902</v>
      </c>
      <c r="E728" s="9">
        <v>10.069680999999999</v>
      </c>
      <c r="F728" s="9">
        <v>49.368496999999998</v>
      </c>
      <c r="G728" s="20" t="s">
        <v>2566</v>
      </c>
      <c r="H728" s="20" t="s">
        <v>2567</v>
      </c>
      <c r="I728" s="20" t="s">
        <v>2668</v>
      </c>
      <c r="K728" s="20" t="s">
        <v>892</v>
      </c>
      <c r="L728" s="20"/>
      <c r="M728" s="172" t="s">
        <v>2793</v>
      </c>
      <c r="N728" s="20" t="s">
        <v>2713</v>
      </c>
      <c r="O728" s="28">
        <v>6.7500000000000004E-2</v>
      </c>
      <c r="P728" s="28">
        <v>3.6903999999999992E-2</v>
      </c>
      <c r="Q728" s="65">
        <f t="shared" si="32"/>
        <v>3.0596000000000012E-2</v>
      </c>
      <c r="R728" s="28">
        <v>4.0199999999999996</v>
      </c>
      <c r="S728" s="28">
        <v>20.254000000000001</v>
      </c>
      <c r="T728" s="20">
        <f t="shared" si="33"/>
        <v>81.421080000000003</v>
      </c>
      <c r="X728" s="20" t="s">
        <v>886</v>
      </c>
      <c r="Y728" s="20" t="s">
        <v>36</v>
      </c>
      <c r="Z728" s="20" t="s">
        <v>36</v>
      </c>
    </row>
    <row r="729" spans="1:26">
      <c r="A729" s="20" t="s">
        <v>1644</v>
      </c>
      <c r="B729" s="20" t="s">
        <v>2115</v>
      </c>
      <c r="C729" s="31" t="s">
        <v>2244</v>
      </c>
      <c r="D729" s="49">
        <v>42902</v>
      </c>
      <c r="E729" s="9">
        <v>10.017931000000001</v>
      </c>
      <c r="F729" s="9">
        <v>49.935696999999998</v>
      </c>
      <c r="G729" s="20" t="s">
        <v>2566</v>
      </c>
      <c r="H729" s="20" t="s">
        <v>2567</v>
      </c>
      <c r="I729" s="20" t="s">
        <v>2668</v>
      </c>
      <c r="K729" s="20" t="s">
        <v>892</v>
      </c>
      <c r="L729" s="20"/>
      <c r="M729" s="172" t="s">
        <v>2793</v>
      </c>
      <c r="N729" s="20" t="s">
        <v>2713</v>
      </c>
      <c r="O729" s="28">
        <v>7.3400000000000007E-2</v>
      </c>
      <c r="P729" s="28">
        <v>3.6903999999999992E-2</v>
      </c>
      <c r="Q729" s="65">
        <f t="shared" si="32"/>
        <v>3.6496000000000015E-2</v>
      </c>
      <c r="R729" s="28">
        <v>4.0940000000000003</v>
      </c>
      <c r="S729" s="28">
        <v>20.527999999999999</v>
      </c>
      <c r="T729" s="20">
        <f t="shared" si="33"/>
        <v>84.041632000000007</v>
      </c>
      <c r="X729" s="20" t="s">
        <v>886</v>
      </c>
      <c r="Y729" s="20" t="s">
        <v>36</v>
      </c>
      <c r="Z729" s="20" t="s">
        <v>36</v>
      </c>
    </row>
    <row r="730" spans="1:26">
      <c r="A730" s="20" t="s">
        <v>1645</v>
      </c>
      <c r="B730" s="20" t="s">
        <v>2115</v>
      </c>
      <c r="C730" s="31" t="s">
        <v>2227</v>
      </c>
      <c r="D730" s="49">
        <v>42888</v>
      </c>
      <c r="E730" s="9">
        <v>10.040881000000001</v>
      </c>
      <c r="F730" s="9">
        <v>49.937356000000001</v>
      </c>
      <c r="G730" s="20" t="s">
        <v>2566</v>
      </c>
      <c r="H730" s="20" t="s">
        <v>2567</v>
      </c>
      <c r="I730" s="20" t="s">
        <v>2668</v>
      </c>
      <c r="K730" s="20" t="s">
        <v>892</v>
      </c>
      <c r="L730" s="20"/>
      <c r="M730" s="172" t="s">
        <v>3408</v>
      </c>
      <c r="N730" s="20" t="s">
        <v>2713</v>
      </c>
      <c r="O730" s="28">
        <v>4.99E-2</v>
      </c>
      <c r="P730" s="28">
        <v>3.6903999999999992E-2</v>
      </c>
      <c r="Q730" s="65">
        <f t="shared" si="32"/>
        <v>1.2996000000000008E-2</v>
      </c>
      <c r="R730" s="28">
        <v>3.1190000000000002</v>
      </c>
      <c r="S730" s="28">
        <v>15.907</v>
      </c>
      <c r="T730" s="20">
        <f t="shared" si="33"/>
        <v>49.613933000000003</v>
      </c>
      <c r="X730" s="20" t="s">
        <v>886</v>
      </c>
      <c r="Y730" s="20" t="s">
        <v>36</v>
      </c>
      <c r="Z730" s="20" t="s">
        <v>36</v>
      </c>
    </row>
    <row r="731" spans="1:26">
      <c r="A731" s="20" t="s">
        <v>1646</v>
      </c>
      <c r="B731" s="20" t="s">
        <v>2115</v>
      </c>
      <c r="C731" s="31" t="s">
        <v>2230</v>
      </c>
      <c r="D731" s="49">
        <v>42888</v>
      </c>
      <c r="E731" s="9">
        <v>10.124091999999999</v>
      </c>
      <c r="F731" s="9">
        <v>49.906236</v>
      </c>
      <c r="G731" s="20" t="s">
        <v>2566</v>
      </c>
      <c r="H731" s="20" t="s">
        <v>2567</v>
      </c>
      <c r="I731" s="20" t="s">
        <v>2668</v>
      </c>
      <c r="K731" s="20" t="s">
        <v>892</v>
      </c>
      <c r="L731" s="20"/>
      <c r="M731" s="172" t="s">
        <v>3408</v>
      </c>
      <c r="N731" s="20" t="s">
        <v>2713</v>
      </c>
      <c r="O731" s="28">
        <v>4.9700000000000001E-2</v>
      </c>
      <c r="P731" s="28">
        <v>3.6903999999999992E-2</v>
      </c>
      <c r="Q731" s="65">
        <f t="shared" si="32"/>
        <v>1.2796000000000009E-2</v>
      </c>
      <c r="R731" s="28">
        <v>3.13</v>
      </c>
      <c r="S731" s="28">
        <v>14.179</v>
      </c>
      <c r="T731" s="20">
        <f t="shared" si="33"/>
        <v>44.380269999999996</v>
      </c>
      <c r="X731" s="20" t="s">
        <v>886</v>
      </c>
      <c r="Y731" s="20" t="s">
        <v>36</v>
      </c>
      <c r="Z731" s="20" t="s">
        <v>36</v>
      </c>
    </row>
    <row r="732" spans="1:26">
      <c r="A732" s="20" t="s">
        <v>1647</v>
      </c>
      <c r="B732" s="20" t="s">
        <v>2115</v>
      </c>
      <c r="C732" s="31" t="s">
        <v>2237</v>
      </c>
      <c r="D732" s="49">
        <v>42888</v>
      </c>
      <c r="E732" s="9">
        <v>10.045693999999999</v>
      </c>
      <c r="F732" s="9">
        <v>49.896189</v>
      </c>
      <c r="G732" s="20" t="s">
        <v>2566</v>
      </c>
      <c r="H732" s="20" t="s">
        <v>2567</v>
      </c>
      <c r="I732" s="20" t="s">
        <v>2668</v>
      </c>
      <c r="K732" s="20" t="s">
        <v>2600</v>
      </c>
      <c r="L732" s="20"/>
      <c r="M732" s="172" t="s">
        <v>3605</v>
      </c>
      <c r="N732" s="20" t="s">
        <v>2713</v>
      </c>
      <c r="O732" s="28">
        <v>0.06</v>
      </c>
      <c r="P732" s="28">
        <v>3.6903999999999992E-2</v>
      </c>
      <c r="Q732" s="65">
        <f t="shared" si="32"/>
        <v>2.3096000000000005E-2</v>
      </c>
      <c r="R732" s="28">
        <v>4.0650000000000004</v>
      </c>
      <c r="S732" s="28">
        <v>18.402000000000001</v>
      </c>
      <c r="T732" s="20">
        <f t="shared" si="33"/>
        <v>74.804130000000015</v>
      </c>
      <c r="X732" s="20" t="s">
        <v>886</v>
      </c>
      <c r="Y732" s="20" t="s">
        <v>36</v>
      </c>
      <c r="Z732" s="20" t="s">
        <v>36</v>
      </c>
    </row>
    <row r="733" spans="1:26">
      <c r="A733" s="20" t="s">
        <v>1648</v>
      </c>
      <c r="B733" s="20" t="s">
        <v>2115</v>
      </c>
      <c r="C733" s="31" t="s">
        <v>2233</v>
      </c>
      <c r="D733" s="49">
        <v>42872</v>
      </c>
      <c r="E733" s="9">
        <v>10.086428</v>
      </c>
      <c r="F733" s="9">
        <v>49.909314000000002</v>
      </c>
      <c r="G733" s="20" t="s">
        <v>2566</v>
      </c>
      <c r="H733" s="20" t="s">
        <v>2567</v>
      </c>
      <c r="I733" s="20" t="s">
        <v>2668</v>
      </c>
      <c r="K733" s="20" t="s">
        <v>892</v>
      </c>
      <c r="L733" s="20"/>
      <c r="M733" s="172" t="s">
        <v>3408</v>
      </c>
      <c r="N733" s="20" t="s">
        <v>2713</v>
      </c>
      <c r="O733" s="28">
        <v>4.8599999999999997E-2</v>
      </c>
      <c r="P733" s="28">
        <v>3.6903999999999992E-2</v>
      </c>
      <c r="Q733" s="65">
        <f t="shared" si="32"/>
        <v>1.1696000000000005E-2</v>
      </c>
      <c r="R733" s="28">
        <v>2.5830000000000002</v>
      </c>
      <c r="S733" s="28">
        <v>13.45</v>
      </c>
      <c r="T733" s="20">
        <f t="shared" si="33"/>
        <v>34.741350000000004</v>
      </c>
      <c r="X733" s="20" t="s">
        <v>886</v>
      </c>
      <c r="Y733" s="20" t="s">
        <v>36</v>
      </c>
      <c r="Z733" s="20" t="s">
        <v>36</v>
      </c>
    </row>
    <row r="734" spans="1:26">
      <c r="A734" s="20" t="s">
        <v>1649</v>
      </c>
      <c r="B734" s="20" t="s">
        <v>2115</v>
      </c>
      <c r="C734" s="31" t="s">
        <v>2233</v>
      </c>
      <c r="D734" s="49">
        <v>42856</v>
      </c>
      <c r="E734" s="9">
        <v>10.086428</v>
      </c>
      <c r="F734" s="9">
        <v>49.909314000000002</v>
      </c>
      <c r="G734" s="20" t="s">
        <v>2566</v>
      </c>
      <c r="H734" s="20" t="s">
        <v>2567</v>
      </c>
      <c r="I734" s="20" t="s">
        <v>2668</v>
      </c>
      <c r="K734" s="20" t="s">
        <v>2600</v>
      </c>
      <c r="L734" s="20"/>
      <c r="M734" s="172" t="s">
        <v>3583</v>
      </c>
      <c r="N734" s="20" t="s">
        <v>2713</v>
      </c>
      <c r="O734" s="28">
        <v>4.5400000000000003E-2</v>
      </c>
      <c r="P734" s="28">
        <v>3.6903999999999992E-2</v>
      </c>
      <c r="Q734" s="65">
        <f t="shared" si="32"/>
        <v>8.4960000000000105E-3</v>
      </c>
      <c r="R734" s="28">
        <v>2.8620000000000001</v>
      </c>
      <c r="S734" s="28">
        <v>12.465</v>
      </c>
      <c r="T734" s="20">
        <f t="shared" si="33"/>
        <v>35.67483</v>
      </c>
      <c r="X734" s="20" t="s">
        <v>886</v>
      </c>
      <c r="Y734" s="20" t="s">
        <v>36</v>
      </c>
      <c r="Z734" s="20" t="s">
        <v>36</v>
      </c>
    </row>
    <row r="735" spans="1:26">
      <c r="A735" s="20" t="s">
        <v>1651</v>
      </c>
      <c r="B735" s="20" t="s">
        <v>2115</v>
      </c>
      <c r="C735" s="31" t="s">
        <v>2230</v>
      </c>
      <c r="D735" s="49">
        <v>42872</v>
      </c>
      <c r="E735" s="9">
        <v>10.124091999999999</v>
      </c>
      <c r="F735" s="9">
        <v>49.906236</v>
      </c>
      <c r="G735" s="20" t="s">
        <v>2566</v>
      </c>
      <c r="H735" s="20" t="s">
        <v>2567</v>
      </c>
      <c r="I735" s="20" t="s">
        <v>2668</v>
      </c>
      <c r="K735" s="20" t="s">
        <v>2600</v>
      </c>
      <c r="L735" s="20"/>
      <c r="M735" s="172" t="s">
        <v>3579</v>
      </c>
      <c r="N735" s="20" t="s">
        <v>2713</v>
      </c>
      <c r="O735" s="28">
        <v>3.95E-2</v>
      </c>
      <c r="P735" s="28">
        <v>3.6903999999999992E-2</v>
      </c>
      <c r="Q735" s="65">
        <f t="shared" si="32"/>
        <v>2.596000000000008E-3</v>
      </c>
      <c r="R735" s="28">
        <v>2.0019999999999998</v>
      </c>
      <c r="S735" s="28">
        <v>10.281000000000001</v>
      </c>
      <c r="T735" s="20">
        <f t="shared" si="33"/>
        <v>20.582561999999999</v>
      </c>
      <c r="X735" s="20" t="s">
        <v>886</v>
      </c>
      <c r="Y735" s="20" t="s">
        <v>36</v>
      </c>
      <c r="Z735" s="20" t="s">
        <v>36</v>
      </c>
    </row>
    <row r="736" spans="1:26">
      <c r="A736" s="20" t="s">
        <v>1652</v>
      </c>
      <c r="B736" s="20" t="s">
        <v>2115</v>
      </c>
      <c r="C736" s="31" t="s">
        <v>2232</v>
      </c>
      <c r="D736" s="49">
        <v>42872</v>
      </c>
      <c r="E736" s="9">
        <v>10.065003000000001</v>
      </c>
      <c r="F736" s="9">
        <v>49.916336000000001</v>
      </c>
      <c r="G736" s="20" t="s">
        <v>2566</v>
      </c>
      <c r="H736" s="20" t="s">
        <v>2567</v>
      </c>
      <c r="I736" s="20" t="s">
        <v>2668</v>
      </c>
      <c r="K736" s="20" t="s">
        <v>2600</v>
      </c>
      <c r="L736" s="20"/>
      <c r="M736" s="172" t="s">
        <v>3583</v>
      </c>
      <c r="N736" s="20" t="s">
        <v>2713</v>
      </c>
      <c r="O736" s="28">
        <v>4.3700000000000003E-2</v>
      </c>
      <c r="P736" s="28">
        <v>3.6903999999999992E-2</v>
      </c>
      <c r="Q736" s="65">
        <f t="shared" si="32"/>
        <v>6.7960000000000104E-3</v>
      </c>
      <c r="R736" s="28">
        <v>2.5569999999999999</v>
      </c>
      <c r="S736" s="28">
        <v>13.003</v>
      </c>
      <c r="T736" s="20">
        <f t="shared" si="33"/>
        <v>33.248671000000002</v>
      </c>
      <c r="X736" s="20" t="s">
        <v>886</v>
      </c>
      <c r="Y736" s="20" t="s">
        <v>36</v>
      </c>
      <c r="Z736" s="20" t="s">
        <v>36</v>
      </c>
    </row>
    <row r="737" spans="1:26">
      <c r="A737" s="20" t="s">
        <v>1653</v>
      </c>
      <c r="B737" s="20" t="s">
        <v>2115</v>
      </c>
      <c r="C737" s="31" t="s">
        <v>2242</v>
      </c>
      <c r="D737" s="49">
        <v>42872</v>
      </c>
      <c r="E737" s="9">
        <v>10.131019</v>
      </c>
      <c r="F737" s="9">
        <v>49.871225000000003</v>
      </c>
      <c r="G737" s="20" t="s">
        <v>2566</v>
      </c>
      <c r="H737" s="20" t="s">
        <v>2567</v>
      </c>
      <c r="I737" s="20" t="s">
        <v>2668</v>
      </c>
      <c r="K737" s="20" t="s">
        <v>2600</v>
      </c>
      <c r="L737" s="20"/>
      <c r="M737" s="172" t="s">
        <v>3579</v>
      </c>
      <c r="N737" s="20" t="s">
        <v>2713</v>
      </c>
      <c r="O737" s="28">
        <v>4.0800000000000003E-2</v>
      </c>
      <c r="P737" s="28">
        <v>3.6903999999999992E-2</v>
      </c>
      <c r="Q737" s="65">
        <f t="shared" si="32"/>
        <v>3.8960000000000106E-3</v>
      </c>
      <c r="R737" s="28">
        <v>1.8620000000000001</v>
      </c>
      <c r="S737" s="28">
        <v>9.9939999999999998</v>
      </c>
      <c r="T737" s="20">
        <f t="shared" si="33"/>
        <v>18.608827999999999</v>
      </c>
      <c r="X737" s="20" t="s">
        <v>886</v>
      </c>
      <c r="Y737" s="20" t="s">
        <v>36</v>
      </c>
      <c r="Z737" s="20" t="s">
        <v>36</v>
      </c>
    </row>
    <row r="738" spans="1:26">
      <c r="A738" s="20" t="s">
        <v>1654</v>
      </c>
      <c r="B738" s="20" t="s">
        <v>2115</v>
      </c>
      <c r="C738" s="60" t="s">
        <v>2240</v>
      </c>
      <c r="D738" s="49">
        <v>42856</v>
      </c>
      <c r="E738" s="9">
        <v>10.094319</v>
      </c>
      <c r="F738" s="9">
        <v>49.925831000000002</v>
      </c>
      <c r="G738" s="20" t="s">
        <v>2566</v>
      </c>
      <c r="H738" s="20" t="s">
        <v>2567</v>
      </c>
      <c r="I738" s="20" t="s">
        <v>2668</v>
      </c>
      <c r="K738" s="20" t="s">
        <v>2600</v>
      </c>
      <c r="L738" s="20"/>
      <c r="M738" s="172" t="s">
        <v>3583</v>
      </c>
      <c r="N738" s="20" t="s">
        <v>2713</v>
      </c>
      <c r="O738" s="28">
        <v>4.7E-2</v>
      </c>
      <c r="P738" s="28">
        <v>3.6903999999999992E-2</v>
      </c>
      <c r="Q738" s="65">
        <f t="shared" ref="Q738:Q767" si="34">O738-P738</f>
        <v>1.0096000000000008E-2</v>
      </c>
      <c r="R738" s="28">
        <v>2.5870000000000002</v>
      </c>
      <c r="S738" s="28">
        <v>12.866</v>
      </c>
      <c r="T738" s="20">
        <f t="shared" si="33"/>
        <v>33.284342000000002</v>
      </c>
      <c r="X738" s="20" t="s">
        <v>886</v>
      </c>
      <c r="Y738" s="20" t="s">
        <v>36</v>
      </c>
      <c r="Z738" s="20" t="s">
        <v>36</v>
      </c>
    </row>
    <row r="739" spans="1:26">
      <c r="A739" s="20" t="s">
        <v>1655</v>
      </c>
      <c r="B739" s="20" t="s">
        <v>2115</v>
      </c>
      <c r="C739" s="31" t="s">
        <v>2233</v>
      </c>
      <c r="D739" s="49">
        <v>42856</v>
      </c>
      <c r="E739" s="9">
        <v>10.086428</v>
      </c>
      <c r="F739" s="9">
        <v>49.909314000000002</v>
      </c>
      <c r="G739" s="20" t="s">
        <v>2566</v>
      </c>
      <c r="H739" s="20" t="s">
        <v>2567</v>
      </c>
      <c r="I739" s="20" t="s">
        <v>2668</v>
      </c>
      <c r="K739" s="20" t="s">
        <v>2600</v>
      </c>
      <c r="L739" s="20"/>
      <c r="M739" s="172" t="s">
        <v>3583</v>
      </c>
      <c r="N739" s="20" t="s">
        <v>2713</v>
      </c>
      <c r="O739" s="28">
        <v>4.6399999999999997E-2</v>
      </c>
      <c r="P739" s="28">
        <v>3.6903999999999992E-2</v>
      </c>
      <c r="Q739" s="65">
        <f t="shared" si="34"/>
        <v>9.4960000000000044E-3</v>
      </c>
      <c r="R739" s="28">
        <v>2.4430000000000001</v>
      </c>
      <c r="S739" s="28">
        <v>12.612</v>
      </c>
      <c r="T739" s="20">
        <f t="shared" si="33"/>
        <v>30.811116000000002</v>
      </c>
      <c r="X739" s="20" t="s">
        <v>886</v>
      </c>
      <c r="Y739" s="20" t="s">
        <v>36</v>
      </c>
      <c r="Z739" s="20" t="s">
        <v>36</v>
      </c>
    </row>
    <row r="740" spans="1:26">
      <c r="A740" s="20" t="s">
        <v>1656</v>
      </c>
      <c r="B740" s="20" t="s">
        <v>2115</v>
      </c>
      <c r="C740" s="60" t="s">
        <v>2240</v>
      </c>
      <c r="D740" s="49">
        <v>42872</v>
      </c>
      <c r="E740" s="9">
        <v>10.094319</v>
      </c>
      <c r="F740" s="9">
        <v>49.925831000000002</v>
      </c>
      <c r="G740" s="20" t="s">
        <v>2566</v>
      </c>
      <c r="H740" s="20" t="s">
        <v>2567</v>
      </c>
      <c r="I740" s="20" t="s">
        <v>2668</v>
      </c>
      <c r="K740" s="20" t="s">
        <v>2600</v>
      </c>
      <c r="L740" s="20"/>
      <c r="M740" s="172" t="s">
        <v>3583</v>
      </c>
      <c r="N740" s="20" t="s">
        <v>2713</v>
      </c>
      <c r="O740" s="28">
        <v>4.4699999999999997E-2</v>
      </c>
      <c r="P740" s="28">
        <v>3.6903999999999992E-2</v>
      </c>
      <c r="Q740" s="65">
        <f t="shared" si="34"/>
        <v>7.7960000000000043E-3</v>
      </c>
      <c r="R740" s="28">
        <v>2.6320000000000001</v>
      </c>
      <c r="S740" s="28">
        <v>13.09</v>
      </c>
      <c r="T740" s="20">
        <f t="shared" si="33"/>
        <v>34.45288</v>
      </c>
      <c r="X740" s="20" t="s">
        <v>886</v>
      </c>
      <c r="Y740" s="20" t="s">
        <v>36</v>
      </c>
      <c r="Z740" s="20" t="s">
        <v>36</v>
      </c>
    </row>
    <row r="741" spans="1:26">
      <c r="A741" s="20" t="s">
        <v>1657</v>
      </c>
      <c r="B741" s="20" t="s">
        <v>2115</v>
      </c>
      <c r="C741" s="31" t="s">
        <v>2232</v>
      </c>
      <c r="D741" s="49">
        <v>42872</v>
      </c>
      <c r="E741" s="9">
        <v>10.065003000000001</v>
      </c>
      <c r="F741" s="9">
        <v>49.916336000000001</v>
      </c>
      <c r="G741" s="20" t="s">
        <v>2566</v>
      </c>
      <c r="H741" s="20" t="s">
        <v>2567</v>
      </c>
      <c r="I741" s="20" t="s">
        <v>2668</v>
      </c>
      <c r="K741" s="20" t="s">
        <v>2600</v>
      </c>
      <c r="L741" s="20"/>
      <c r="M741" s="172" t="s">
        <v>3583</v>
      </c>
      <c r="N741" s="20" t="s">
        <v>2713</v>
      </c>
      <c r="O741" s="28">
        <v>4.3999999999999997E-2</v>
      </c>
      <c r="P741" s="28">
        <v>3.6903999999999992E-2</v>
      </c>
      <c r="Q741" s="65">
        <f t="shared" si="34"/>
        <v>7.0960000000000051E-3</v>
      </c>
      <c r="R741" s="28">
        <v>2.6619999999999999</v>
      </c>
      <c r="S741" s="28">
        <v>12.895</v>
      </c>
      <c r="T741" s="20">
        <f t="shared" si="33"/>
        <v>34.32649</v>
      </c>
      <c r="X741" s="20" t="s">
        <v>886</v>
      </c>
      <c r="Y741" s="20" t="s">
        <v>36</v>
      </c>
      <c r="Z741" s="20" t="s">
        <v>36</v>
      </c>
    </row>
    <row r="742" spans="1:26">
      <c r="A742" s="20" t="s">
        <v>1658</v>
      </c>
      <c r="B742" s="20" t="s">
        <v>2115</v>
      </c>
      <c r="C742" s="31" t="s">
        <v>2236</v>
      </c>
      <c r="D742" s="49">
        <v>42872</v>
      </c>
      <c r="E742" s="9">
        <v>10.022767</v>
      </c>
      <c r="F742" s="9">
        <v>49.938633000000003</v>
      </c>
      <c r="G742" s="20" t="s">
        <v>2566</v>
      </c>
      <c r="H742" s="20" t="s">
        <v>2567</v>
      </c>
      <c r="I742" s="20" t="s">
        <v>2668</v>
      </c>
      <c r="K742" s="20" t="s">
        <v>2600</v>
      </c>
      <c r="L742" s="20"/>
      <c r="M742" s="172" t="s">
        <v>3579</v>
      </c>
      <c r="N742" s="20" t="s">
        <v>2713</v>
      </c>
      <c r="O742" s="28">
        <v>3.9899999999999998E-2</v>
      </c>
      <c r="P742" s="28">
        <v>3.6903999999999992E-2</v>
      </c>
      <c r="Q742" s="65">
        <f t="shared" si="34"/>
        <v>2.9960000000000056E-3</v>
      </c>
      <c r="R742" s="28">
        <v>1.849</v>
      </c>
      <c r="S742" s="28">
        <v>8.6150000000000002</v>
      </c>
      <c r="T742" s="20">
        <f t="shared" si="33"/>
        <v>15.929135</v>
      </c>
      <c r="X742" s="20" t="s">
        <v>886</v>
      </c>
      <c r="Y742" s="20" t="s">
        <v>36</v>
      </c>
      <c r="Z742" s="20" t="s">
        <v>36</v>
      </c>
    </row>
    <row r="743" spans="1:26">
      <c r="A743" s="20" t="s">
        <v>1659</v>
      </c>
      <c r="B743" s="20" t="s">
        <v>2115</v>
      </c>
      <c r="C743" s="60" t="s">
        <v>2240</v>
      </c>
      <c r="D743" s="49">
        <v>42856</v>
      </c>
      <c r="E743" s="9">
        <v>10.094319</v>
      </c>
      <c r="F743" s="9">
        <v>49.925831000000002</v>
      </c>
      <c r="G743" s="20" t="s">
        <v>2566</v>
      </c>
      <c r="H743" s="20" t="s">
        <v>2567</v>
      </c>
      <c r="I743" s="20" t="s">
        <v>2668</v>
      </c>
      <c r="K743" s="20" t="s">
        <v>2600</v>
      </c>
      <c r="L743" s="20"/>
      <c r="M743" s="172" t="s">
        <v>3583</v>
      </c>
      <c r="N743" s="20" t="s">
        <v>2713</v>
      </c>
      <c r="O743" s="28">
        <v>4.6699999999999998E-2</v>
      </c>
      <c r="P743" s="28">
        <v>3.6903999999999992E-2</v>
      </c>
      <c r="Q743" s="65">
        <f t="shared" si="34"/>
        <v>9.7960000000000061E-3</v>
      </c>
      <c r="R743" s="28">
        <v>2.746</v>
      </c>
      <c r="S743" s="28">
        <v>13.129</v>
      </c>
      <c r="T743" s="20">
        <f t="shared" si="33"/>
        <v>36.052233999999999</v>
      </c>
      <c r="X743" s="20" t="s">
        <v>886</v>
      </c>
      <c r="Y743" s="20" t="s">
        <v>36</v>
      </c>
      <c r="Z743" s="20" t="s">
        <v>36</v>
      </c>
    </row>
    <row r="744" spans="1:26">
      <c r="A744" s="20" t="s">
        <v>1660</v>
      </c>
      <c r="B744" s="20" t="s">
        <v>2115</v>
      </c>
      <c r="C744" s="31" t="s">
        <v>2233</v>
      </c>
      <c r="D744" s="49">
        <v>42856</v>
      </c>
      <c r="E744" s="9">
        <v>10.086428</v>
      </c>
      <c r="F744" s="9">
        <v>49.909314000000002</v>
      </c>
      <c r="G744" s="20" t="s">
        <v>2566</v>
      </c>
      <c r="H744" s="20" t="s">
        <v>2567</v>
      </c>
      <c r="I744" s="20" t="s">
        <v>2668</v>
      </c>
      <c r="K744" s="20" t="s">
        <v>2600</v>
      </c>
      <c r="L744" s="20"/>
      <c r="M744" s="172" t="s">
        <v>3583</v>
      </c>
      <c r="N744" s="20" t="s">
        <v>2713</v>
      </c>
      <c r="O744" s="28">
        <v>4.5600000000000002E-2</v>
      </c>
      <c r="P744" s="28">
        <v>3.6903999999999992E-2</v>
      </c>
      <c r="Q744" s="65">
        <f t="shared" si="34"/>
        <v>8.6960000000000093E-3</v>
      </c>
      <c r="R744" s="28">
        <v>2.6930000000000001</v>
      </c>
      <c r="S744" s="28">
        <v>12.798</v>
      </c>
      <c r="T744" s="20">
        <f t="shared" si="33"/>
        <v>34.465014000000004</v>
      </c>
      <c r="X744" s="20" t="s">
        <v>886</v>
      </c>
      <c r="Y744" s="20" t="s">
        <v>36</v>
      </c>
      <c r="Z744" s="20" t="s">
        <v>36</v>
      </c>
    </row>
    <row r="745" spans="1:26">
      <c r="A745" s="20" t="s">
        <v>1661</v>
      </c>
      <c r="B745" s="20" t="s">
        <v>2115</v>
      </c>
      <c r="C745" s="31" t="s">
        <v>2233</v>
      </c>
      <c r="D745" s="49">
        <v>42872</v>
      </c>
      <c r="E745" s="9">
        <v>10.086428</v>
      </c>
      <c r="F745" s="9">
        <v>49.909314000000002</v>
      </c>
      <c r="G745" s="20" t="s">
        <v>2566</v>
      </c>
      <c r="H745" s="20" t="s">
        <v>2567</v>
      </c>
      <c r="I745" s="20" t="s">
        <v>2668</v>
      </c>
      <c r="K745" s="20" t="s">
        <v>2600</v>
      </c>
      <c r="L745" s="20"/>
      <c r="M745" s="172" t="s">
        <v>2585</v>
      </c>
      <c r="N745" s="20" t="s">
        <v>2713</v>
      </c>
      <c r="O745" s="28">
        <v>4.0099999999999997E-2</v>
      </c>
      <c r="P745" s="28">
        <v>3.6903999999999992E-2</v>
      </c>
      <c r="Q745" s="65">
        <f t="shared" si="34"/>
        <v>3.1960000000000044E-3</v>
      </c>
      <c r="R745" s="28">
        <v>2.02</v>
      </c>
      <c r="S745" s="28">
        <v>9.4039999999999999</v>
      </c>
      <c r="T745" s="20">
        <f t="shared" si="33"/>
        <v>18.996079999999999</v>
      </c>
      <c r="X745" s="20" t="s">
        <v>886</v>
      </c>
      <c r="Y745" s="20" t="s">
        <v>36</v>
      </c>
      <c r="Z745" s="20" t="s">
        <v>36</v>
      </c>
    </row>
    <row r="746" spans="1:26">
      <c r="A746" s="20" t="s">
        <v>1662</v>
      </c>
      <c r="B746" s="20" t="s">
        <v>2115</v>
      </c>
      <c r="C746" s="31" t="s">
        <v>2239</v>
      </c>
      <c r="D746" s="49">
        <v>42872</v>
      </c>
      <c r="E746" s="9">
        <v>10.067944000000001</v>
      </c>
      <c r="F746" s="9">
        <v>49.912992000000003</v>
      </c>
      <c r="G746" s="20" t="s">
        <v>2566</v>
      </c>
      <c r="H746" s="20" t="s">
        <v>2567</v>
      </c>
      <c r="I746" s="20" t="s">
        <v>2668</v>
      </c>
      <c r="K746" s="20" t="s">
        <v>2600</v>
      </c>
      <c r="L746" s="20"/>
      <c r="M746" s="172" t="s">
        <v>3583</v>
      </c>
      <c r="N746" s="20" t="s">
        <v>2713</v>
      </c>
      <c r="O746" s="28">
        <v>4.5199999999999997E-2</v>
      </c>
      <c r="P746" s="28">
        <v>3.6903999999999992E-2</v>
      </c>
      <c r="Q746" s="65">
        <f t="shared" si="34"/>
        <v>8.2960000000000048E-3</v>
      </c>
      <c r="R746" s="28">
        <v>2.4239999999999999</v>
      </c>
      <c r="S746" s="28">
        <v>14.228999999999999</v>
      </c>
      <c r="T746" s="20">
        <f t="shared" si="33"/>
        <v>34.491095999999999</v>
      </c>
      <c r="X746" s="20" t="s">
        <v>886</v>
      </c>
      <c r="Y746" s="20" t="s">
        <v>36</v>
      </c>
      <c r="Z746" s="20" t="s">
        <v>36</v>
      </c>
    </row>
    <row r="747" spans="1:26">
      <c r="A747" s="20" t="s">
        <v>1663</v>
      </c>
      <c r="B747" s="20" t="s">
        <v>2115</v>
      </c>
      <c r="C747" s="31" t="s">
        <v>2233</v>
      </c>
      <c r="D747" s="49">
        <v>42872</v>
      </c>
      <c r="E747" s="9">
        <v>10.086428</v>
      </c>
      <c r="F747" s="9">
        <v>49.909314000000002</v>
      </c>
      <c r="G747" s="20" t="s">
        <v>2566</v>
      </c>
      <c r="H747" s="20" t="s">
        <v>2567</v>
      </c>
      <c r="I747" s="20" t="s">
        <v>2668</v>
      </c>
      <c r="K747" s="20" t="s">
        <v>2600</v>
      </c>
      <c r="L747" s="20"/>
      <c r="M747" s="172" t="s">
        <v>2585</v>
      </c>
      <c r="N747" s="20" t="s">
        <v>2713</v>
      </c>
      <c r="O747" s="28">
        <v>4.1000000000000002E-2</v>
      </c>
      <c r="P747" s="28">
        <v>3.6903999999999992E-2</v>
      </c>
      <c r="Q747" s="65">
        <f t="shared" si="34"/>
        <v>4.0960000000000094E-3</v>
      </c>
      <c r="R747" s="28">
        <v>1.7230000000000001</v>
      </c>
      <c r="S747" s="28">
        <v>8.9640000000000004</v>
      </c>
      <c r="T747" s="20">
        <f t="shared" si="33"/>
        <v>15.444972000000002</v>
      </c>
      <c r="X747" s="20" t="s">
        <v>886</v>
      </c>
      <c r="Y747" s="20" t="s">
        <v>36</v>
      </c>
      <c r="Z747" s="20" t="s">
        <v>36</v>
      </c>
    </row>
    <row r="748" spans="1:26">
      <c r="A748" s="20" t="s">
        <v>1664</v>
      </c>
      <c r="B748" s="20" t="s">
        <v>2115</v>
      </c>
      <c r="C748" s="31" t="s">
        <v>2233</v>
      </c>
      <c r="D748" s="49">
        <v>42856</v>
      </c>
      <c r="E748" s="9">
        <v>10.086428</v>
      </c>
      <c r="F748" s="9">
        <v>49.909314000000002</v>
      </c>
      <c r="G748" s="20" t="s">
        <v>2566</v>
      </c>
      <c r="H748" s="20" t="s">
        <v>2567</v>
      </c>
      <c r="I748" s="20" t="s">
        <v>2668</v>
      </c>
      <c r="K748" s="20" t="s">
        <v>2600</v>
      </c>
      <c r="L748" s="20"/>
      <c r="M748" s="172" t="s">
        <v>3583</v>
      </c>
      <c r="N748" s="20" t="s">
        <v>2713</v>
      </c>
      <c r="O748" s="28">
        <v>4.5400000000000003E-2</v>
      </c>
      <c r="P748" s="28">
        <v>3.6903999999999992E-2</v>
      </c>
      <c r="Q748" s="65">
        <f t="shared" si="34"/>
        <v>8.4960000000000105E-3</v>
      </c>
      <c r="R748" s="28">
        <v>2.5750000000000002</v>
      </c>
      <c r="S748" s="28">
        <v>12.339</v>
      </c>
      <c r="T748" s="20">
        <f t="shared" si="33"/>
        <v>31.772925000000004</v>
      </c>
      <c r="X748" s="20" t="s">
        <v>886</v>
      </c>
      <c r="Y748" s="20" t="s">
        <v>36</v>
      </c>
      <c r="Z748" s="20" t="s">
        <v>36</v>
      </c>
    </row>
    <row r="749" spans="1:26">
      <c r="A749" s="20" t="s">
        <v>1665</v>
      </c>
      <c r="B749" s="20" t="s">
        <v>2115</v>
      </c>
      <c r="C749" s="60" t="s">
        <v>2240</v>
      </c>
      <c r="D749" s="49">
        <v>42856</v>
      </c>
      <c r="E749" s="9">
        <v>10.094319</v>
      </c>
      <c r="F749" s="9">
        <v>49.925831000000002</v>
      </c>
      <c r="G749" s="20" t="s">
        <v>2566</v>
      </c>
      <c r="H749" s="20" t="s">
        <v>2567</v>
      </c>
      <c r="I749" s="20" t="s">
        <v>2668</v>
      </c>
      <c r="K749" s="20" t="s">
        <v>2600</v>
      </c>
      <c r="L749" s="20"/>
      <c r="M749" s="172" t="s">
        <v>3583</v>
      </c>
      <c r="N749" s="20" t="s">
        <v>2713</v>
      </c>
      <c r="O749" s="28">
        <v>4.7800000000000002E-2</v>
      </c>
      <c r="P749" s="28">
        <v>3.6903999999999992E-2</v>
      </c>
      <c r="Q749" s="65">
        <f t="shared" si="34"/>
        <v>1.089600000000001E-2</v>
      </c>
      <c r="R749" s="28">
        <v>2.4889999999999999</v>
      </c>
      <c r="S749" s="28">
        <v>13.077999999999999</v>
      </c>
      <c r="T749" s="20">
        <f t="shared" si="33"/>
        <v>32.551141999999999</v>
      </c>
      <c r="X749" s="20" t="s">
        <v>886</v>
      </c>
      <c r="Y749" s="20" t="s">
        <v>36</v>
      </c>
      <c r="Z749" s="20" t="s">
        <v>36</v>
      </c>
    </row>
    <row r="750" spans="1:26">
      <c r="A750" s="20" t="s">
        <v>1666</v>
      </c>
      <c r="B750" s="20" t="s">
        <v>2115</v>
      </c>
      <c r="C750" s="31" t="s">
        <v>2233</v>
      </c>
      <c r="D750" s="49">
        <v>42872</v>
      </c>
      <c r="E750" s="9">
        <v>10.086428</v>
      </c>
      <c r="F750" s="9">
        <v>49.909314000000002</v>
      </c>
      <c r="G750" s="20" t="s">
        <v>2566</v>
      </c>
      <c r="H750" s="20" t="s">
        <v>2567</v>
      </c>
      <c r="I750" s="20" t="s">
        <v>2668</v>
      </c>
      <c r="K750" s="20" t="s">
        <v>2600</v>
      </c>
      <c r="L750" s="20"/>
      <c r="M750" s="172" t="s">
        <v>2591</v>
      </c>
      <c r="N750" s="20" t="s">
        <v>2713</v>
      </c>
      <c r="O750" s="28">
        <v>4.9000000000000002E-2</v>
      </c>
      <c r="P750" s="28">
        <v>3.6903999999999992E-2</v>
      </c>
      <c r="Q750" s="65">
        <f t="shared" si="34"/>
        <v>1.209600000000001E-2</v>
      </c>
      <c r="R750" s="28">
        <v>2.8889999999999998</v>
      </c>
      <c r="S750" s="28">
        <v>14.839</v>
      </c>
      <c r="T750" s="20">
        <f t="shared" si="33"/>
        <v>42.869870999999996</v>
      </c>
      <c r="X750" s="20" t="s">
        <v>886</v>
      </c>
      <c r="Y750" s="20" t="s">
        <v>36</v>
      </c>
      <c r="Z750" s="20" t="s">
        <v>36</v>
      </c>
    </row>
    <row r="751" spans="1:26">
      <c r="A751" s="20" t="s">
        <v>1667</v>
      </c>
      <c r="B751" s="20" t="s">
        <v>2115</v>
      </c>
      <c r="C751" s="31" t="s">
        <v>2237</v>
      </c>
      <c r="D751" s="49">
        <v>42872</v>
      </c>
      <c r="E751" s="9">
        <v>10.045693999999999</v>
      </c>
      <c r="F751" s="9">
        <v>49.896189</v>
      </c>
      <c r="G751" s="20" t="s">
        <v>2566</v>
      </c>
      <c r="H751" s="20" t="s">
        <v>2567</v>
      </c>
      <c r="I751" s="20" t="s">
        <v>2668</v>
      </c>
      <c r="K751" s="20" t="s">
        <v>2600</v>
      </c>
      <c r="L751" s="20"/>
      <c r="M751" s="172" t="s">
        <v>2591</v>
      </c>
      <c r="N751" s="20" t="s">
        <v>2713</v>
      </c>
      <c r="O751" s="28">
        <v>4.5400000000000003E-2</v>
      </c>
      <c r="P751" s="28">
        <v>3.6903999999999992E-2</v>
      </c>
      <c r="Q751" s="65">
        <f t="shared" si="34"/>
        <v>8.4960000000000105E-3</v>
      </c>
      <c r="R751" s="28">
        <v>2.8740000000000001</v>
      </c>
      <c r="S751" s="28">
        <v>14.519</v>
      </c>
      <c r="T751" s="20">
        <f t="shared" si="33"/>
        <v>41.727606000000002</v>
      </c>
      <c r="X751" s="20" t="s">
        <v>886</v>
      </c>
      <c r="Y751" s="20" t="s">
        <v>36</v>
      </c>
      <c r="Z751" s="20" t="s">
        <v>36</v>
      </c>
    </row>
    <row r="752" spans="1:26">
      <c r="A752" s="20" t="s">
        <v>1668</v>
      </c>
      <c r="B752" s="20" t="s">
        <v>2115</v>
      </c>
      <c r="C752" s="31" t="s">
        <v>2230</v>
      </c>
      <c r="D752" s="49">
        <v>42872</v>
      </c>
      <c r="E752" s="9">
        <v>10.124091999999999</v>
      </c>
      <c r="F752" s="9">
        <v>49.906236</v>
      </c>
      <c r="G752" s="20" t="s">
        <v>2566</v>
      </c>
      <c r="H752" s="20" t="s">
        <v>2567</v>
      </c>
      <c r="I752" s="20" t="s">
        <v>2668</v>
      </c>
      <c r="K752" s="20" t="s">
        <v>2600</v>
      </c>
      <c r="L752" s="20"/>
      <c r="M752" s="172" t="s">
        <v>3579</v>
      </c>
      <c r="N752" s="20" t="s">
        <v>2713</v>
      </c>
      <c r="O752" s="28">
        <v>4.1099999999999998E-2</v>
      </c>
      <c r="P752" s="28">
        <v>3.6903999999999992E-2</v>
      </c>
      <c r="Q752" s="65">
        <f t="shared" si="34"/>
        <v>4.1960000000000053E-3</v>
      </c>
      <c r="R752" s="28">
        <v>1.907</v>
      </c>
      <c r="S752" s="28">
        <v>9.5719999999999992</v>
      </c>
      <c r="T752" s="20">
        <f t="shared" si="33"/>
        <v>18.253803999999999</v>
      </c>
      <c r="X752" s="20" t="s">
        <v>886</v>
      </c>
      <c r="Y752" s="20" t="s">
        <v>36</v>
      </c>
      <c r="Z752" s="20" t="s">
        <v>36</v>
      </c>
    </row>
    <row r="753" spans="1:26">
      <c r="A753" s="20" t="s">
        <v>1669</v>
      </c>
      <c r="B753" s="20" t="s">
        <v>2115</v>
      </c>
      <c r="C753" s="60" t="s">
        <v>2240</v>
      </c>
      <c r="D753" s="49">
        <v>42856</v>
      </c>
      <c r="E753" s="9">
        <v>10.094319</v>
      </c>
      <c r="F753" s="9">
        <v>49.925831000000002</v>
      </c>
      <c r="G753" s="20" t="s">
        <v>2566</v>
      </c>
      <c r="H753" s="20" t="s">
        <v>2567</v>
      </c>
      <c r="I753" s="20" t="s">
        <v>2668</v>
      </c>
      <c r="K753" s="20" t="s">
        <v>2600</v>
      </c>
      <c r="L753" s="20"/>
      <c r="M753" s="172" t="s">
        <v>3583</v>
      </c>
      <c r="N753" s="20" t="s">
        <v>2713</v>
      </c>
      <c r="O753" s="28">
        <v>4.8399999999999999E-2</v>
      </c>
      <c r="P753" s="28">
        <v>3.6903999999999992E-2</v>
      </c>
      <c r="Q753" s="65">
        <f t="shared" si="34"/>
        <v>1.1496000000000006E-2</v>
      </c>
      <c r="R753" s="28">
        <v>2.7890000000000001</v>
      </c>
      <c r="S753" s="28">
        <v>13.917999999999999</v>
      </c>
      <c r="T753" s="20">
        <f t="shared" si="33"/>
        <v>38.817301999999998</v>
      </c>
      <c r="X753" s="20" t="s">
        <v>886</v>
      </c>
      <c r="Y753" s="20" t="s">
        <v>36</v>
      </c>
      <c r="Z753" s="20" t="s">
        <v>36</v>
      </c>
    </row>
    <row r="754" spans="1:26">
      <c r="A754" s="20" t="s">
        <v>1670</v>
      </c>
      <c r="B754" s="20" t="s">
        <v>2115</v>
      </c>
      <c r="C754" s="31" t="s">
        <v>2232</v>
      </c>
      <c r="D754" s="49">
        <v>42856</v>
      </c>
      <c r="E754" s="9">
        <v>10.065003000000001</v>
      </c>
      <c r="F754" s="9">
        <v>49.916336000000001</v>
      </c>
      <c r="G754" s="20" t="s">
        <v>2566</v>
      </c>
      <c r="H754" s="20" t="s">
        <v>2567</v>
      </c>
      <c r="I754" s="20" t="s">
        <v>2668</v>
      </c>
      <c r="K754" s="20" t="s">
        <v>2600</v>
      </c>
      <c r="L754" s="20"/>
      <c r="M754" s="172" t="s">
        <v>3583</v>
      </c>
      <c r="N754" s="20" t="s">
        <v>2713</v>
      </c>
      <c r="O754" s="28">
        <v>4.7E-2</v>
      </c>
      <c r="P754" s="28">
        <v>3.6903999999999992E-2</v>
      </c>
      <c r="Q754" s="65">
        <f t="shared" si="34"/>
        <v>1.0096000000000008E-2</v>
      </c>
      <c r="R754" s="28">
        <v>2.5529999999999999</v>
      </c>
      <c r="S754" s="28">
        <v>12.779</v>
      </c>
      <c r="T754" s="20">
        <f t="shared" si="33"/>
        <v>32.624786999999998</v>
      </c>
      <c r="X754" s="20" t="s">
        <v>886</v>
      </c>
      <c r="Y754" s="20" t="s">
        <v>36</v>
      </c>
      <c r="Z754" s="20" t="s">
        <v>36</v>
      </c>
    </row>
    <row r="755" spans="1:26">
      <c r="A755" s="20" t="s">
        <v>1671</v>
      </c>
      <c r="B755" s="20" t="s">
        <v>2115</v>
      </c>
      <c r="C755" s="31" t="s">
        <v>2236</v>
      </c>
      <c r="D755" s="49">
        <v>42872</v>
      </c>
      <c r="E755" s="9">
        <v>10.022767</v>
      </c>
      <c r="F755" s="9">
        <v>49.938633000000003</v>
      </c>
      <c r="G755" s="20" t="s">
        <v>2566</v>
      </c>
      <c r="H755" s="20" t="s">
        <v>2567</v>
      </c>
      <c r="I755" s="20" t="s">
        <v>2668</v>
      </c>
      <c r="K755" s="20" t="s">
        <v>2600</v>
      </c>
      <c r="L755" s="20"/>
      <c r="M755" s="172" t="s">
        <v>3583</v>
      </c>
      <c r="N755" s="20" t="s">
        <v>2713</v>
      </c>
      <c r="O755" s="28">
        <v>4.65E-2</v>
      </c>
      <c r="P755" s="28">
        <v>3.6903999999999992E-2</v>
      </c>
      <c r="Q755" s="65">
        <f t="shared" si="34"/>
        <v>9.5960000000000073E-3</v>
      </c>
      <c r="R755" s="28">
        <v>2.7949999999999999</v>
      </c>
      <c r="S755" s="28">
        <v>13.824</v>
      </c>
      <c r="T755" s="20">
        <f t="shared" si="33"/>
        <v>38.638079999999995</v>
      </c>
      <c r="X755" s="20" t="s">
        <v>886</v>
      </c>
      <c r="Y755" s="20" t="s">
        <v>36</v>
      </c>
      <c r="Z755" s="20" t="s">
        <v>36</v>
      </c>
    </row>
    <row r="756" spans="1:26">
      <c r="A756" s="20" t="s">
        <v>1672</v>
      </c>
      <c r="B756" s="20" t="s">
        <v>2115</v>
      </c>
      <c r="C756" s="31" t="s">
        <v>2237</v>
      </c>
      <c r="D756" s="49">
        <v>42872</v>
      </c>
      <c r="E756" s="9">
        <v>10.045693999999999</v>
      </c>
      <c r="F756" s="9">
        <v>49.896189</v>
      </c>
      <c r="G756" s="20" t="s">
        <v>2566</v>
      </c>
      <c r="H756" s="20" t="s">
        <v>2567</v>
      </c>
      <c r="I756" s="20" t="s">
        <v>2668</v>
      </c>
      <c r="K756" s="20" t="s">
        <v>2600</v>
      </c>
      <c r="L756" s="20"/>
      <c r="M756" s="172" t="s">
        <v>2591</v>
      </c>
      <c r="N756" s="20" t="s">
        <v>2713</v>
      </c>
      <c r="O756" s="28">
        <v>4.58E-2</v>
      </c>
      <c r="P756" s="28">
        <v>3.6903999999999992E-2</v>
      </c>
      <c r="Q756" s="65">
        <f t="shared" si="34"/>
        <v>8.8960000000000081E-3</v>
      </c>
      <c r="R756" s="28">
        <v>2.9409999999999998</v>
      </c>
      <c r="S756" s="28">
        <v>12.935</v>
      </c>
      <c r="T756" s="20">
        <f t="shared" si="33"/>
        <v>38.041834999999999</v>
      </c>
      <c r="X756" s="20" t="s">
        <v>886</v>
      </c>
      <c r="Y756" s="20" t="s">
        <v>36</v>
      </c>
      <c r="Z756" s="20" t="s">
        <v>36</v>
      </c>
    </row>
    <row r="757" spans="1:26">
      <c r="A757" s="20" t="s">
        <v>1673</v>
      </c>
      <c r="B757" s="20" t="s">
        <v>2115</v>
      </c>
      <c r="C757" s="31" t="s">
        <v>2229</v>
      </c>
      <c r="D757" s="49">
        <v>42872</v>
      </c>
      <c r="E757" s="9">
        <v>10.057994000000001</v>
      </c>
      <c r="F757" s="9">
        <v>49.937230999999997</v>
      </c>
      <c r="G757" s="20" t="s">
        <v>2566</v>
      </c>
      <c r="H757" s="20" t="s">
        <v>2567</v>
      </c>
      <c r="I757" s="20" t="s">
        <v>2668</v>
      </c>
      <c r="K757" s="20" t="s">
        <v>2600</v>
      </c>
      <c r="L757" s="20"/>
      <c r="M757" s="172" t="s">
        <v>3579</v>
      </c>
      <c r="N757" s="20" t="s">
        <v>2713</v>
      </c>
      <c r="O757" s="28">
        <v>4.1300000000000003E-2</v>
      </c>
      <c r="P757" s="28">
        <v>3.6903999999999992E-2</v>
      </c>
      <c r="Q757" s="65">
        <f t="shared" si="34"/>
        <v>4.396000000000011E-3</v>
      </c>
      <c r="R757" s="28">
        <v>1.655</v>
      </c>
      <c r="S757" s="28">
        <v>10.464</v>
      </c>
      <c r="T757" s="20">
        <f t="shared" si="33"/>
        <v>17.317920000000001</v>
      </c>
      <c r="X757" s="20" t="s">
        <v>886</v>
      </c>
      <c r="Y757" s="20" t="s">
        <v>36</v>
      </c>
      <c r="Z757" s="20" t="s">
        <v>36</v>
      </c>
    </row>
    <row r="758" spans="1:26">
      <c r="A758" s="20" t="s">
        <v>1674</v>
      </c>
      <c r="B758" s="20" t="s">
        <v>2115</v>
      </c>
      <c r="C758" s="31" t="s">
        <v>2228</v>
      </c>
      <c r="D758" s="49">
        <v>42872</v>
      </c>
      <c r="E758" s="9">
        <v>10.050008</v>
      </c>
      <c r="F758" s="9">
        <v>49.941994000000001</v>
      </c>
      <c r="G758" s="20" t="s">
        <v>2566</v>
      </c>
      <c r="H758" s="20" t="s">
        <v>2567</v>
      </c>
      <c r="I758" s="20" t="s">
        <v>2668</v>
      </c>
      <c r="K758" s="20" t="s">
        <v>2600</v>
      </c>
      <c r="L758" s="20"/>
      <c r="M758" s="172" t="s">
        <v>3619</v>
      </c>
      <c r="N758" s="20" t="s">
        <v>2713</v>
      </c>
      <c r="O758" s="28">
        <v>0.04</v>
      </c>
      <c r="P758" s="28">
        <v>3.6903999999999992E-2</v>
      </c>
      <c r="Q758" s="65">
        <f t="shared" si="34"/>
        <v>3.0960000000000085E-3</v>
      </c>
      <c r="R758" s="28">
        <v>1.948</v>
      </c>
      <c r="S758" s="28">
        <v>8.8729999999999993</v>
      </c>
      <c r="T758" s="20">
        <f t="shared" si="33"/>
        <v>17.284603999999998</v>
      </c>
      <c r="X758" s="20" t="s">
        <v>886</v>
      </c>
      <c r="Y758" s="20" t="s">
        <v>36</v>
      </c>
      <c r="Z758" s="20" t="s">
        <v>36</v>
      </c>
    </row>
    <row r="759" spans="1:26">
      <c r="A759" s="20" t="s">
        <v>1675</v>
      </c>
      <c r="B759" s="20" t="s">
        <v>2115</v>
      </c>
      <c r="C759" s="31" t="s">
        <v>2233</v>
      </c>
      <c r="D759" s="49">
        <v>42856</v>
      </c>
      <c r="E759" s="9">
        <v>10.086428</v>
      </c>
      <c r="F759" s="9">
        <v>49.909314000000002</v>
      </c>
      <c r="G759" s="20" t="s">
        <v>2566</v>
      </c>
      <c r="H759" s="20" t="s">
        <v>2567</v>
      </c>
      <c r="I759" s="20" t="s">
        <v>2668</v>
      </c>
      <c r="K759" s="20" t="s">
        <v>2600</v>
      </c>
      <c r="L759" s="20"/>
      <c r="M759" s="172" t="s">
        <v>3583</v>
      </c>
      <c r="N759" s="20" t="s">
        <v>2713</v>
      </c>
      <c r="O759" s="28">
        <v>4.5499999999999999E-2</v>
      </c>
      <c r="P759" s="28">
        <v>3.6903999999999992E-2</v>
      </c>
      <c r="Q759" s="65">
        <f t="shared" si="34"/>
        <v>8.5960000000000064E-3</v>
      </c>
      <c r="R759" s="28">
        <v>2.6070000000000002</v>
      </c>
      <c r="S759" s="28">
        <v>12.794</v>
      </c>
      <c r="T759" s="20">
        <f t="shared" si="33"/>
        <v>33.353958000000006</v>
      </c>
      <c r="X759" s="20" t="s">
        <v>886</v>
      </c>
      <c r="Y759" s="20" t="s">
        <v>36</v>
      </c>
      <c r="Z759" s="20" t="s">
        <v>36</v>
      </c>
    </row>
    <row r="760" spans="1:26">
      <c r="A760" s="20" t="s">
        <v>1676</v>
      </c>
      <c r="B760" s="20" t="s">
        <v>2115</v>
      </c>
      <c r="C760" s="31" t="s">
        <v>2230</v>
      </c>
      <c r="D760" s="49">
        <v>42872</v>
      </c>
      <c r="E760" s="9">
        <v>10.124091999999999</v>
      </c>
      <c r="F760" s="9">
        <v>49.906236</v>
      </c>
      <c r="G760" s="20" t="s">
        <v>2566</v>
      </c>
      <c r="H760" s="20" t="s">
        <v>2567</v>
      </c>
      <c r="I760" s="20" t="s">
        <v>2668</v>
      </c>
      <c r="K760" s="20" t="s">
        <v>2600</v>
      </c>
      <c r="L760" s="20"/>
      <c r="M760" s="172" t="s">
        <v>3579</v>
      </c>
      <c r="N760" s="20" t="s">
        <v>2713</v>
      </c>
      <c r="O760" s="28">
        <v>4.0800000000000003E-2</v>
      </c>
      <c r="P760" s="28">
        <v>3.6903999999999992E-2</v>
      </c>
      <c r="Q760" s="65">
        <f t="shared" si="34"/>
        <v>3.8960000000000106E-3</v>
      </c>
      <c r="R760" s="28">
        <v>1.9350000000000001</v>
      </c>
      <c r="S760" s="28">
        <v>9.3089999999999993</v>
      </c>
      <c r="T760" s="20">
        <f t="shared" ref="T760:T767" si="35">R760*S760</f>
        <v>18.012915</v>
      </c>
      <c r="X760" s="20" t="s">
        <v>886</v>
      </c>
      <c r="Y760" s="20" t="s">
        <v>36</v>
      </c>
      <c r="Z760" s="20" t="s">
        <v>36</v>
      </c>
    </row>
    <row r="761" spans="1:26">
      <c r="A761" s="20" t="s">
        <v>1677</v>
      </c>
      <c r="B761" s="20" t="s">
        <v>2115</v>
      </c>
      <c r="C761" s="31" t="s">
        <v>2239</v>
      </c>
      <c r="D761" s="49">
        <v>42872</v>
      </c>
      <c r="E761" s="9">
        <v>10.067944000000001</v>
      </c>
      <c r="F761" s="9">
        <v>49.912992000000003</v>
      </c>
      <c r="G761" s="20" t="s">
        <v>2566</v>
      </c>
      <c r="H761" s="20" t="s">
        <v>2567</v>
      </c>
      <c r="I761" s="20" t="s">
        <v>2668</v>
      </c>
      <c r="K761" s="20" t="s">
        <v>2600</v>
      </c>
      <c r="L761" s="20"/>
      <c r="M761" s="172" t="s">
        <v>2585</v>
      </c>
      <c r="N761" s="20" t="s">
        <v>2713</v>
      </c>
      <c r="O761" s="28">
        <v>4.0500000000000001E-2</v>
      </c>
      <c r="P761" s="28">
        <v>3.6903999999999992E-2</v>
      </c>
      <c r="Q761" s="65">
        <f t="shared" si="34"/>
        <v>3.5960000000000089E-3</v>
      </c>
      <c r="R761" s="28">
        <v>1.9730000000000001</v>
      </c>
      <c r="S761" s="28">
        <v>9.0269999999999992</v>
      </c>
      <c r="T761" s="20">
        <f t="shared" si="35"/>
        <v>17.810271</v>
      </c>
      <c r="X761" s="20" t="s">
        <v>886</v>
      </c>
      <c r="Y761" s="20" t="s">
        <v>36</v>
      </c>
      <c r="Z761" s="20" t="s">
        <v>36</v>
      </c>
    </row>
    <row r="762" spans="1:26">
      <c r="A762" s="20" t="s">
        <v>1678</v>
      </c>
      <c r="B762" s="20" t="s">
        <v>2115</v>
      </c>
      <c r="C762" s="31" t="s">
        <v>2230</v>
      </c>
      <c r="D762" s="49">
        <v>42872</v>
      </c>
      <c r="E762" s="9">
        <v>10.124091999999999</v>
      </c>
      <c r="F762" s="9">
        <v>49.906236</v>
      </c>
      <c r="G762" s="20" t="s">
        <v>2566</v>
      </c>
      <c r="H762" s="20" t="s">
        <v>2567</v>
      </c>
      <c r="I762" s="20" t="s">
        <v>2668</v>
      </c>
      <c r="K762" s="20" t="s">
        <v>2600</v>
      </c>
      <c r="L762" s="20"/>
      <c r="M762" s="172" t="s">
        <v>3578</v>
      </c>
      <c r="N762" s="20" t="s">
        <v>2713</v>
      </c>
      <c r="O762" s="28">
        <v>3.9E-2</v>
      </c>
      <c r="P762" s="28">
        <v>3.6903999999999992E-2</v>
      </c>
      <c r="Q762" s="65">
        <f t="shared" si="34"/>
        <v>2.0960000000000076E-3</v>
      </c>
      <c r="R762" s="28">
        <v>1.4239999999999999</v>
      </c>
      <c r="S762" s="28">
        <v>7.0279999999999996</v>
      </c>
      <c r="T762" s="20">
        <f t="shared" si="35"/>
        <v>10.007871999999999</v>
      </c>
      <c r="X762" s="20" t="s">
        <v>886</v>
      </c>
      <c r="Y762" s="20" t="s">
        <v>36</v>
      </c>
      <c r="Z762" s="20" t="s">
        <v>36</v>
      </c>
    </row>
    <row r="763" spans="1:26">
      <c r="A763" s="20" t="s">
        <v>1679</v>
      </c>
      <c r="B763" s="20" t="s">
        <v>2115</v>
      </c>
      <c r="C763" s="31" t="s">
        <v>2230</v>
      </c>
      <c r="D763" s="49">
        <v>42872</v>
      </c>
      <c r="E763" s="9">
        <v>10.124091999999999</v>
      </c>
      <c r="F763" s="9">
        <v>49.906236</v>
      </c>
      <c r="G763" s="20" t="s">
        <v>2566</v>
      </c>
      <c r="H763" s="20" t="s">
        <v>2567</v>
      </c>
      <c r="I763" s="20" t="s">
        <v>2668</v>
      </c>
      <c r="K763" s="20" t="s">
        <v>2600</v>
      </c>
      <c r="L763" s="20"/>
      <c r="M763" s="172" t="s">
        <v>3579</v>
      </c>
      <c r="N763" s="20" t="s">
        <v>2713</v>
      </c>
      <c r="O763" s="28">
        <v>4.0399999999999998E-2</v>
      </c>
      <c r="P763" s="28">
        <v>3.6903999999999992E-2</v>
      </c>
      <c r="Q763" s="65">
        <f t="shared" si="34"/>
        <v>3.496000000000006E-3</v>
      </c>
      <c r="R763" s="28">
        <v>1.7749999999999999</v>
      </c>
      <c r="S763" s="28">
        <v>8.9510000000000005</v>
      </c>
      <c r="T763" s="20">
        <f t="shared" si="35"/>
        <v>15.888025000000001</v>
      </c>
      <c r="X763" s="20" t="s">
        <v>886</v>
      </c>
      <c r="Y763" s="20" t="s">
        <v>36</v>
      </c>
      <c r="Z763" s="20" t="s">
        <v>36</v>
      </c>
    </row>
    <row r="764" spans="1:26">
      <c r="A764" s="20" t="s">
        <v>1680</v>
      </c>
      <c r="B764" s="20" t="s">
        <v>2115</v>
      </c>
      <c r="C764" s="31" t="s">
        <v>2230</v>
      </c>
      <c r="D764" s="49">
        <v>42856</v>
      </c>
      <c r="E764" s="9">
        <v>10.124091999999999</v>
      </c>
      <c r="F764" s="9">
        <v>49.906236</v>
      </c>
      <c r="G764" s="20" t="s">
        <v>2566</v>
      </c>
      <c r="H764" s="20" t="s">
        <v>2567</v>
      </c>
      <c r="I764" s="20" t="s">
        <v>2668</v>
      </c>
      <c r="K764" s="20" t="s">
        <v>2600</v>
      </c>
      <c r="L764" s="20"/>
      <c r="M764" s="172" t="s">
        <v>3583</v>
      </c>
      <c r="N764" s="20" t="s">
        <v>2713</v>
      </c>
      <c r="O764" s="28">
        <v>4.48E-2</v>
      </c>
      <c r="P764" s="28">
        <v>3.6903999999999992E-2</v>
      </c>
      <c r="Q764" s="65">
        <f t="shared" si="34"/>
        <v>7.8960000000000072E-3</v>
      </c>
      <c r="R764" s="28">
        <v>2.649</v>
      </c>
      <c r="S764" s="28">
        <v>12.984</v>
      </c>
      <c r="T764" s="20">
        <f t="shared" si="35"/>
        <v>34.394615999999999</v>
      </c>
      <c r="X764" s="20" t="s">
        <v>886</v>
      </c>
      <c r="Y764" s="20" t="s">
        <v>36</v>
      </c>
      <c r="Z764" s="20" t="s">
        <v>36</v>
      </c>
    </row>
    <row r="765" spans="1:26">
      <c r="A765" s="20" t="s">
        <v>1681</v>
      </c>
      <c r="B765" s="20" t="s">
        <v>2115</v>
      </c>
      <c r="C765" s="31" t="s">
        <v>2233</v>
      </c>
      <c r="D765" s="49">
        <v>42872</v>
      </c>
      <c r="E765" s="9">
        <v>10.086428</v>
      </c>
      <c r="F765" s="9">
        <v>49.909314000000002</v>
      </c>
      <c r="G765" s="20" t="s">
        <v>2566</v>
      </c>
      <c r="H765" s="20" t="s">
        <v>2567</v>
      </c>
      <c r="I765" s="20" t="s">
        <v>2668</v>
      </c>
      <c r="K765" s="20" t="s">
        <v>2600</v>
      </c>
      <c r="L765" s="20"/>
      <c r="M765" s="172" t="s">
        <v>3583</v>
      </c>
      <c r="N765" s="20" t="s">
        <v>2713</v>
      </c>
      <c r="O765" s="28">
        <v>4.4900000000000002E-2</v>
      </c>
      <c r="P765" s="28">
        <v>3.6903999999999992E-2</v>
      </c>
      <c r="Q765" s="65">
        <f t="shared" si="34"/>
        <v>7.99600000000001E-3</v>
      </c>
      <c r="R765" s="28">
        <v>2.665</v>
      </c>
      <c r="S765" s="28">
        <v>14.449</v>
      </c>
      <c r="T765" s="20">
        <f t="shared" si="35"/>
        <v>38.506585000000001</v>
      </c>
      <c r="X765" s="20" t="s">
        <v>886</v>
      </c>
      <c r="Y765" s="20" t="s">
        <v>36</v>
      </c>
      <c r="Z765" s="20" t="s">
        <v>36</v>
      </c>
    </row>
    <row r="766" spans="1:26">
      <c r="A766" s="20" t="s">
        <v>1682</v>
      </c>
      <c r="B766" s="20" t="s">
        <v>2115</v>
      </c>
      <c r="C766" s="31" t="s">
        <v>2227</v>
      </c>
      <c r="D766" s="49">
        <v>42872</v>
      </c>
      <c r="E766" s="9">
        <v>10.040881000000001</v>
      </c>
      <c r="F766" s="9">
        <v>49.937356000000001</v>
      </c>
      <c r="G766" s="20" t="s">
        <v>2566</v>
      </c>
      <c r="H766" s="20" t="s">
        <v>2567</v>
      </c>
      <c r="I766" s="20" t="s">
        <v>2668</v>
      </c>
      <c r="K766" s="20" t="s">
        <v>2600</v>
      </c>
      <c r="L766" s="20"/>
      <c r="M766" s="172" t="s">
        <v>3583</v>
      </c>
      <c r="N766" s="20" t="s">
        <v>2713</v>
      </c>
      <c r="O766" s="28">
        <v>4.5699999999999998E-2</v>
      </c>
      <c r="P766" s="28">
        <v>3.6903999999999992E-2</v>
      </c>
      <c r="Q766" s="65">
        <f t="shared" si="34"/>
        <v>8.7960000000000052E-3</v>
      </c>
      <c r="R766" s="28">
        <v>2.4620000000000002</v>
      </c>
      <c r="S766" s="28">
        <v>13.532999999999999</v>
      </c>
      <c r="T766" s="20">
        <f t="shared" si="35"/>
        <v>33.318246000000002</v>
      </c>
      <c r="X766" s="20" t="s">
        <v>886</v>
      </c>
      <c r="Y766" s="20" t="s">
        <v>36</v>
      </c>
      <c r="Z766" s="20" t="s">
        <v>36</v>
      </c>
    </row>
    <row r="767" spans="1:26">
      <c r="A767" s="20" t="s">
        <v>1683</v>
      </c>
      <c r="B767" s="20" t="s">
        <v>2115</v>
      </c>
      <c r="C767" s="31" t="s">
        <v>2241</v>
      </c>
      <c r="D767" s="49">
        <v>42872</v>
      </c>
      <c r="E767" s="20">
        <v>10.109500000000001</v>
      </c>
      <c r="F767" s="9">
        <v>49.861344000000003</v>
      </c>
      <c r="G767" s="20" t="s">
        <v>2566</v>
      </c>
      <c r="H767" s="20" t="s">
        <v>2567</v>
      </c>
      <c r="I767" s="20" t="s">
        <v>2668</v>
      </c>
      <c r="K767" s="20" t="s">
        <v>2600</v>
      </c>
      <c r="L767" s="20"/>
      <c r="M767" s="172" t="s">
        <v>3573</v>
      </c>
      <c r="N767" s="20" t="s">
        <v>2713</v>
      </c>
      <c r="O767" s="28">
        <v>3.8600000000000002E-2</v>
      </c>
      <c r="P767" s="28">
        <v>3.6903999999999992E-2</v>
      </c>
      <c r="Q767" s="65">
        <f t="shared" si="34"/>
        <v>1.69600000000001E-3</v>
      </c>
      <c r="R767" s="28">
        <v>1.5109999999999999</v>
      </c>
      <c r="S767" s="28">
        <v>8.7390000000000008</v>
      </c>
      <c r="T767" s="20">
        <f t="shared" si="35"/>
        <v>13.204629000000001</v>
      </c>
      <c r="X767" s="20" t="s">
        <v>886</v>
      </c>
      <c r="Y767" s="20" t="s">
        <v>36</v>
      </c>
      <c r="Z767" s="20" t="s">
        <v>36</v>
      </c>
    </row>
    <row r="769" spans="11:14">
      <c r="K769" s="20"/>
      <c r="L769" s="20"/>
      <c r="M769" s="171"/>
      <c r="N769" s="20"/>
    </row>
    <row r="770" spans="11:14">
      <c r="K770" s="20"/>
      <c r="L770" s="20"/>
      <c r="M770" s="171"/>
      <c r="N770" s="20"/>
    </row>
    <row r="771" spans="11:14">
      <c r="K771" s="20"/>
      <c r="L771" s="20"/>
      <c r="M771" s="177"/>
      <c r="N771" s="20"/>
    </row>
    <row r="772" spans="11:14">
      <c r="K772" s="20"/>
      <c r="L772" s="20"/>
      <c r="M772" s="177"/>
      <c r="N772" s="20"/>
    </row>
    <row r="773" spans="11:14">
      <c r="K773" s="20"/>
      <c r="L773" s="20"/>
      <c r="M773" s="177"/>
      <c r="N773" s="20"/>
    </row>
    <row r="774" spans="11:14">
      <c r="K774" s="20"/>
      <c r="L774" s="20"/>
      <c r="M774" s="177"/>
      <c r="N774" s="20"/>
    </row>
    <row r="775" spans="11:14">
      <c r="K775" s="20"/>
      <c r="L775" s="20"/>
      <c r="M775" s="177"/>
      <c r="N775" s="20"/>
    </row>
    <row r="776" spans="11:14">
      <c r="K776" s="20"/>
      <c r="L776" s="20"/>
      <c r="M776" s="177"/>
      <c r="N776" s="20"/>
    </row>
    <row r="777" spans="11:14">
      <c r="K777" s="20"/>
      <c r="L777" s="20"/>
      <c r="M777" s="177"/>
      <c r="N777" s="20"/>
    </row>
    <row r="778" spans="11:14">
      <c r="K778" s="20"/>
      <c r="L778" s="20"/>
      <c r="M778" s="177"/>
      <c r="N778" s="20"/>
    </row>
    <row r="779" spans="11:14">
      <c r="K779" s="20"/>
      <c r="L779" s="20"/>
      <c r="M779" s="177"/>
      <c r="N779" s="20"/>
    </row>
    <row r="780" spans="11:14">
      <c r="K780" s="20"/>
      <c r="L780" s="20"/>
      <c r="M780" s="177"/>
      <c r="N780" s="20"/>
    </row>
  </sheetData>
  <sortState ref="A1:Z791">
    <sortCondition ref="M1:M791"/>
  </sortState>
  <conditionalFormatting sqref="O230 S142:S161 Q771:Q1048576 Q1:Q767">
    <cfRule type="cellIs" dxfId="105" priority="21" operator="lessThan">
      <formula>0</formula>
    </cfRule>
    <cfRule type="cellIs" dxfId="104" priority="22" operator="lessThan">
      <formula>0</formula>
    </cfRule>
  </conditionalFormatting>
  <conditionalFormatting sqref="N1">
    <cfRule type="containsText" dxfId="103" priority="20" operator="containsText" text="M">
      <formula>NOT(ISERROR(SEARCH("M",N1)))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92"/>
  <sheetViews>
    <sheetView topLeftCell="A64" zoomScale="57" zoomScaleNormal="57" workbookViewId="0">
      <selection activeCell="A54" sqref="A54:XFD92"/>
    </sheetView>
  </sheetViews>
  <sheetFormatPr baseColWidth="10" defaultColWidth="8.83203125" defaultRowHeight="15"/>
  <cols>
    <col min="2" max="2" width="19" bestFit="1" customWidth="1"/>
    <col min="4" max="4" width="16.83203125" bestFit="1" customWidth="1"/>
    <col min="8" max="8" width="11.83203125" bestFit="1" customWidth="1"/>
    <col min="9" max="9" width="19.33203125" bestFit="1" customWidth="1"/>
  </cols>
  <sheetData>
    <row r="1" spans="1:23">
      <c r="A1" t="s">
        <v>2411</v>
      </c>
      <c r="B1" t="s">
        <v>8</v>
      </c>
      <c r="C1" t="s">
        <v>2225</v>
      </c>
      <c r="D1" t="s">
        <v>1</v>
      </c>
      <c r="E1" t="s">
        <v>345</v>
      </c>
      <c r="F1" t="s">
        <v>344</v>
      </c>
      <c r="G1" t="s">
        <v>349</v>
      </c>
      <c r="H1" s="1" t="s">
        <v>2</v>
      </c>
      <c r="I1" t="s">
        <v>3</v>
      </c>
      <c r="J1" t="s">
        <v>3186</v>
      </c>
      <c r="K1" t="s">
        <v>346</v>
      </c>
      <c r="L1" t="s">
        <v>2560</v>
      </c>
      <c r="M1" t="s">
        <v>347</v>
      </c>
      <c r="N1" t="s">
        <v>348</v>
      </c>
      <c r="O1" t="s">
        <v>5</v>
      </c>
      <c r="P1" t="s">
        <v>2101</v>
      </c>
      <c r="Q1" t="s">
        <v>6</v>
      </c>
      <c r="R1" t="s">
        <v>7</v>
      </c>
      <c r="S1" t="s">
        <v>1748</v>
      </c>
      <c r="T1" s="41" t="s">
        <v>1749</v>
      </c>
      <c r="U1" t="s">
        <v>9</v>
      </c>
      <c r="V1" t="s">
        <v>10</v>
      </c>
      <c r="W1" t="s">
        <v>2553</v>
      </c>
    </row>
    <row r="2" spans="1:23" ht="14.25" customHeight="1">
      <c r="A2" t="s">
        <v>12</v>
      </c>
      <c r="B2" t="s">
        <v>3095</v>
      </c>
      <c r="C2" t="s">
        <v>2578</v>
      </c>
      <c r="D2" t="s">
        <v>2624</v>
      </c>
      <c r="E2" s="77">
        <v>53.306629999999998</v>
      </c>
      <c r="F2" s="78">
        <v>-6.2330800000000002</v>
      </c>
      <c r="G2">
        <v>0</v>
      </c>
      <c r="H2" s="75">
        <v>42950</v>
      </c>
      <c r="I2" s="76" t="s">
        <v>2626</v>
      </c>
      <c r="J2" t="s">
        <v>36</v>
      </c>
      <c r="K2" t="s">
        <v>2625</v>
      </c>
      <c r="L2" t="s">
        <v>2806</v>
      </c>
      <c r="M2" t="s">
        <v>2807</v>
      </c>
      <c r="N2" t="s">
        <v>2602</v>
      </c>
      <c r="O2" t="s">
        <v>2381</v>
      </c>
      <c r="P2" t="s">
        <v>2713</v>
      </c>
      <c r="R2">
        <v>6.0699999999999997E-2</v>
      </c>
      <c r="S2">
        <v>4.6966666999999997E-2</v>
      </c>
      <c r="T2">
        <f t="shared" ref="T2:T33" si="0">R2-S2</f>
        <v>1.3733333E-2</v>
      </c>
      <c r="U2">
        <v>2.4</v>
      </c>
      <c r="V2">
        <v>10.5</v>
      </c>
      <c r="W2">
        <f t="shared" ref="W2:W33" si="1">V2*U2</f>
        <v>25.2</v>
      </c>
    </row>
    <row r="3" spans="1:23" ht="14.25" customHeight="1">
      <c r="A3" t="s">
        <v>12</v>
      </c>
      <c r="B3" t="s">
        <v>3096</v>
      </c>
      <c r="C3" t="s">
        <v>2578</v>
      </c>
      <c r="D3" t="s">
        <v>2624</v>
      </c>
      <c r="E3" s="78">
        <v>53.306629999999998</v>
      </c>
      <c r="F3" s="78">
        <v>-6.2330800000000002</v>
      </c>
      <c r="G3">
        <v>0</v>
      </c>
      <c r="H3" s="75">
        <v>42941</v>
      </c>
      <c r="I3" s="76" t="s">
        <v>2626</v>
      </c>
      <c r="J3" t="s">
        <v>36</v>
      </c>
      <c r="K3" t="s">
        <v>2625</v>
      </c>
      <c r="L3" t="s">
        <v>2806</v>
      </c>
      <c r="M3" t="s">
        <v>2807</v>
      </c>
      <c r="N3" t="s">
        <v>2602</v>
      </c>
      <c r="O3" t="s">
        <v>2381</v>
      </c>
      <c r="P3" t="s">
        <v>2713</v>
      </c>
      <c r="R3">
        <v>4.87E-2</v>
      </c>
      <c r="S3">
        <v>3.7233333E-2</v>
      </c>
      <c r="T3">
        <f t="shared" si="0"/>
        <v>1.1466667E-2</v>
      </c>
      <c r="U3">
        <v>2.1</v>
      </c>
      <c r="V3">
        <v>8.6999999999999993</v>
      </c>
      <c r="W3">
        <f t="shared" si="1"/>
        <v>18.27</v>
      </c>
    </row>
    <row r="4" spans="1:23" ht="16">
      <c r="A4" t="s">
        <v>12</v>
      </c>
      <c r="B4" t="s">
        <v>3097</v>
      </c>
      <c r="C4" t="s">
        <v>2578</v>
      </c>
      <c r="D4" t="s">
        <v>2621</v>
      </c>
      <c r="E4" s="78">
        <v>53.306150000000002</v>
      </c>
      <c r="F4" s="78">
        <v>-6.2338800000000001</v>
      </c>
      <c r="G4">
        <v>0</v>
      </c>
      <c r="H4" s="1">
        <v>42941</v>
      </c>
      <c r="I4" s="76" t="s">
        <v>2626</v>
      </c>
      <c r="J4" t="s">
        <v>36</v>
      </c>
      <c r="K4" t="s">
        <v>2625</v>
      </c>
      <c r="L4" t="s">
        <v>2806</v>
      </c>
      <c r="M4" t="s">
        <v>2807</v>
      </c>
      <c r="N4" t="s">
        <v>2602</v>
      </c>
      <c r="O4" t="s">
        <v>2381</v>
      </c>
      <c r="P4" t="s">
        <v>2713</v>
      </c>
      <c r="R4">
        <v>4.6100000000000002E-2</v>
      </c>
      <c r="S4">
        <v>3.7233333E-2</v>
      </c>
      <c r="T4">
        <f t="shared" si="0"/>
        <v>8.8666670000000017E-3</v>
      </c>
      <c r="U4">
        <v>2.2000000000000002</v>
      </c>
      <c r="V4">
        <v>9</v>
      </c>
      <c r="W4">
        <f t="shared" si="1"/>
        <v>19.8</v>
      </c>
    </row>
    <row r="5" spans="1:23" ht="16">
      <c r="A5" t="s">
        <v>12</v>
      </c>
      <c r="B5" t="s">
        <v>3098</v>
      </c>
      <c r="C5" t="s">
        <v>2578</v>
      </c>
      <c r="D5" t="s">
        <v>2622</v>
      </c>
      <c r="E5" s="78">
        <v>53.306449999999998</v>
      </c>
      <c r="F5" s="78">
        <v>-6.2336600000000004</v>
      </c>
      <c r="G5">
        <v>0</v>
      </c>
      <c r="H5" s="1">
        <v>42936</v>
      </c>
      <c r="I5" s="76" t="s">
        <v>2626</v>
      </c>
      <c r="J5" t="s">
        <v>36</v>
      </c>
      <c r="K5" t="s">
        <v>2625</v>
      </c>
      <c r="L5" t="s">
        <v>2806</v>
      </c>
      <c r="M5" t="s">
        <v>2807</v>
      </c>
      <c r="N5" t="s">
        <v>2602</v>
      </c>
      <c r="O5" t="s">
        <v>2661</v>
      </c>
      <c r="P5" t="s">
        <v>2712</v>
      </c>
      <c r="R5">
        <v>3.8899999999999997E-2</v>
      </c>
      <c r="S5">
        <v>3.7233333E-2</v>
      </c>
      <c r="T5">
        <f t="shared" si="0"/>
        <v>1.6666669999999967E-3</v>
      </c>
      <c r="U5">
        <v>1.4</v>
      </c>
      <c r="V5">
        <v>5.0999999999999996</v>
      </c>
      <c r="W5">
        <f t="shared" si="1"/>
        <v>7.1399999999999988</v>
      </c>
    </row>
    <row r="6" spans="1:23" ht="15.75" customHeight="1">
      <c r="A6" t="s">
        <v>12</v>
      </c>
      <c r="B6" t="s">
        <v>3099</v>
      </c>
      <c r="C6" t="s">
        <v>2578</v>
      </c>
      <c r="D6" t="s">
        <v>2615</v>
      </c>
      <c r="E6" s="77">
        <v>53.314720000000001</v>
      </c>
      <c r="F6" s="78">
        <v>-6.2213000000000003</v>
      </c>
      <c r="G6">
        <v>0</v>
      </c>
      <c r="H6" s="1">
        <v>42928</v>
      </c>
      <c r="I6" t="s">
        <v>2628</v>
      </c>
      <c r="J6" t="s">
        <v>36</v>
      </c>
      <c r="K6" s="4" t="s">
        <v>1687</v>
      </c>
      <c r="L6" s="4" t="s">
        <v>2563</v>
      </c>
      <c r="M6" s="4" t="s">
        <v>2814</v>
      </c>
      <c r="N6" s="4" t="s">
        <v>907</v>
      </c>
      <c r="O6" s="4" t="s">
        <v>2586</v>
      </c>
      <c r="P6" s="4" t="s">
        <v>2713</v>
      </c>
      <c r="R6">
        <v>0.1356</v>
      </c>
      <c r="S6">
        <v>4.6966666999999997E-2</v>
      </c>
      <c r="T6">
        <f t="shared" si="0"/>
        <v>8.8633333000000009E-2</v>
      </c>
      <c r="U6">
        <v>5.4</v>
      </c>
      <c r="V6">
        <v>15</v>
      </c>
      <c r="W6">
        <f t="shared" si="1"/>
        <v>81</v>
      </c>
    </row>
    <row r="7" spans="1:23" ht="16">
      <c r="A7" t="s">
        <v>12</v>
      </c>
      <c r="B7" t="s">
        <v>3100</v>
      </c>
      <c r="C7" t="s">
        <v>2578</v>
      </c>
      <c r="D7" t="s">
        <v>2622</v>
      </c>
      <c r="E7" s="77">
        <v>53.306449999999998</v>
      </c>
      <c r="F7" s="78">
        <v>-6.2336600000000004</v>
      </c>
      <c r="G7">
        <v>0</v>
      </c>
      <c r="H7" s="75">
        <v>42928</v>
      </c>
      <c r="I7" s="76" t="s">
        <v>2626</v>
      </c>
      <c r="J7" t="s">
        <v>36</v>
      </c>
      <c r="K7" s="4" t="s">
        <v>1687</v>
      </c>
      <c r="L7" s="4" t="s">
        <v>2563</v>
      </c>
      <c r="M7" s="4" t="s">
        <v>2814</v>
      </c>
      <c r="N7" s="4" t="s">
        <v>907</v>
      </c>
      <c r="O7" s="4" t="s">
        <v>2586</v>
      </c>
      <c r="P7" s="4" t="s">
        <v>2712</v>
      </c>
      <c r="R7">
        <v>0.1053</v>
      </c>
      <c r="S7">
        <v>4.6966666999999997E-2</v>
      </c>
      <c r="T7">
        <f t="shared" si="0"/>
        <v>5.8333333000000008E-2</v>
      </c>
      <c r="U7">
        <v>4.2</v>
      </c>
      <c r="V7">
        <v>12.9</v>
      </c>
      <c r="W7">
        <f t="shared" si="1"/>
        <v>54.180000000000007</v>
      </c>
    </row>
    <row r="8" spans="1:23" ht="16">
      <c r="A8" t="s">
        <v>12</v>
      </c>
      <c r="B8" t="s">
        <v>3101</v>
      </c>
      <c r="C8" t="s">
        <v>2578</v>
      </c>
      <c r="D8" t="s">
        <v>2616</v>
      </c>
      <c r="E8" s="77">
        <v>53.314680000000003</v>
      </c>
      <c r="F8" s="78">
        <v>-6.2230800000000004</v>
      </c>
      <c r="G8">
        <v>0</v>
      </c>
      <c r="H8" s="75">
        <v>42928</v>
      </c>
      <c r="I8" t="s">
        <v>2628</v>
      </c>
      <c r="J8" t="s">
        <v>36</v>
      </c>
      <c r="K8" s="4" t="s">
        <v>1687</v>
      </c>
      <c r="L8" s="4" t="s">
        <v>2563</v>
      </c>
      <c r="M8" s="4" t="s">
        <v>2814</v>
      </c>
      <c r="N8" s="4" t="s">
        <v>907</v>
      </c>
      <c r="O8" s="4" t="s">
        <v>2586</v>
      </c>
      <c r="P8" s="4" t="s">
        <v>2713</v>
      </c>
      <c r="R8">
        <v>0.1215</v>
      </c>
      <c r="S8">
        <v>4.6966666999999997E-2</v>
      </c>
      <c r="T8">
        <f t="shared" si="0"/>
        <v>7.4533333000000007E-2</v>
      </c>
      <c r="U8">
        <v>5.5</v>
      </c>
      <c r="V8">
        <v>14.7</v>
      </c>
      <c r="W8">
        <f t="shared" si="1"/>
        <v>80.849999999999994</v>
      </c>
    </row>
    <row r="9" spans="1:23" ht="16">
      <c r="A9" t="s">
        <v>12</v>
      </c>
      <c r="B9" t="s">
        <v>3102</v>
      </c>
      <c r="C9" t="s">
        <v>2578</v>
      </c>
      <c r="D9" t="s">
        <v>2624</v>
      </c>
      <c r="E9" s="77">
        <v>53.306629999999998</v>
      </c>
      <c r="F9" s="78">
        <v>-6.2330800000000002</v>
      </c>
      <c r="G9">
        <v>0</v>
      </c>
      <c r="H9" s="75">
        <v>42950</v>
      </c>
      <c r="I9" s="76" t="s">
        <v>2628</v>
      </c>
      <c r="J9" t="s">
        <v>36</v>
      </c>
      <c r="K9" s="4" t="s">
        <v>1687</v>
      </c>
      <c r="L9" s="4" t="s">
        <v>2563</v>
      </c>
      <c r="M9" s="4" t="s">
        <v>2814</v>
      </c>
      <c r="N9" s="4" t="s">
        <v>907</v>
      </c>
      <c r="O9" s="4" t="s">
        <v>2586</v>
      </c>
      <c r="P9" s="4" t="s">
        <v>2713</v>
      </c>
      <c r="R9">
        <v>7.4499999999999997E-2</v>
      </c>
      <c r="S9">
        <v>4.6966666999999997E-2</v>
      </c>
      <c r="T9">
        <f t="shared" si="0"/>
        <v>2.7533333E-2</v>
      </c>
      <c r="U9">
        <v>3.8</v>
      </c>
      <c r="V9">
        <v>10.4</v>
      </c>
      <c r="W9">
        <f t="shared" si="1"/>
        <v>39.519999999999996</v>
      </c>
    </row>
    <row r="10" spans="1:23" ht="16">
      <c r="A10" t="s">
        <v>12</v>
      </c>
      <c r="B10" t="s">
        <v>3103</v>
      </c>
      <c r="C10" t="s">
        <v>2578</v>
      </c>
      <c r="D10" t="s">
        <v>2615</v>
      </c>
      <c r="E10" s="77">
        <v>53.314720000000001</v>
      </c>
      <c r="F10" s="78">
        <v>-6.2213000000000003</v>
      </c>
      <c r="G10">
        <v>0</v>
      </c>
      <c r="H10" s="75">
        <v>42917</v>
      </c>
      <c r="I10" s="76" t="s">
        <v>2628</v>
      </c>
      <c r="J10" t="s">
        <v>36</v>
      </c>
      <c r="K10" t="s">
        <v>1687</v>
      </c>
      <c r="L10" s="4" t="s">
        <v>2563</v>
      </c>
      <c r="M10" s="4" t="s">
        <v>2814</v>
      </c>
      <c r="N10" t="s">
        <v>907</v>
      </c>
      <c r="O10" t="s">
        <v>1688</v>
      </c>
      <c r="P10" t="s">
        <v>2713</v>
      </c>
      <c r="R10">
        <v>7.85E-2</v>
      </c>
      <c r="S10">
        <v>4.6966666999999997E-2</v>
      </c>
      <c r="T10">
        <f t="shared" si="0"/>
        <v>3.1533333000000004E-2</v>
      </c>
      <c r="U10">
        <v>4</v>
      </c>
      <c r="V10">
        <v>11</v>
      </c>
      <c r="W10">
        <f t="shared" si="1"/>
        <v>44</v>
      </c>
    </row>
    <row r="11" spans="1:23" ht="16">
      <c r="A11" t="s">
        <v>12</v>
      </c>
      <c r="B11" t="s">
        <v>3104</v>
      </c>
      <c r="C11" t="s">
        <v>2578</v>
      </c>
      <c r="D11" t="s">
        <v>2621</v>
      </c>
      <c r="E11" s="77">
        <v>53.306150000000002</v>
      </c>
      <c r="F11" s="78">
        <v>-6.2338800000000001</v>
      </c>
      <c r="G11">
        <v>0</v>
      </c>
      <c r="H11" s="75">
        <v>42950</v>
      </c>
      <c r="I11" s="76" t="s">
        <v>2652</v>
      </c>
      <c r="J11" t="s">
        <v>36</v>
      </c>
      <c r="K11" t="s">
        <v>1687</v>
      </c>
      <c r="L11" s="4" t="s">
        <v>2563</v>
      </c>
      <c r="M11" s="4" t="s">
        <v>2814</v>
      </c>
      <c r="N11" t="s">
        <v>907</v>
      </c>
      <c r="O11" t="s">
        <v>1710</v>
      </c>
      <c r="P11" t="s">
        <v>2712</v>
      </c>
      <c r="R11">
        <v>7.5700000000000003E-2</v>
      </c>
      <c r="S11">
        <v>4.6966666999999997E-2</v>
      </c>
      <c r="T11">
        <f t="shared" si="0"/>
        <v>2.8733333000000007E-2</v>
      </c>
      <c r="U11">
        <v>3.9</v>
      </c>
      <c r="V11">
        <v>9.8000000000000007</v>
      </c>
      <c r="W11">
        <f t="shared" si="1"/>
        <v>38.22</v>
      </c>
    </row>
    <row r="12" spans="1:23" ht="16">
      <c r="A12" t="s">
        <v>12</v>
      </c>
      <c r="B12" t="s">
        <v>3105</v>
      </c>
      <c r="C12" t="s">
        <v>2578</v>
      </c>
      <c r="D12" t="s">
        <v>2623</v>
      </c>
      <c r="E12" s="77">
        <v>53.306789999999999</v>
      </c>
      <c r="F12" s="78">
        <v>-6.23339</v>
      </c>
      <c r="G12">
        <v>0</v>
      </c>
      <c r="H12" s="75">
        <v>42940</v>
      </c>
      <c r="I12" s="76" t="s">
        <v>2652</v>
      </c>
      <c r="J12" t="s">
        <v>36</v>
      </c>
      <c r="K12" t="s">
        <v>1687</v>
      </c>
      <c r="L12" s="4" t="s">
        <v>2563</v>
      </c>
      <c r="M12" s="4" t="s">
        <v>2814</v>
      </c>
      <c r="N12" t="s">
        <v>907</v>
      </c>
      <c r="O12" t="s">
        <v>1688</v>
      </c>
      <c r="P12" t="s">
        <v>2712</v>
      </c>
      <c r="R12">
        <v>7.6799999999999993E-2</v>
      </c>
      <c r="S12">
        <v>3.7233333E-2</v>
      </c>
      <c r="T12">
        <f t="shared" si="0"/>
        <v>3.9566666999999993E-2</v>
      </c>
      <c r="U12">
        <v>4.0999999999999996</v>
      </c>
      <c r="V12">
        <v>11.5</v>
      </c>
      <c r="W12">
        <f t="shared" si="1"/>
        <v>47.15</v>
      </c>
    </row>
    <row r="13" spans="1:23" ht="16">
      <c r="A13" t="s">
        <v>12</v>
      </c>
      <c r="B13" t="s">
        <v>3106</v>
      </c>
      <c r="C13" t="s">
        <v>2578</v>
      </c>
      <c r="D13" t="s">
        <v>2621</v>
      </c>
      <c r="E13" s="77">
        <v>53.306150000000002</v>
      </c>
      <c r="F13" s="78">
        <v>-6.2338800000000001</v>
      </c>
      <c r="G13">
        <v>0</v>
      </c>
      <c r="H13" s="1">
        <v>42940</v>
      </c>
      <c r="I13" s="76" t="s">
        <v>2652</v>
      </c>
      <c r="J13" t="s">
        <v>36</v>
      </c>
      <c r="K13" s="4" t="s">
        <v>1687</v>
      </c>
      <c r="L13" s="4" t="s">
        <v>2563</v>
      </c>
      <c r="M13" s="4" t="s">
        <v>2814</v>
      </c>
      <c r="N13" s="4" t="s">
        <v>907</v>
      </c>
      <c r="O13" s="4" t="s">
        <v>1722</v>
      </c>
      <c r="P13" s="4" t="s">
        <v>2712</v>
      </c>
      <c r="R13">
        <v>0.12</v>
      </c>
      <c r="S13">
        <v>3.7233333E-2</v>
      </c>
      <c r="T13">
        <f t="shared" si="0"/>
        <v>8.2766666999999988E-2</v>
      </c>
      <c r="U13">
        <v>5.5</v>
      </c>
      <c r="V13">
        <v>15.9</v>
      </c>
      <c r="W13">
        <f t="shared" si="1"/>
        <v>87.45</v>
      </c>
    </row>
    <row r="14" spans="1:23" ht="16">
      <c r="A14" t="s">
        <v>12</v>
      </c>
      <c r="B14" t="s">
        <v>3107</v>
      </c>
      <c r="C14" t="s">
        <v>2578</v>
      </c>
      <c r="D14" t="s">
        <v>2614</v>
      </c>
      <c r="E14" s="77">
        <v>53.292760000000001</v>
      </c>
      <c r="F14" s="78">
        <v>-6.4189499999999997</v>
      </c>
      <c r="G14">
        <v>0</v>
      </c>
      <c r="H14" s="1">
        <v>42937</v>
      </c>
      <c r="I14" s="76" t="s">
        <v>2629</v>
      </c>
      <c r="J14" t="s">
        <v>36</v>
      </c>
      <c r="K14" t="s">
        <v>1687</v>
      </c>
      <c r="L14" s="4" t="s">
        <v>2563</v>
      </c>
      <c r="M14" s="4" t="s">
        <v>2814</v>
      </c>
      <c r="N14" t="s">
        <v>907</v>
      </c>
      <c r="O14" t="s">
        <v>1710</v>
      </c>
      <c r="P14" t="s">
        <v>2713</v>
      </c>
      <c r="R14">
        <v>9.0200000000000002E-2</v>
      </c>
      <c r="S14">
        <v>4.6966666999999997E-2</v>
      </c>
      <c r="T14">
        <f t="shared" si="0"/>
        <v>4.3233333000000006E-2</v>
      </c>
      <c r="U14">
        <v>4.5</v>
      </c>
      <c r="V14">
        <v>12</v>
      </c>
      <c r="W14">
        <f t="shared" si="1"/>
        <v>54</v>
      </c>
    </row>
    <row r="15" spans="1:23" ht="16">
      <c r="A15" t="s">
        <v>12</v>
      </c>
      <c r="B15" t="s">
        <v>3108</v>
      </c>
      <c r="C15" t="s">
        <v>2578</v>
      </c>
      <c r="D15" t="s">
        <v>2611</v>
      </c>
      <c r="E15" s="77">
        <v>53.29383</v>
      </c>
      <c r="F15" s="78">
        <v>-6.4200999999999997</v>
      </c>
      <c r="G15">
        <v>0</v>
      </c>
      <c r="H15" s="75">
        <v>42937</v>
      </c>
      <c r="I15" s="76" t="s">
        <v>2652</v>
      </c>
      <c r="J15" t="s">
        <v>36</v>
      </c>
      <c r="K15" s="4" t="s">
        <v>1687</v>
      </c>
      <c r="L15" s="4" t="s">
        <v>2563</v>
      </c>
      <c r="M15" s="4" t="s">
        <v>2814</v>
      </c>
      <c r="N15" s="4" t="s">
        <v>907</v>
      </c>
      <c r="O15" s="4" t="s">
        <v>2586</v>
      </c>
      <c r="P15" s="4" t="s">
        <v>2712</v>
      </c>
      <c r="R15">
        <v>0.12089999999999999</v>
      </c>
      <c r="S15">
        <v>4.6966666999999997E-2</v>
      </c>
      <c r="T15">
        <f t="shared" si="0"/>
        <v>7.393333299999999E-2</v>
      </c>
      <c r="U15">
        <v>5.5</v>
      </c>
      <c r="V15">
        <v>12</v>
      </c>
      <c r="W15">
        <f t="shared" si="1"/>
        <v>66</v>
      </c>
    </row>
    <row r="16" spans="1:23" ht="16">
      <c r="A16" t="s">
        <v>12</v>
      </c>
      <c r="B16" t="s">
        <v>3109</v>
      </c>
      <c r="C16" t="s">
        <v>2578</v>
      </c>
      <c r="D16" t="s">
        <v>2620</v>
      </c>
      <c r="E16" s="77">
        <v>53.311360000000001</v>
      </c>
      <c r="F16" s="78">
        <v>-6.2593399999999999</v>
      </c>
      <c r="G16">
        <v>0</v>
      </c>
      <c r="H16" s="75">
        <v>42934</v>
      </c>
      <c r="I16" s="76" t="s">
        <v>2627</v>
      </c>
      <c r="J16" t="s">
        <v>36</v>
      </c>
      <c r="K16" t="s">
        <v>1687</v>
      </c>
      <c r="L16" s="4" t="s">
        <v>2563</v>
      </c>
      <c r="M16" s="4" t="s">
        <v>2814</v>
      </c>
      <c r="N16" t="s">
        <v>907</v>
      </c>
      <c r="O16" t="s">
        <v>1710</v>
      </c>
      <c r="P16" t="s">
        <v>2713</v>
      </c>
      <c r="R16">
        <v>7.7399999999999997E-2</v>
      </c>
      <c r="S16">
        <v>4.6966666999999997E-2</v>
      </c>
      <c r="T16">
        <f t="shared" si="0"/>
        <v>3.0433333E-2</v>
      </c>
      <c r="U16">
        <v>3.9</v>
      </c>
      <c r="V16">
        <v>9.1999999999999993</v>
      </c>
      <c r="W16">
        <f t="shared" si="1"/>
        <v>35.879999999999995</v>
      </c>
    </row>
    <row r="17" spans="1:23" ht="16">
      <c r="A17" t="s">
        <v>12</v>
      </c>
      <c r="B17" t="s">
        <v>3110</v>
      </c>
      <c r="C17" t="s">
        <v>2578</v>
      </c>
      <c r="D17" t="s">
        <v>2624</v>
      </c>
      <c r="E17" s="77">
        <v>53.306629999999998</v>
      </c>
      <c r="F17" s="78">
        <v>-6.2330800000000002</v>
      </c>
      <c r="G17">
        <v>0</v>
      </c>
      <c r="H17" s="75">
        <v>42950</v>
      </c>
      <c r="I17" s="76" t="s">
        <v>2626</v>
      </c>
      <c r="J17" t="s">
        <v>36</v>
      </c>
      <c r="K17" t="s">
        <v>1687</v>
      </c>
      <c r="L17" s="4" t="s">
        <v>2563</v>
      </c>
      <c r="M17" s="4" t="s">
        <v>2814</v>
      </c>
      <c r="N17" t="s">
        <v>907</v>
      </c>
      <c r="O17" t="s">
        <v>1688</v>
      </c>
      <c r="P17" t="s">
        <v>2712</v>
      </c>
      <c r="R17">
        <v>9.7500000000000003E-2</v>
      </c>
      <c r="S17">
        <v>4.6966666999999997E-2</v>
      </c>
      <c r="T17">
        <f t="shared" si="0"/>
        <v>5.0533333000000007E-2</v>
      </c>
      <c r="U17">
        <v>4.8</v>
      </c>
      <c r="V17">
        <v>11.3</v>
      </c>
      <c r="W17">
        <f t="shared" si="1"/>
        <v>54.24</v>
      </c>
    </row>
    <row r="18" spans="1:23" ht="16">
      <c r="A18" t="s">
        <v>12</v>
      </c>
      <c r="B18" t="s">
        <v>3111</v>
      </c>
      <c r="C18" t="s">
        <v>2578</v>
      </c>
      <c r="D18" t="s">
        <v>2617</v>
      </c>
      <c r="E18" s="77">
        <v>53.315019999999997</v>
      </c>
      <c r="F18" s="78">
        <v>-6.2239599999999999</v>
      </c>
      <c r="G18">
        <v>0</v>
      </c>
      <c r="H18" s="75">
        <v>42924</v>
      </c>
      <c r="I18" s="76" t="s">
        <v>2628</v>
      </c>
      <c r="J18" t="s">
        <v>36</v>
      </c>
      <c r="K18" t="s">
        <v>1687</v>
      </c>
      <c r="L18" s="4" t="s">
        <v>2563</v>
      </c>
      <c r="M18" s="4" t="s">
        <v>2814</v>
      </c>
      <c r="N18" t="s">
        <v>907</v>
      </c>
      <c r="O18" t="s">
        <v>1710</v>
      </c>
      <c r="P18" t="s">
        <v>2713</v>
      </c>
      <c r="R18">
        <v>0.1007</v>
      </c>
      <c r="S18">
        <v>4.6966666999999997E-2</v>
      </c>
      <c r="T18">
        <f t="shared" si="0"/>
        <v>5.3733333000000001E-2</v>
      </c>
      <c r="U18">
        <v>4.5</v>
      </c>
      <c r="V18">
        <v>11.6</v>
      </c>
      <c r="W18">
        <f t="shared" si="1"/>
        <v>52.199999999999996</v>
      </c>
    </row>
    <row r="19" spans="1:23" ht="16">
      <c r="A19" t="s">
        <v>12</v>
      </c>
      <c r="B19" t="s">
        <v>3112</v>
      </c>
      <c r="C19" t="s">
        <v>2578</v>
      </c>
      <c r="D19" t="s">
        <v>2621</v>
      </c>
      <c r="E19" s="77">
        <v>53.306150000000002</v>
      </c>
      <c r="F19" s="78">
        <v>-6.2338800000000001</v>
      </c>
      <c r="G19">
        <v>0</v>
      </c>
      <c r="H19" s="75">
        <v>42923</v>
      </c>
      <c r="I19" s="76" t="s">
        <v>2652</v>
      </c>
      <c r="J19" t="s">
        <v>36</v>
      </c>
      <c r="K19" s="4" t="s">
        <v>1687</v>
      </c>
      <c r="L19" s="4" t="s">
        <v>2563</v>
      </c>
      <c r="M19" s="4" t="s">
        <v>2814</v>
      </c>
      <c r="N19" s="4" t="s">
        <v>907</v>
      </c>
      <c r="O19" s="4" t="s">
        <v>1722</v>
      </c>
      <c r="P19" s="4" t="s">
        <v>2712</v>
      </c>
      <c r="R19">
        <v>0.13650000000000001</v>
      </c>
      <c r="S19">
        <v>4.6966666999999997E-2</v>
      </c>
      <c r="T19">
        <f t="shared" si="0"/>
        <v>8.953333300000002E-2</v>
      </c>
      <c r="U19">
        <v>6</v>
      </c>
      <c r="V19">
        <v>14</v>
      </c>
      <c r="W19">
        <f t="shared" si="1"/>
        <v>84</v>
      </c>
    </row>
    <row r="20" spans="1:23" ht="16">
      <c r="A20" t="s">
        <v>12</v>
      </c>
      <c r="B20" t="s">
        <v>3113</v>
      </c>
      <c r="C20" t="s">
        <v>2578</v>
      </c>
      <c r="D20" t="s">
        <v>2612</v>
      </c>
      <c r="E20" s="77">
        <v>53.293469999999999</v>
      </c>
      <c r="F20" s="78">
        <v>-6.4196900000000001</v>
      </c>
      <c r="G20">
        <v>0</v>
      </c>
      <c r="H20" s="75">
        <v>42913</v>
      </c>
      <c r="I20" s="76" t="s">
        <v>2628</v>
      </c>
      <c r="J20" t="s">
        <v>36</v>
      </c>
      <c r="K20" t="s">
        <v>1687</v>
      </c>
      <c r="L20" s="4" t="s">
        <v>2563</v>
      </c>
      <c r="M20" s="4" t="s">
        <v>2814</v>
      </c>
      <c r="N20" t="s">
        <v>907</v>
      </c>
      <c r="O20" t="s">
        <v>2582</v>
      </c>
      <c r="P20" t="s">
        <v>2712</v>
      </c>
      <c r="R20">
        <v>6.5699999999999995E-2</v>
      </c>
      <c r="S20">
        <v>4.6966666999999997E-2</v>
      </c>
      <c r="T20">
        <f t="shared" si="0"/>
        <v>1.8733332999999998E-2</v>
      </c>
      <c r="U20">
        <v>3.1</v>
      </c>
      <c r="V20">
        <v>8.4</v>
      </c>
      <c r="W20">
        <f t="shared" si="1"/>
        <v>26.040000000000003</v>
      </c>
    </row>
    <row r="21" spans="1:23" ht="16">
      <c r="A21" t="s">
        <v>12</v>
      </c>
      <c r="B21" t="s">
        <v>3114</v>
      </c>
      <c r="C21" t="s">
        <v>2578</v>
      </c>
      <c r="D21" t="s">
        <v>2617</v>
      </c>
      <c r="E21" s="77">
        <v>53.315019999999997</v>
      </c>
      <c r="F21" s="78">
        <v>-6.2239599999999999</v>
      </c>
      <c r="G21">
        <v>0</v>
      </c>
      <c r="H21" s="1">
        <v>42948</v>
      </c>
      <c r="I21" s="76" t="s">
        <v>2652</v>
      </c>
      <c r="J21" t="s">
        <v>36</v>
      </c>
      <c r="K21" t="s">
        <v>1687</v>
      </c>
      <c r="L21" s="4" t="s">
        <v>2563</v>
      </c>
      <c r="M21" s="4" t="s">
        <v>2814</v>
      </c>
      <c r="N21" t="s">
        <v>907</v>
      </c>
      <c r="O21" t="s">
        <v>1710</v>
      </c>
      <c r="P21" t="s">
        <v>2712</v>
      </c>
      <c r="R21">
        <v>9.1399999999999995E-2</v>
      </c>
      <c r="S21">
        <v>4.6966666999999997E-2</v>
      </c>
      <c r="T21">
        <f t="shared" si="0"/>
        <v>4.4433332999999998E-2</v>
      </c>
      <c r="U21">
        <v>5</v>
      </c>
      <c r="V21">
        <v>12</v>
      </c>
      <c r="W21">
        <f t="shared" si="1"/>
        <v>60</v>
      </c>
    </row>
    <row r="22" spans="1:23" ht="16">
      <c r="A22" t="s">
        <v>12</v>
      </c>
      <c r="B22" t="s">
        <v>3115</v>
      </c>
      <c r="C22" t="s">
        <v>2578</v>
      </c>
      <c r="D22" t="s">
        <v>2624</v>
      </c>
      <c r="E22" s="77">
        <v>53.306629999999998</v>
      </c>
      <c r="F22" s="78">
        <v>-6.2330800000000002</v>
      </c>
      <c r="G22">
        <v>0</v>
      </c>
      <c r="H22" s="1">
        <v>42907</v>
      </c>
      <c r="I22" s="76" t="s">
        <v>2627</v>
      </c>
      <c r="J22" t="s">
        <v>36</v>
      </c>
      <c r="K22" t="s">
        <v>1687</v>
      </c>
      <c r="L22" s="4" t="s">
        <v>2563</v>
      </c>
      <c r="M22" s="4" t="s">
        <v>2814</v>
      </c>
      <c r="N22" t="s">
        <v>907</v>
      </c>
      <c r="O22" t="s">
        <v>2582</v>
      </c>
      <c r="P22" t="s">
        <v>2713</v>
      </c>
      <c r="R22">
        <v>6.1800000000000001E-2</v>
      </c>
      <c r="S22">
        <v>3.7233333E-2</v>
      </c>
      <c r="T22">
        <f t="shared" si="0"/>
        <v>2.4566667E-2</v>
      </c>
      <c r="U22">
        <v>3.5</v>
      </c>
      <c r="V22">
        <v>9.5</v>
      </c>
      <c r="W22">
        <f t="shared" si="1"/>
        <v>33.25</v>
      </c>
    </row>
    <row r="23" spans="1:23" ht="16">
      <c r="A23" t="s">
        <v>12</v>
      </c>
      <c r="B23" t="s">
        <v>3116</v>
      </c>
      <c r="C23" t="s">
        <v>2578</v>
      </c>
      <c r="D23" t="s">
        <v>2622</v>
      </c>
      <c r="E23" s="78">
        <v>53.306449999999998</v>
      </c>
      <c r="F23" s="78">
        <v>-6.2336600000000004</v>
      </c>
      <c r="G23">
        <v>0</v>
      </c>
      <c r="H23" s="1">
        <v>42941</v>
      </c>
      <c r="I23" s="76" t="s">
        <v>2629</v>
      </c>
      <c r="J23" t="s">
        <v>36</v>
      </c>
      <c r="K23" t="s">
        <v>1687</v>
      </c>
      <c r="L23" s="4" t="s">
        <v>2563</v>
      </c>
      <c r="M23" s="4" t="s">
        <v>2814</v>
      </c>
      <c r="N23" t="s">
        <v>907</v>
      </c>
      <c r="O23" t="s">
        <v>2582</v>
      </c>
      <c r="P23" t="s">
        <v>2713</v>
      </c>
      <c r="R23">
        <v>6.6000000000000003E-2</v>
      </c>
      <c r="S23">
        <v>3.7233333E-2</v>
      </c>
      <c r="T23">
        <f t="shared" si="0"/>
        <v>2.8766667000000003E-2</v>
      </c>
      <c r="U23">
        <v>4</v>
      </c>
      <c r="V23">
        <v>9</v>
      </c>
      <c r="W23">
        <f t="shared" si="1"/>
        <v>36</v>
      </c>
    </row>
    <row r="24" spans="1:23" ht="16">
      <c r="A24" t="s">
        <v>12</v>
      </c>
      <c r="B24" t="s">
        <v>3117</v>
      </c>
      <c r="C24" t="s">
        <v>2578</v>
      </c>
      <c r="D24" t="s">
        <v>2624</v>
      </c>
      <c r="E24" s="78">
        <v>53.306629999999998</v>
      </c>
      <c r="F24" s="78">
        <v>-6.2330800000000002</v>
      </c>
      <c r="G24">
        <v>0</v>
      </c>
      <c r="H24" s="1">
        <v>42983</v>
      </c>
      <c r="I24" s="76" t="s">
        <v>2626</v>
      </c>
      <c r="J24" t="s">
        <v>36</v>
      </c>
      <c r="K24" t="s">
        <v>1687</v>
      </c>
      <c r="L24" s="4" t="s">
        <v>2563</v>
      </c>
      <c r="M24" s="4" t="s">
        <v>2814</v>
      </c>
      <c r="N24" t="s">
        <v>907</v>
      </c>
      <c r="O24" t="s">
        <v>1710</v>
      </c>
      <c r="P24" t="s">
        <v>2712</v>
      </c>
      <c r="R24">
        <v>6.88E-2</v>
      </c>
      <c r="S24">
        <v>4.6966666999999997E-2</v>
      </c>
      <c r="T24">
        <f t="shared" si="0"/>
        <v>2.1833333000000003E-2</v>
      </c>
      <c r="U24">
        <v>4.2</v>
      </c>
      <c r="V24">
        <v>10.1</v>
      </c>
      <c r="W24">
        <f t="shared" si="1"/>
        <v>42.42</v>
      </c>
    </row>
    <row r="25" spans="1:23" ht="16">
      <c r="A25" t="s">
        <v>12</v>
      </c>
      <c r="B25" t="s">
        <v>3118</v>
      </c>
      <c r="C25" t="s">
        <v>2578</v>
      </c>
      <c r="D25" t="s">
        <v>2615</v>
      </c>
      <c r="E25" s="78">
        <v>53.314720000000001</v>
      </c>
      <c r="F25" s="78">
        <v>-6.2213000000000003</v>
      </c>
      <c r="G25">
        <v>0</v>
      </c>
      <c r="H25" s="1">
        <v>42907</v>
      </c>
      <c r="I25" s="76" t="s">
        <v>2628</v>
      </c>
      <c r="J25" t="s">
        <v>36</v>
      </c>
      <c r="K25" t="s">
        <v>1687</v>
      </c>
      <c r="L25" s="4" t="s">
        <v>2563</v>
      </c>
      <c r="M25" s="4" t="s">
        <v>2814</v>
      </c>
      <c r="N25" t="s">
        <v>907</v>
      </c>
      <c r="O25" t="s">
        <v>2582</v>
      </c>
      <c r="P25" t="s">
        <v>2713</v>
      </c>
      <c r="R25">
        <v>6.13E-2</v>
      </c>
      <c r="S25">
        <v>3.7233333E-2</v>
      </c>
      <c r="T25">
        <f t="shared" si="0"/>
        <v>2.4066667E-2</v>
      </c>
      <c r="U25">
        <v>3.5</v>
      </c>
      <c r="V25">
        <v>9.4</v>
      </c>
      <c r="W25">
        <f t="shared" si="1"/>
        <v>32.9</v>
      </c>
    </row>
    <row r="26" spans="1:23" ht="16">
      <c r="A26" t="s">
        <v>12</v>
      </c>
      <c r="B26" t="s">
        <v>3119</v>
      </c>
      <c r="C26" t="s">
        <v>2578</v>
      </c>
      <c r="D26" t="s">
        <v>2615</v>
      </c>
      <c r="E26" s="78">
        <v>53.314720000000001</v>
      </c>
      <c r="F26" s="78">
        <v>-6.2213000000000003</v>
      </c>
      <c r="G26">
        <v>0</v>
      </c>
      <c r="H26" s="1">
        <v>42928</v>
      </c>
      <c r="I26" s="76" t="s">
        <v>2626</v>
      </c>
      <c r="J26" t="s">
        <v>36</v>
      </c>
      <c r="K26" t="s">
        <v>1687</v>
      </c>
      <c r="L26" s="4" t="s">
        <v>2563</v>
      </c>
      <c r="M26" s="4" t="s">
        <v>2814</v>
      </c>
      <c r="N26" t="s">
        <v>907</v>
      </c>
      <c r="O26" t="s">
        <v>1688</v>
      </c>
      <c r="P26" t="s">
        <v>2712</v>
      </c>
      <c r="R26">
        <v>8.3099999999999993E-2</v>
      </c>
      <c r="S26">
        <v>3.7233333E-2</v>
      </c>
      <c r="T26">
        <f t="shared" si="0"/>
        <v>4.5866666999999993E-2</v>
      </c>
      <c r="U26">
        <v>4.5</v>
      </c>
      <c r="V26">
        <v>11.8</v>
      </c>
      <c r="W26">
        <f t="shared" si="1"/>
        <v>53.1</v>
      </c>
    </row>
    <row r="27" spans="1:23" ht="16">
      <c r="A27" t="s">
        <v>12</v>
      </c>
      <c r="B27" t="s">
        <v>3120</v>
      </c>
      <c r="C27" t="s">
        <v>2578</v>
      </c>
      <c r="D27" t="s">
        <v>2613</v>
      </c>
      <c r="E27" s="78">
        <v>53.29316</v>
      </c>
      <c r="F27" s="78">
        <v>-6.4193800000000003</v>
      </c>
      <c r="G27">
        <v>0</v>
      </c>
      <c r="H27" s="1">
        <v>42906</v>
      </c>
      <c r="I27" s="76" t="s">
        <v>2628</v>
      </c>
      <c r="J27" t="s">
        <v>36</v>
      </c>
      <c r="K27" t="s">
        <v>1687</v>
      </c>
      <c r="L27" s="4" t="s">
        <v>2563</v>
      </c>
      <c r="M27" s="4" t="s">
        <v>2814</v>
      </c>
      <c r="N27" t="s">
        <v>907</v>
      </c>
      <c r="O27" t="s">
        <v>2582</v>
      </c>
      <c r="P27" t="s">
        <v>2712</v>
      </c>
      <c r="R27">
        <v>7.7700000000000005E-2</v>
      </c>
      <c r="S27">
        <v>3.7233333E-2</v>
      </c>
      <c r="T27">
        <f t="shared" si="0"/>
        <v>4.0466667000000005E-2</v>
      </c>
      <c r="U27">
        <v>4.2</v>
      </c>
      <c r="V27">
        <v>10.7</v>
      </c>
      <c r="W27">
        <f t="shared" si="1"/>
        <v>44.94</v>
      </c>
    </row>
    <row r="28" spans="1:23" ht="16">
      <c r="A28" t="s">
        <v>12</v>
      </c>
      <c r="B28" t="s">
        <v>3121</v>
      </c>
      <c r="C28" t="s">
        <v>2578</v>
      </c>
      <c r="D28" t="s">
        <v>2622</v>
      </c>
      <c r="E28" s="78">
        <v>53.306449999999998</v>
      </c>
      <c r="F28" s="78">
        <v>-6.2336600000000004</v>
      </c>
      <c r="G28">
        <v>0</v>
      </c>
      <c r="H28" s="1">
        <v>42923</v>
      </c>
      <c r="I28" s="76" t="s">
        <v>2628</v>
      </c>
      <c r="J28" t="s">
        <v>36</v>
      </c>
      <c r="K28" s="4" t="s">
        <v>1687</v>
      </c>
      <c r="L28" s="4" t="s">
        <v>2563</v>
      </c>
      <c r="M28" s="4" t="s">
        <v>2814</v>
      </c>
      <c r="N28" s="4" t="s">
        <v>907</v>
      </c>
      <c r="O28" s="4" t="s">
        <v>1722</v>
      </c>
      <c r="P28" s="4" t="s">
        <v>2713</v>
      </c>
      <c r="R28">
        <v>0.10340000000000001</v>
      </c>
      <c r="S28">
        <v>3.7233333E-2</v>
      </c>
      <c r="T28">
        <f t="shared" si="0"/>
        <v>6.6166667000000012E-2</v>
      </c>
      <c r="U28">
        <v>4.5999999999999996</v>
      </c>
      <c r="V28">
        <v>13.4</v>
      </c>
      <c r="W28">
        <f t="shared" si="1"/>
        <v>61.639999999999993</v>
      </c>
    </row>
    <row r="29" spans="1:23" ht="16">
      <c r="A29" t="s">
        <v>12</v>
      </c>
      <c r="B29" t="s">
        <v>3122</v>
      </c>
      <c r="C29" t="s">
        <v>2578</v>
      </c>
      <c r="D29" t="s">
        <v>2624</v>
      </c>
      <c r="E29" s="78">
        <v>53.306629999999998</v>
      </c>
      <c r="F29" s="78">
        <v>-6.2330800000000002</v>
      </c>
      <c r="G29">
        <v>0</v>
      </c>
      <c r="H29" s="1">
        <v>42921</v>
      </c>
      <c r="I29" s="76" t="s">
        <v>2628</v>
      </c>
      <c r="J29" t="s">
        <v>36</v>
      </c>
      <c r="K29" s="4" t="s">
        <v>1687</v>
      </c>
      <c r="L29" s="4" t="s">
        <v>2563</v>
      </c>
      <c r="M29" s="4" t="s">
        <v>2814</v>
      </c>
      <c r="N29" s="4" t="s">
        <v>907</v>
      </c>
      <c r="O29" s="4" t="s">
        <v>1722</v>
      </c>
      <c r="P29" s="4" t="s">
        <v>2713</v>
      </c>
      <c r="R29">
        <v>0.1071</v>
      </c>
      <c r="S29">
        <v>3.7233333E-2</v>
      </c>
      <c r="T29">
        <f t="shared" si="0"/>
        <v>6.9866666999999993E-2</v>
      </c>
      <c r="U29">
        <v>5.0999999999999996</v>
      </c>
      <c r="V29">
        <v>13.8</v>
      </c>
      <c r="W29">
        <f t="shared" si="1"/>
        <v>70.38</v>
      </c>
    </row>
    <row r="30" spans="1:23" ht="16">
      <c r="A30" t="s">
        <v>12</v>
      </c>
      <c r="B30" t="s">
        <v>3123</v>
      </c>
      <c r="C30" t="s">
        <v>2578</v>
      </c>
      <c r="D30" t="s">
        <v>2621</v>
      </c>
      <c r="E30" s="78">
        <v>53.306150000000002</v>
      </c>
      <c r="F30" s="78">
        <v>-6.2338800000000001</v>
      </c>
      <c r="G30">
        <v>0</v>
      </c>
      <c r="H30" s="1">
        <v>42921</v>
      </c>
      <c r="I30" s="76" t="s">
        <v>2628</v>
      </c>
      <c r="J30" t="s">
        <v>36</v>
      </c>
      <c r="K30" s="4" t="s">
        <v>1687</v>
      </c>
      <c r="L30" s="4" t="s">
        <v>2563</v>
      </c>
      <c r="M30" s="4" t="s">
        <v>2814</v>
      </c>
      <c r="N30" s="4" t="s">
        <v>907</v>
      </c>
      <c r="O30" s="4" t="s">
        <v>1722</v>
      </c>
      <c r="P30" s="4" t="s">
        <v>2713</v>
      </c>
      <c r="R30">
        <v>0.1055</v>
      </c>
      <c r="S30">
        <v>3.7233333E-2</v>
      </c>
      <c r="T30">
        <f t="shared" si="0"/>
        <v>6.8266667000000003E-2</v>
      </c>
      <c r="U30">
        <v>5</v>
      </c>
      <c r="V30">
        <v>13.8</v>
      </c>
      <c r="W30">
        <f t="shared" si="1"/>
        <v>69</v>
      </c>
    </row>
    <row r="31" spans="1:23" ht="16">
      <c r="A31" t="s">
        <v>12</v>
      </c>
      <c r="B31" t="s">
        <v>3124</v>
      </c>
      <c r="C31" t="s">
        <v>2578</v>
      </c>
      <c r="D31" t="s">
        <v>2651</v>
      </c>
      <c r="E31" s="78">
        <v>53.314369999999997</v>
      </c>
      <c r="F31" s="78">
        <v>-6.2222</v>
      </c>
      <c r="G31">
        <v>0</v>
      </c>
      <c r="H31" s="1">
        <v>42933</v>
      </c>
      <c r="I31" s="76" t="s">
        <v>2629</v>
      </c>
      <c r="J31" t="s">
        <v>36</v>
      </c>
      <c r="K31" t="s">
        <v>1687</v>
      </c>
      <c r="L31" s="4" t="s">
        <v>2563</v>
      </c>
      <c r="M31" s="4" t="s">
        <v>2814</v>
      </c>
      <c r="N31" t="s">
        <v>907</v>
      </c>
      <c r="O31" t="s">
        <v>2582</v>
      </c>
      <c r="P31" t="s">
        <v>2712</v>
      </c>
      <c r="R31">
        <v>7.5499999999999998E-2</v>
      </c>
      <c r="S31">
        <v>3.7233333E-2</v>
      </c>
      <c r="T31">
        <f t="shared" si="0"/>
        <v>3.8266666999999997E-2</v>
      </c>
      <c r="U31">
        <v>4.4000000000000004</v>
      </c>
      <c r="V31">
        <v>11.3</v>
      </c>
      <c r="W31">
        <f t="shared" si="1"/>
        <v>49.720000000000006</v>
      </c>
    </row>
    <row r="32" spans="1:23" ht="16">
      <c r="A32" t="s">
        <v>12</v>
      </c>
      <c r="B32" t="s">
        <v>3125</v>
      </c>
      <c r="C32" t="s">
        <v>2578</v>
      </c>
      <c r="D32" t="s">
        <v>2624</v>
      </c>
      <c r="E32" s="78">
        <v>53.306629999999998</v>
      </c>
      <c r="F32" s="78">
        <v>-6.2330800000000002</v>
      </c>
      <c r="G32">
        <v>0</v>
      </c>
      <c r="H32" s="1">
        <v>42933</v>
      </c>
      <c r="I32" s="76" t="s">
        <v>2628</v>
      </c>
      <c r="J32" t="s">
        <v>36</v>
      </c>
      <c r="K32" s="4" t="s">
        <v>1687</v>
      </c>
      <c r="L32" s="4" t="s">
        <v>2563</v>
      </c>
      <c r="M32" s="4" t="s">
        <v>2814</v>
      </c>
      <c r="N32" s="4" t="s">
        <v>907</v>
      </c>
      <c r="O32" s="4" t="s">
        <v>2586</v>
      </c>
      <c r="P32" s="4" t="s">
        <v>2712</v>
      </c>
      <c r="R32">
        <v>0.10539999999999999</v>
      </c>
      <c r="S32">
        <v>3.7233333E-2</v>
      </c>
      <c r="T32">
        <f t="shared" si="0"/>
        <v>6.8166666999999986E-2</v>
      </c>
      <c r="U32">
        <v>5.5</v>
      </c>
      <c r="V32">
        <v>15.1</v>
      </c>
      <c r="W32">
        <f t="shared" si="1"/>
        <v>83.05</v>
      </c>
    </row>
    <row r="33" spans="1:23" ht="16">
      <c r="A33" t="s">
        <v>12</v>
      </c>
      <c r="B33" t="s">
        <v>3126</v>
      </c>
      <c r="C33" t="s">
        <v>2578</v>
      </c>
      <c r="D33" t="s">
        <v>2624</v>
      </c>
      <c r="E33" s="78">
        <v>53.306629999999998</v>
      </c>
      <c r="F33" s="78">
        <v>-6.2330800000000002</v>
      </c>
      <c r="G33">
        <v>0</v>
      </c>
      <c r="H33" s="1">
        <v>42941</v>
      </c>
      <c r="I33" s="76" t="s">
        <v>2628</v>
      </c>
      <c r="J33" t="s">
        <v>36</v>
      </c>
      <c r="K33" s="4" t="s">
        <v>1687</v>
      </c>
      <c r="L33" s="4" t="s">
        <v>2563</v>
      </c>
      <c r="M33" s="4" t="s">
        <v>2814</v>
      </c>
      <c r="N33" s="4" t="s">
        <v>907</v>
      </c>
      <c r="O33" s="4" t="s">
        <v>1722</v>
      </c>
      <c r="P33" s="4" t="s">
        <v>2712</v>
      </c>
      <c r="R33">
        <v>0.10539999999999999</v>
      </c>
      <c r="S33">
        <v>3.7233333E-2</v>
      </c>
      <c r="T33">
        <f t="shared" si="0"/>
        <v>6.8166666999999986E-2</v>
      </c>
      <c r="U33">
        <v>5.8</v>
      </c>
      <c r="V33">
        <v>14.2</v>
      </c>
      <c r="W33">
        <f t="shared" si="1"/>
        <v>82.36</v>
      </c>
    </row>
    <row r="34" spans="1:23" ht="16">
      <c r="A34" t="s">
        <v>12</v>
      </c>
      <c r="B34" t="s">
        <v>3127</v>
      </c>
      <c r="C34" t="s">
        <v>2578</v>
      </c>
      <c r="D34" t="s">
        <v>2618</v>
      </c>
      <c r="E34" s="78">
        <v>53.312570000000001</v>
      </c>
      <c r="F34" s="78">
        <v>-6.2602500000000001</v>
      </c>
      <c r="G34">
        <v>0</v>
      </c>
      <c r="H34" s="1">
        <v>42938</v>
      </c>
      <c r="I34" s="76" t="s">
        <v>2652</v>
      </c>
      <c r="J34" t="s">
        <v>36</v>
      </c>
      <c r="K34" t="s">
        <v>1687</v>
      </c>
      <c r="L34" s="4" t="s">
        <v>2563</v>
      </c>
      <c r="M34" s="4" t="s">
        <v>2814</v>
      </c>
      <c r="N34" t="s">
        <v>907</v>
      </c>
      <c r="O34" t="s">
        <v>2662</v>
      </c>
      <c r="P34" t="s">
        <v>2712</v>
      </c>
      <c r="R34">
        <v>9.4799999999999995E-2</v>
      </c>
      <c r="S34">
        <v>4.6966666999999997E-2</v>
      </c>
      <c r="T34">
        <f t="shared" ref="T34:T50" si="2">R34-S34</f>
        <v>4.7833332999999999E-2</v>
      </c>
      <c r="U34">
        <v>5</v>
      </c>
      <c r="V34">
        <v>13</v>
      </c>
      <c r="W34">
        <f t="shared" ref="W34:W50" si="3">V34*U34</f>
        <v>65</v>
      </c>
    </row>
    <row r="35" spans="1:23" ht="16">
      <c r="A35" t="s">
        <v>12</v>
      </c>
      <c r="B35" t="s">
        <v>3143</v>
      </c>
      <c r="C35" t="s">
        <v>2578</v>
      </c>
      <c r="D35" t="s">
        <v>2624</v>
      </c>
      <c r="E35" s="77">
        <v>53.306629999999998</v>
      </c>
      <c r="F35" s="78">
        <v>-6.2330800000000002</v>
      </c>
      <c r="G35">
        <v>0</v>
      </c>
      <c r="H35" s="75">
        <v>42941</v>
      </c>
      <c r="I35" s="76" t="s">
        <v>2626</v>
      </c>
      <c r="J35" t="s">
        <v>36</v>
      </c>
      <c r="K35" t="s">
        <v>2566</v>
      </c>
      <c r="L35" t="s">
        <v>2567</v>
      </c>
      <c r="M35" t="s">
        <v>2668</v>
      </c>
      <c r="N35" t="s">
        <v>892</v>
      </c>
      <c r="O35" t="s">
        <v>2580</v>
      </c>
      <c r="P35" t="s">
        <v>2713</v>
      </c>
      <c r="R35">
        <v>5.1400000000000001E-2</v>
      </c>
      <c r="S35">
        <v>3.7233333E-2</v>
      </c>
      <c r="T35">
        <f t="shared" si="2"/>
        <v>1.4166667000000001E-2</v>
      </c>
      <c r="U35">
        <v>2.4</v>
      </c>
      <c r="V35">
        <v>10.3</v>
      </c>
      <c r="W35">
        <f t="shared" si="3"/>
        <v>24.720000000000002</v>
      </c>
    </row>
    <row r="36" spans="1:23" ht="16">
      <c r="A36" t="s">
        <v>12</v>
      </c>
      <c r="B36" t="s">
        <v>3144</v>
      </c>
      <c r="C36" t="s">
        <v>2578</v>
      </c>
      <c r="D36" t="s">
        <v>2618</v>
      </c>
      <c r="E36" s="77">
        <v>53.312570000000001</v>
      </c>
      <c r="F36" s="78">
        <v>-6.2602500000000001</v>
      </c>
      <c r="G36">
        <v>0</v>
      </c>
      <c r="H36" s="75">
        <v>42928</v>
      </c>
      <c r="I36" s="76" t="s">
        <v>2628</v>
      </c>
      <c r="J36" t="s">
        <v>36</v>
      </c>
      <c r="K36" t="s">
        <v>2572</v>
      </c>
      <c r="L36" t="s">
        <v>2573</v>
      </c>
      <c r="N36" t="s">
        <v>2606</v>
      </c>
      <c r="O36" t="s">
        <v>2590</v>
      </c>
      <c r="P36" t="s">
        <v>2713</v>
      </c>
      <c r="R36">
        <v>5.7099999999999998E-2</v>
      </c>
      <c r="S36">
        <v>4.6966666999999997E-2</v>
      </c>
      <c r="T36">
        <f t="shared" si="2"/>
        <v>1.0133333000000001E-2</v>
      </c>
      <c r="U36">
        <v>1.5</v>
      </c>
      <c r="V36">
        <v>5</v>
      </c>
      <c r="W36">
        <f t="shared" si="3"/>
        <v>7.5</v>
      </c>
    </row>
    <row r="37" spans="1:23" ht="16">
      <c r="A37" t="s">
        <v>12</v>
      </c>
      <c r="B37" t="s">
        <v>3145</v>
      </c>
      <c r="C37" t="s">
        <v>2578</v>
      </c>
      <c r="D37" t="s">
        <v>2621</v>
      </c>
      <c r="E37" s="78">
        <v>53.306150000000002</v>
      </c>
      <c r="F37" s="78">
        <v>-6.2338800000000001</v>
      </c>
      <c r="G37">
        <v>0</v>
      </c>
      <c r="H37" s="1">
        <v>42923</v>
      </c>
      <c r="I37" s="76" t="s">
        <v>2628</v>
      </c>
      <c r="J37" t="s">
        <v>36</v>
      </c>
      <c r="K37" t="s">
        <v>2572</v>
      </c>
      <c r="L37" t="s">
        <v>2573</v>
      </c>
      <c r="N37" t="s">
        <v>2606</v>
      </c>
      <c r="O37" t="s">
        <v>2590</v>
      </c>
      <c r="P37" t="s">
        <v>2713</v>
      </c>
      <c r="R37">
        <v>4.0300000000000002E-2</v>
      </c>
      <c r="S37">
        <v>3.7233333E-2</v>
      </c>
      <c r="T37">
        <f t="shared" si="2"/>
        <v>3.0666670000000021E-3</v>
      </c>
      <c r="U37">
        <v>1.7</v>
      </c>
      <c r="V37">
        <v>4.8</v>
      </c>
      <c r="W37">
        <f t="shared" si="3"/>
        <v>8.16</v>
      </c>
    </row>
    <row r="38" spans="1:23" ht="16">
      <c r="A38" t="s">
        <v>12</v>
      </c>
      <c r="B38" t="s">
        <v>3146</v>
      </c>
      <c r="C38" t="s">
        <v>2578</v>
      </c>
      <c r="D38" t="s">
        <v>2621</v>
      </c>
      <c r="E38" s="78">
        <v>53.306150000000002</v>
      </c>
      <c r="F38" s="78">
        <v>-6.2338800000000001</v>
      </c>
      <c r="G38">
        <v>0</v>
      </c>
      <c r="H38" s="1">
        <v>42923</v>
      </c>
      <c r="I38" s="76" t="s">
        <v>2628</v>
      </c>
      <c r="J38" t="s">
        <v>36</v>
      </c>
      <c r="K38" t="s">
        <v>2572</v>
      </c>
      <c r="L38" t="s">
        <v>2573</v>
      </c>
      <c r="N38" t="s">
        <v>2606</v>
      </c>
      <c r="O38" t="s">
        <v>2593</v>
      </c>
      <c r="P38" t="s">
        <v>2713</v>
      </c>
      <c r="R38">
        <v>3.9899999999999998E-2</v>
      </c>
      <c r="S38">
        <v>3.7233333E-2</v>
      </c>
      <c r="T38">
        <f t="shared" si="2"/>
        <v>2.6666669999999976E-3</v>
      </c>
      <c r="U38">
        <v>1.3</v>
      </c>
      <c r="V38">
        <v>4.5999999999999996</v>
      </c>
      <c r="W38">
        <f t="shared" si="3"/>
        <v>5.9799999999999995</v>
      </c>
    </row>
    <row r="39" spans="1:23" ht="16">
      <c r="A39" t="s">
        <v>12</v>
      </c>
      <c r="B39" t="s">
        <v>3147</v>
      </c>
      <c r="C39" t="s">
        <v>2578</v>
      </c>
      <c r="D39" t="s">
        <v>2613</v>
      </c>
      <c r="E39" s="78">
        <v>53.29316</v>
      </c>
      <c r="F39" s="78">
        <v>-6.4193800000000003</v>
      </c>
      <c r="G39">
        <v>0</v>
      </c>
      <c r="H39" s="1">
        <v>42913</v>
      </c>
      <c r="I39" s="76" t="s">
        <v>2626</v>
      </c>
      <c r="J39" t="s">
        <v>36</v>
      </c>
      <c r="K39" t="s">
        <v>2572</v>
      </c>
      <c r="L39" t="s">
        <v>2573</v>
      </c>
      <c r="N39" t="s">
        <v>2606</v>
      </c>
      <c r="O39" t="s">
        <v>2590</v>
      </c>
      <c r="P39" t="s">
        <v>2712</v>
      </c>
      <c r="R39">
        <v>0.04</v>
      </c>
      <c r="S39">
        <v>3.7233333E-2</v>
      </c>
      <c r="T39">
        <f t="shared" si="2"/>
        <v>2.7666670000000004E-3</v>
      </c>
      <c r="U39">
        <v>1.5</v>
      </c>
      <c r="V39">
        <v>5.0999999999999996</v>
      </c>
      <c r="W39">
        <f t="shared" si="3"/>
        <v>7.6499999999999995</v>
      </c>
    </row>
    <row r="40" spans="1:23" ht="16">
      <c r="A40" t="s">
        <v>12</v>
      </c>
      <c r="B40" t="s">
        <v>3148</v>
      </c>
      <c r="C40" t="s">
        <v>2578</v>
      </c>
      <c r="D40" t="s">
        <v>2624</v>
      </c>
      <c r="E40" s="78">
        <v>53.306629999999998</v>
      </c>
      <c r="F40" s="78">
        <v>-6.2330800000000002</v>
      </c>
      <c r="G40">
        <v>0</v>
      </c>
      <c r="H40" s="1">
        <v>42933</v>
      </c>
      <c r="I40" s="76" t="s">
        <v>2628</v>
      </c>
      <c r="J40" t="s">
        <v>36</v>
      </c>
      <c r="K40" t="s">
        <v>2572</v>
      </c>
      <c r="L40" t="s">
        <v>2573</v>
      </c>
      <c r="N40" t="s">
        <v>2606</v>
      </c>
      <c r="O40" t="s">
        <v>2590</v>
      </c>
      <c r="P40" t="s">
        <v>2713</v>
      </c>
      <c r="R40">
        <v>4.2500000000000003E-2</v>
      </c>
      <c r="S40">
        <v>3.7233333E-2</v>
      </c>
      <c r="T40">
        <f t="shared" si="2"/>
        <v>5.2666670000000027E-3</v>
      </c>
      <c r="U40">
        <v>1.6</v>
      </c>
      <c r="V40">
        <v>5.4</v>
      </c>
      <c r="W40">
        <f t="shared" si="3"/>
        <v>8.64</v>
      </c>
    </row>
    <row r="41" spans="1:23" ht="16">
      <c r="A41" t="s">
        <v>12</v>
      </c>
      <c r="B41" t="s">
        <v>3149</v>
      </c>
      <c r="C41" t="s">
        <v>2578</v>
      </c>
      <c r="D41" t="s">
        <v>2614</v>
      </c>
      <c r="E41" s="77">
        <v>53.292760000000001</v>
      </c>
      <c r="F41" s="78">
        <v>-6.4189499999999997</v>
      </c>
      <c r="G41">
        <v>0</v>
      </c>
      <c r="H41" s="75">
        <v>42940</v>
      </c>
      <c r="I41" s="76" t="s">
        <v>2626</v>
      </c>
      <c r="J41" t="s">
        <v>36</v>
      </c>
      <c r="K41" t="s">
        <v>2566</v>
      </c>
      <c r="L41" t="s">
        <v>2567</v>
      </c>
      <c r="M41" t="s">
        <v>2668</v>
      </c>
      <c r="N41" t="s">
        <v>2600</v>
      </c>
      <c r="O41" t="s">
        <v>2631</v>
      </c>
      <c r="P41" t="s">
        <v>2713</v>
      </c>
      <c r="R41">
        <v>5.0099999999999999E-2</v>
      </c>
      <c r="S41">
        <v>4.6966666999999997E-2</v>
      </c>
      <c r="T41">
        <f t="shared" si="2"/>
        <v>3.133333000000002E-3</v>
      </c>
      <c r="U41">
        <v>1.1000000000000001</v>
      </c>
      <c r="V41">
        <v>5.2</v>
      </c>
      <c r="W41">
        <f t="shared" si="3"/>
        <v>5.7200000000000006</v>
      </c>
    </row>
    <row r="42" spans="1:23" ht="16">
      <c r="A42" t="s">
        <v>12</v>
      </c>
      <c r="B42" t="s">
        <v>3150</v>
      </c>
      <c r="C42" t="s">
        <v>2578</v>
      </c>
      <c r="D42" t="s">
        <v>2621</v>
      </c>
      <c r="E42" s="77">
        <v>53.306150000000002</v>
      </c>
      <c r="F42" s="78">
        <v>-6.2338800000000001</v>
      </c>
      <c r="G42">
        <v>0</v>
      </c>
      <c r="H42" s="75">
        <v>42940</v>
      </c>
      <c r="I42" s="76" t="s">
        <v>2626</v>
      </c>
      <c r="J42" t="s">
        <v>36</v>
      </c>
      <c r="K42" t="s">
        <v>2566</v>
      </c>
      <c r="L42" t="s">
        <v>2567</v>
      </c>
      <c r="M42" t="s">
        <v>2668</v>
      </c>
      <c r="N42" t="s">
        <v>2600</v>
      </c>
      <c r="O42" t="s">
        <v>2585</v>
      </c>
      <c r="P42" t="s">
        <v>2713</v>
      </c>
      <c r="R42">
        <v>4.2000000000000003E-2</v>
      </c>
      <c r="S42">
        <v>3.7233333E-2</v>
      </c>
      <c r="T42">
        <f t="shared" si="2"/>
        <v>4.7666670000000022E-3</v>
      </c>
      <c r="U42">
        <v>1.7</v>
      </c>
      <c r="V42">
        <v>6.5</v>
      </c>
      <c r="W42">
        <f t="shared" si="3"/>
        <v>11.049999999999999</v>
      </c>
    </row>
    <row r="43" spans="1:23" ht="16">
      <c r="A43" t="s">
        <v>12</v>
      </c>
      <c r="B43" t="s">
        <v>3151</v>
      </c>
      <c r="C43" t="s">
        <v>2578</v>
      </c>
      <c r="D43" t="s">
        <v>2613</v>
      </c>
      <c r="E43" s="77">
        <v>53.29316</v>
      </c>
      <c r="F43" s="78">
        <v>-6.4193800000000003</v>
      </c>
      <c r="G43">
        <v>0</v>
      </c>
      <c r="H43" s="1">
        <v>42940</v>
      </c>
      <c r="I43" s="76" t="s">
        <v>2626</v>
      </c>
      <c r="J43" t="s">
        <v>36</v>
      </c>
      <c r="K43" t="s">
        <v>2566</v>
      </c>
      <c r="L43" t="s">
        <v>2567</v>
      </c>
      <c r="M43" t="s">
        <v>2668</v>
      </c>
      <c r="N43" t="s">
        <v>2600</v>
      </c>
      <c r="O43" t="s">
        <v>2591</v>
      </c>
      <c r="P43" t="s">
        <v>2712</v>
      </c>
      <c r="R43">
        <v>4.4200000000000003E-2</v>
      </c>
      <c r="S43">
        <v>3.7233333E-2</v>
      </c>
      <c r="T43">
        <f t="shared" si="2"/>
        <v>6.9666670000000028E-3</v>
      </c>
      <c r="U43">
        <v>2</v>
      </c>
      <c r="V43">
        <v>7.1</v>
      </c>
      <c r="W43">
        <f t="shared" si="3"/>
        <v>14.2</v>
      </c>
    </row>
    <row r="44" spans="1:23" ht="16">
      <c r="A44" t="s">
        <v>12</v>
      </c>
      <c r="B44" t="s">
        <v>3152</v>
      </c>
      <c r="C44" t="s">
        <v>2578</v>
      </c>
      <c r="D44" t="s">
        <v>2618</v>
      </c>
      <c r="E44" s="77">
        <v>53.312570000000001</v>
      </c>
      <c r="F44" s="78">
        <v>-6.2602500000000001</v>
      </c>
      <c r="G44">
        <v>0</v>
      </c>
      <c r="H44" s="75">
        <v>42928</v>
      </c>
      <c r="I44" s="76" t="s">
        <v>2628</v>
      </c>
      <c r="J44" t="s">
        <v>36</v>
      </c>
      <c r="K44" t="s">
        <v>2566</v>
      </c>
      <c r="L44" t="s">
        <v>2567</v>
      </c>
      <c r="M44" t="s">
        <v>2668</v>
      </c>
      <c r="N44" t="s">
        <v>2600</v>
      </c>
      <c r="O44" t="s">
        <v>2591</v>
      </c>
      <c r="P44" t="s">
        <v>2713</v>
      </c>
      <c r="R44">
        <v>5.4899999999999997E-2</v>
      </c>
      <c r="S44">
        <v>3.7233333E-2</v>
      </c>
      <c r="T44">
        <f t="shared" si="2"/>
        <v>1.7666666999999997E-2</v>
      </c>
      <c r="U44">
        <v>2</v>
      </c>
      <c r="V44">
        <v>7.4</v>
      </c>
      <c r="W44">
        <f t="shared" si="3"/>
        <v>14.8</v>
      </c>
    </row>
    <row r="45" spans="1:23" ht="16">
      <c r="A45" t="s">
        <v>12</v>
      </c>
      <c r="B45" t="s">
        <v>3153</v>
      </c>
      <c r="C45" t="s">
        <v>2578</v>
      </c>
      <c r="D45" t="s">
        <v>2618</v>
      </c>
      <c r="E45" s="77">
        <v>53.312570000000001</v>
      </c>
      <c r="F45" s="78">
        <v>-6.2602500000000001</v>
      </c>
      <c r="G45">
        <v>0</v>
      </c>
      <c r="H45" s="75">
        <v>42934</v>
      </c>
      <c r="I45" s="76" t="s">
        <v>2626</v>
      </c>
      <c r="J45" t="s">
        <v>36</v>
      </c>
      <c r="K45" t="s">
        <v>2566</v>
      </c>
      <c r="L45" t="s">
        <v>2567</v>
      </c>
      <c r="M45" t="s">
        <v>2668</v>
      </c>
      <c r="N45" t="s">
        <v>2600</v>
      </c>
      <c r="O45" t="s">
        <v>2591</v>
      </c>
      <c r="P45" t="s">
        <v>2712</v>
      </c>
      <c r="R45">
        <v>4.2900000000000001E-2</v>
      </c>
      <c r="S45">
        <v>3.7233333E-2</v>
      </c>
      <c r="T45">
        <f t="shared" si="2"/>
        <v>5.6666670000000002E-3</v>
      </c>
      <c r="U45">
        <v>1.8</v>
      </c>
      <c r="V45">
        <v>7</v>
      </c>
      <c r="W45">
        <f t="shared" si="3"/>
        <v>12.6</v>
      </c>
    </row>
    <row r="46" spans="1:23" ht="16">
      <c r="A46" t="s">
        <v>12</v>
      </c>
      <c r="B46" t="s">
        <v>3154</v>
      </c>
      <c r="C46" t="s">
        <v>2578</v>
      </c>
      <c r="D46" t="s">
        <v>2622</v>
      </c>
      <c r="E46" s="77">
        <v>53.306449999999998</v>
      </c>
      <c r="F46" s="78">
        <v>-6.2336600000000004</v>
      </c>
      <c r="G46">
        <v>0</v>
      </c>
      <c r="H46" s="75">
        <v>42940</v>
      </c>
      <c r="I46" s="76" t="s">
        <v>2626</v>
      </c>
      <c r="J46" t="s">
        <v>36</v>
      </c>
      <c r="K46" t="s">
        <v>2566</v>
      </c>
      <c r="L46" t="s">
        <v>2567</v>
      </c>
      <c r="M46" t="s">
        <v>2668</v>
      </c>
      <c r="N46" t="s">
        <v>2600</v>
      </c>
      <c r="O46" t="s">
        <v>2632</v>
      </c>
      <c r="P46" t="s">
        <v>2713</v>
      </c>
      <c r="R46">
        <v>4.1099999999999998E-2</v>
      </c>
      <c r="S46">
        <v>3.7233333E-2</v>
      </c>
      <c r="T46">
        <f t="shared" si="2"/>
        <v>3.8666669999999972E-3</v>
      </c>
      <c r="U46">
        <v>1.1000000000000001</v>
      </c>
      <c r="V46">
        <v>5.5</v>
      </c>
      <c r="W46">
        <f t="shared" si="3"/>
        <v>6.0500000000000007</v>
      </c>
    </row>
    <row r="47" spans="1:23" ht="16">
      <c r="A47" t="s">
        <v>12</v>
      </c>
      <c r="B47" t="s">
        <v>3155</v>
      </c>
      <c r="C47" t="s">
        <v>2578</v>
      </c>
      <c r="D47" t="s">
        <v>2618</v>
      </c>
      <c r="E47" s="77">
        <v>53.312570000000001</v>
      </c>
      <c r="F47" s="78">
        <v>-6.2602500000000001</v>
      </c>
      <c r="G47">
        <v>0</v>
      </c>
      <c r="H47" s="75">
        <v>42906</v>
      </c>
      <c r="I47" s="76" t="s">
        <v>2626</v>
      </c>
      <c r="J47" t="s">
        <v>36</v>
      </c>
      <c r="K47" t="s">
        <v>2566</v>
      </c>
      <c r="L47" t="s">
        <v>2567</v>
      </c>
      <c r="M47" t="s">
        <v>2668</v>
      </c>
      <c r="N47" t="s">
        <v>2600</v>
      </c>
      <c r="O47" t="s">
        <v>2591</v>
      </c>
      <c r="P47" t="s">
        <v>2713</v>
      </c>
      <c r="R47">
        <v>4.6699999999999998E-2</v>
      </c>
      <c r="S47">
        <v>3.7233333E-2</v>
      </c>
      <c r="T47">
        <f t="shared" si="2"/>
        <v>9.4666669999999981E-3</v>
      </c>
      <c r="U47">
        <v>2.2000000000000002</v>
      </c>
      <c r="V47">
        <v>8.5</v>
      </c>
      <c r="W47">
        <f t="shared" si="3"/>
        <v>18.700000000000003</v>
      </c>
    </row>
    <row r="48" spans="1:23" ht="16">
      <c r="A48" t="s">
        <v>12</v>
      </c>
      <c r="B48" t="s">
        <v>3156</v>
      </c>
      <c r="C48" t="s">
        <v>2578</v>
      </c>
      <c r="D48" t="s">
        <v>2622</v>
      </c>
      <c r="E48" s="78">
        <v>53.306449999999998</v>
      </c>
      <c r="F48" s="78">
        <v>-6.2336600000000004</v>
      </c>
      <c r="G48">
        <v>0</v>
      </c>
      <c r="H48" s="1">
        <v>42941</v>
      </c>
      <c r="I48" s="76" t="s">
        <v>2628</v>
      </c>
      <c r="J48" t="s">
        <v>36</v>
      </c>
      <c r="K48" t="s">
        <v>2566</v>
      </c>
      <c r="L48" t="s">
        <v>2567</v>
      </c>
      <c r="M48" t="s">
        <v>2668</v>
      </c>
      <c r="N48" t="s">
        <v>2600</v>
      </c>
      <c r="O48" t="s">
        <v>2631</v>
      </c>
      <c r="P48" t="s">
        <v>2713</v>
      </c>
      <c r="R48">
        <v>3.8399999999999997E-2</v>
      </c>
      <c r="S48">
        <v>3.7233333E-2</v>
      </c>
      <c r="T48">
        <f t="shared" si="2"/>
        <v>1.1666669999999962E-3</v>
      </c>
      <c r="U48">
        <v>1.3</v>
      </c>
      <c r="V48">
        <v>4.8</v>
      </c>
      <c r="W48">
        <f t="shared" si="3"/>
        <v>6.24</v>
      </c>
    </row>
    <row r="49" spans="1:23" ht="16">
      <c r="A49" t="s">
        <v>12</v>
      </c>
      <c r="B49" t="s">
        <v>3157</v>
      </c>
      <c r="C49" t="s">
        <v>2578</v>
      </c>
      <c r="D49" t="s">
        <v>2618</v>
      </c>
      <c r="E49" s="78">
        <v>53.312570000000001</v>
      </c>
      <c r="F49" s="78">
        <v>-6.2602500000000001</v>
      </c>
      <c r="G49">
        <v>0</v>
      </c>
      <c r="H49" s="1">
        <v>42938</v>
      </c>
      <c r="I49" s="76" t="s">
        <v>2626</v>
      </c>
      <c r="J49" t="s">
        <v>36</v>
      </c>
      <c r="K49" t="s">
        <v>2566</v>
      </c>
      <c r="L49" t="s">
        <v>2567</v>
      </c>
      <c r="M49" t="s">
        <v>2668</v>
      </c>
      <c r="N49" t="s">
        <v>2600</v>
      </c>
      <c r="O49" t="s">
        <v>2591</v>
      </c>
      <c r="P49" t="s">
        <v>2712</v>
      </c>
      <c r="R49">
        <v>4.2099999999999999E-2</v>
      </c>
      <c r="S49">
        <v>3.7233333E-2</v>
      </c>
      <c r="T49">
        <f t="shared" si="2"/>
        <v>4.8666669999999981E-3</v>
      </c>
      <c r="U49">
        <v>1.9</v>
      </c>
      <c r="V49">
        <v>7.1</v>
      </c>
      <c r="W49">
        <f t="shared" si="3"/>
        <v>13.489999999999998</v>
      </c>
    </row>
    <row r="50" spans="1:23" ht="16">
      <c r="A50" t="s">
        <v>12</v>
      </c>
      <c r="B50" t="s">
        <v>3158</v>
      </c>
      <c r="C50" t="s">
        <v>2578</v>
      </c>
      <c r="D50" t="s">
        <v>2624</v>
      </c>
      <c r="E50" s="78">
        <v>53.306629999999998</v>
      </c>
      <c r="F50" s="78">
        <v>-6.2330800000000002</v>
      </c>
      <c r="G50">
        <v>0</v>
      </c>
      <c r="H50" s="1">
        <v>42921</v>
      </c>
      <c r="I50" s="76" t="s">
        <v>2628</v>
      </c>
      <c r="J50" t="s">
        <v>36</v>
      </c>
      <c r="K50" t="s">
        <v>2566</v>
      </c>
      <c r="L50" t="s">
        <v>2567</v>
      </c>
      <c r="M50" t="s">
        <v>2668</v>
      </c>
      <c r="N50" t="s">
        <v>2600</v>
      </c>
      <c r="O50" t="s">
        <v>2591</v>
      </c>
      <c r="P50" t="s">
        <v>2713</v>
      </c>
      <c r="R50">
        <v>4.2599999999999999E-2</v>
      </c>
      <c r="S50">
        <v>3.7233333E-2</v>
      </c>
      <c r="T50">
        <f t="shared" si="2"/>
        <v>5.3666669999999986E-3</v>
      </c>
      <c r="U50">
        <v>1.9</v>
      </c>
      <c r="V50">
        <v>7.5</v>
      </c>
      <c r="W50">
        <f t="shared" si="3"/>
        <v>14.25</v>
      </c>
    </row>
    <row r="51" spans="1:23" ht="16">
      <c r="A51" t="s">
        <v>12</v>
      </c>
      <c r="B51" t="s">
        <v>3159</v>
      </c>
      <c r="C51" t="s">
        <v>2578</v>
      </c>
      <c r="D51" t="s">
        <v>2622</v>
      </c>
      <c r="E51" s="78">
        <v>53.306449999999998</v>
      </c>
      <c r="F51" s="78">
        <v>-6.2336600000000004</v>
      </c>
      <c r="G51">
        <v>0</v>
      </c>
      <c r="H51" s="1">
        <v>42983</v>
      </c>
      <c r="I51" s="76" t="s">
        <v>2626</v>
      </c>
      <c r="J51" t="s">
        <v>36</v>
      </c>
      <c r="K51" t="s">
        <v>2566</v>
      </c>
      <c r="L51" t="s">
        <v>2567</v>
      </c>
      <c r="M51" t="s">
        <v>2668</v>
      </c>
      <c r="N51" t="s">
        <v>2600</v>
      </c>
      <c r="O51" t="s">
        <v>2632</v>
      </c>
      <c r="P51" t="s">
        <v>2712</v>
      </c>
      <c r="R51">
        <v>3.9399999999999998E-2</v>
      </c>
      <c r="S51">
        <v>3.7233333E-2</v>
      </c>
      <c r="T51">
        <f t="shared" ref="T51:T77" si="4">R51-S51</f>
        <v>2.1666669999999971E-3</v>
      </c>
      <c r="U51">
        <v>1.2</v>
      </c>
      <c r="V51">
        <v>4.5</v>
      </c>
      <c r="W51">
        <f t="shared" ref="W51:W77" si="5">V51*U51</f>
        <v>5.3999999999999995</v>
      </c>
    </row>
    <row r="52" spans="1:23" ht="16">
      <c r="A52" t="s">
        <v>12</v>
      </c>
      <c r="B52" t="s">
        <v>3160</v>
      </c>
      <c r="C52" t="s">
        <v>2578</v>
      </c>
      <c r="D52" t="s">
        <v>2622</v>
      </c>
      <c r="E52" s="78">
        <v>53.306449999999998</v>
      </c>
      <c r="F52" s="78">
        <v>-6.2336600000000004</v>
      </c>
      <c r="G52">
        <v>0</v>
      </c>
      <c r="H52" s="1">
        <v>42983</v>
      </c>
      <c r="I52" s="76" t="s">
        <v>2626</v>
      </c>
      <c r="J52" t="s">
        <v>36</v>
      </c>
      <c r="K52" t="s">
        <v>2566</v>
      </c>
      <c r="L52" t="s">
        <v>2567</v>
      </c>
      <c r="M52" t="s">
        <v>2668</v>
      </c>
      <c r="N52" t="s">
        <v>2600</v>
      </c>
      <c r="O52" t="s">
        <v>2632</v>
      </c>
      <c r="P52" t="s">
        <v>2712</v>
      </c>
      <c r="R52">
        <v>3.9E-2</v>
      </c>
      <c r="S52">
        <v>3.7233333E-2</v>
      </c>
      <c r="T52">
        <f t="shared" si="4"/>
        <v>1.7666669999999995E-3</v>
      </c>
      <c r="U52">
        <v>1.2</v>
      </c>
      <c r="V52">
        <v>4.5</v>
      </c>
      <c r="W52">
        <f t="shared" si="5"/>
        <v>5.3999999999999995</v>
      </c>
    </row>
    <row r="53" spans="1:23" ht="16">
      <c r="A53" t="s">
        <v>12</v>
      </c>
      <c r="B53" t="s">
        <v>3161</v>
      </c>
      <c r="C53" t="s">
        <v>2578</v>
      </c>
      <c r="D53" t="s">
        <v>2621</v>
      </c>
      <c r="E53" s="78">
        <v>53.306150000000002</v>
      </c>
      <c r="F53" s="78">
        <v>-6.2338800000000001</v>
      </c>
      <c r="G53">
        <v>0</v>
      </c>
      <c r="H53" s="1">
        <v>42941</v>
      </c>
      <c r="I53" s="76" t="s">
        <v>2628</v>
      </c>
      <c r="J53" t="s">
        <v>36</v>
      </c>
      <c r="K53" t="s">
        <v>2566</v>
      </c>
      <c r="L53" t="s">
        <v>2567</v>
      </c>
      <c r="M53" t="s">
        <v>2668</v>
      </c>
      <c r="N53" t="s">
        <v>2600</v>
      </c>
      <c r="O53" t="s">
        <v>2632</v>
      </c>
      <c r="P53" t="s">
        <v>2713</v>
      </c>
      <c r="R53">
        <v>3.8800000000000001E-2</v>
      </c>
      <c r="S53">
        <v>3.7233333E-2</v>
      </c>
      <c r="T53">
        <f t="shared" si="4"/>
        <v>1.5666670000000008E-3</v>
      </c>
      <c r="U53">
        <v>1.3</v>
      </c>
      <c r="V53">
        <v>5.2</v>
      </c>
      <c r="W53">
        <f t="shared" si="5"/>
        <v>6.7600000000000007</v>
      </c>
    </row>
    <row r="54" spans="1:23" ht="16">
      <c r="A54" t="s">
        <v>25</v>
      </c>
      <c r="B54" t="s">
        <v>3162</v>
      </c>
      <c r="C54" t="s">
        <v>2578</v>
      </c>
      <c r="D54" t="s">
        <v>2623</v>
      </c>
      <c r="E54" s="77">
        <v>53.306789999999999</v>
      </c>
      <c r="F54" s="78">
        <v>-6.23339</v>
      </c>
      <c r="G54">
        <v>0</v>
      </c>
      <c r="H54" s="75">
        <v>42921</v>
      </c>
      <c r="I54" s="76" t="s">
        <v>2628</v>
      </c>
      <c r="J54" t="s">
        <v>36</v>
      </c>
      <c r="K54" t="s">
        <v>2554</v>
      </c>
      <c r="N54" t="s">
        <v>2657</v>
      </c>
      <c r="O54" t="s">
        <v>2658</v>
      </c>
      <c r="P54" t="s">
        <v>2712</v>
      </c>
      <c r="R54">
        <v>4.1500000000000002E-2</v>
      </c>
      <c r="S54">
        <v>3.7233333E-2</v>
      </c>
      <c r="T54">
        <f t="shared" si="4"/>
        <v>4.2666670000000018E-3</v>
      </c>
      <c r="U54">
        <v>1.7</v>
      </c>
      <c r="V54">
        <v>8.6999999999999993</v>
      </c>
      <c r="W54">
        <f t="shared" si="5"/>
        <v>14.79</v>
      </c>
    </row>
    <row r="55" spans="1:23" ht="16">
      <c r="A55" t="s">
        <v>25</v>
      </c>
      <c r="B55" t="s">
        <v>3163</v>
      </c>
      <c r="C55" t="s">
        <v>2578</v>
      </c>
      <c r="D55" t="s">
        <v>2611</v>
      </c>
      <c r="E55" s="77">
        <v>53.29383</v>
      </c>
      <c r="F55" s="78">
        <v>-6.4200999999999997</v>
      </c>
      <c r="G55">
        <v>0</v>
      </c>
      <c r="H55" s="75">
        <v>42930</v>
      </c>
      <c r="I55" s="76" t="s">
        <v>2626</v>
      </c>
      <c r="J55" t="s">
        <v>36</v>
      </c>
      <c r="K55" t="s">
        <v>2554</v>
      </c>
      <c r="N55" t="s">
        <v>2657</v>
      </c>
      <c r="O55" t="s">
        <v>2658</v>
      </c>
      <c r="P55" t="s">
        <v>2712</v>
      </c>
      <c r="R55">
        <v>4.0599999999999997E-2</v>
      </c>
      <c r="S55">
        <v>3.7233333E-2</v>
      </c>
      <c r="T55">
        <f t="shared" si="4"/>
        <v>3.3666669999999968E-3</v>
      </c>
      <c r="U55">
        <v>1.8</v>
      </c>
      <c r="V55">
        <v>8.1</v>
      </c>
      <c r="W55">
        <f t="shared" si="5"/>
        <v>14.58</v>
      </c>
    </row>
    <row r="56" spans="1:23" ht="16">
      <c r="A56" t="s">
        <v>25</v>
      </c>
      <c r="B56" t="s">
        <v>3164</v>
      </c>
      <c r="C56" t="s">
        <v>2578</v>
      </c>
      <c r="D56" t="s">
        <v>2623</v>
      </c>
      <c r="E56" s="78">
        <v>53.306789999999999</v>
      </c>
      <c r="F56" s="78">
        <v>-6.23339</v>
      </c>
      <c r="G56">
        <v>0</v>
      </c>
      <c r="H56" s="1">
        <v>42916</v>
      </c>
      <c r="I56" s="76" t="s">
        <v>2628</v>
      </c>
      <c r="J56" t="s">
        <v>36</v>
      </c>
      <c r="K56" t="s">
        <v>2554</v>
      </c>
      <c r="N56" t="s">
        <v>2657</v>
      </c>
      <c r="O56" t="s">
        <v>2658</v>
      </c>
      <c r="P56" t="s">
        <v>2712</v>
      </c>
      <c r="R56">
        <v>4.1200000000000001E-2</v>
      </c>
      <c r="S56">
        <v>3.7233333E-2</v>
      </c>
      <c r="T56">
        <f t="shared" si="4"/>
        <v>3.9666670000000001E-3</v>
      </c>
      <c r="U56">
        <v>1.7</v>
      </c>
      <c r="V56">
        <v>8.5</v>
      </c>
      <c r="W56">
        <f t="shared" si="5"/>
        <v>14.45</v>
      </c>
    </row>
    <row r="57" spans="1:23" ht="16">
      <c r="A57" t="s">
        <v>25</v>
      </c>
      <c r="B57" t="s">
        <v>3165</v>
      </c>
      <c r="C57" t="s">
        <v>2578</v>
      </c>
      <c r="D57" t="s">
        <v>2623</v>
      </c>
      <c r="E57" s="77">
        <v>53.306789999999999</v>
      </c>
      <c r="F57" s="78">
        <v>-6.23339</v>
      </c>
      <c r="G57">
        <v>0</v>
      </c>
      <c r="H57" s="75">
        <v>42928</v>
      </c>
      <c r="I57" s="76" t="s">
        <v>2628</v>
      </c>
      <c r="J57" t="s">
        <v>36</v>
      </c>
      <c r="K57" t="s">
        <v>2554</v>
      </c>
      <c r="N57" t="s">
        <v>2604</v>
      </c>
      <c r="O57" t="s">
        <v>2588</v>
      </c>
      <c r="P57" t="s">
        <v>2713</v>
      </c>
      <c r="R57">
        <v>3.9699999999999999E-2</v>
      </c>
      <c r="S57">
        <v>3.7233333E-2</v>
      </c>
      <c r="T57">
        <f t="shared" si="4"/>
        <v>2.4666669999999988E-3</v>
      </c>
      <c r="U57">
        <v>2</v>
      </c>
      <c r="V57">
        <v>8</v>
      </c>
      <c r="W57">
        <f t="shared" si="5"/>
        <v>16</v>
      </c>
    </row>
    <row r="58" spans="1:23" ht="16">
      <c r="A58" t="s">
        <v>25</v>
      </c>
      <c r="B58" t="s">
        <v>3166</v>
      </c>
      <c r="C58" t="s">
        <v>2578</v>
      </c>
      <c r="D58" t="s">
        <v>2614</v>
      </c>
      <c r="E58" s="77">
        <v>53.292760000000001</v>
      </c>
      <c r="F58" s="78">
        <v>-6.4189499999999997</v>
      </c>
      <c r="G58">
        <v>0</v>
      </c>
      <c r="H58" s="75">
        <v>42948</v>
      </c>
      <c r="I58" s="76" t="s">
        <v>2653</v>
      </c>
      <c r="J58" t="s">
        <v>36</v>
      </c>
      <c r="K58" t="s">
        <v>2554</v>
      </c>
      <c r="N58" t="s">
        <v>2659</v>
      </c>
      <c r="O58" t="s">
        <v>2660</v>
      </c>
      <c r="P58" t="s">
        <v>2713</v>
      </c>
      <c r="R58">
        <v>5.3900000000000003E-2</v>
      </c>
      <c r="S58">
        <v>3.7233333E-2</v>
      </c>
      <c r="T58">
        <f t="shared" si="4"/>
        <v>1.6666667000000003E-2</v>
      </c>
      <c r="U58">
        <v>4.0999999999999996</v>
      </c>
      <c r="V58">
        <v>13.1</v>
      </c>
      <c r="W58">
        <f t="shared" si="5"/>
        <v>53.709999999999994</v>
      </c>
    </row>
    <row r="59" spans="1:23" ht="16">
      <c r="A59" t="s">
        <v>25</v>
      </c>
      <c r="B59" t="s">
        <v>3167</v>
      </c>
      <c r="C59" t="s">
        <v>2578</v>
      </c>
      <c r="D59" t="s">
        <v>2624</v>
      </c>
      <c r="E59" s="78">
        <v>53.306629999999998</v>
      </c>
      <c r="F59" s="78">
        <v>-6.2330800000000002</v>
      </c>
      <c r="G59">
        <v>0</v>
      </c>
      <c r="H59" s="75">
        <v>42941</v>
      </c>
      <c r="I59" s="76" t="s">
        <v>2626</v>
      </c>
      <c r="J59" t="s">
        <v>36</v>
      </c>
      <c r="K59" t="s">
        <v>2554</v>
      </c>
      <c r="N59" t="s">
        <v>2659</v>
      </c>
      <c r="O59" t="s">
        <v>2660</v>
      </c>
      <c r="P59" t="s">
        <v>2713</v>
      </c>
      <c r="R59">
        <v>7.3999999999999996E-2</v>
      </c>
      <c r="S59">
        <v>3.7233333E-2</v>
      </c>
      <c r="T59">
        <f t="shared" si="4"/>
        <v>3.6766666999999996E-2</v>
      </c>
      <c r="U59">
        <v>4.9000000000000004</v>
      </c>
      <c r="V59">
        <v>13.1</v>
      </c>
      <c r="W59">
        <f t="shared" si="5"/>
        <v>64.19</v>
      </c>
    </row>
    <row r="60" spans="1:23" ht="16">
      <c r="A60" t="s">
        <v>25</v>
      </c>
      <c r="B60" t="s">
        <v>3168</v>
      </c>
      <c r="C60" t="s">
        <v>2578</v>
      </c>
      <c r="D60" t="s">
        <v>2613</v>
      </c>
      <c r="E60" s="77">
        <v>53.29316</v>
      </c>
      <c r="F60" s="78">
        <v>-6.4193800000000003</v>
      </c>
      <c r="G60">
        <v>0</v>
      </c>
      <c r="H60" s="75">
        <v>42906</v>
      </c>
      <c r="I60" s="76" t="s">
        <v>2626</v>
      </c>
      <c r="J60" t="s">
        <v>36</v>
      </c>
      <c r="K60" t="s">
        <v>2554</v>
      </c>
      <c r="N60" t="s">
        <v>2598</v>
      </c>
      <c r="O60" t="s">
        <v>2581</v>
      </c>
      <c r="P60" t="s">
        <v>2713</v>
      </c>
      <c r="R60">
        <v>4.2000000000000003E-2</v>
      </c>
      <c r="S60">
        <v>3.7233333E-2</v>
      </c>
      <c r="T60">
        <f t="shared" si="4"/>
        <v>4.7666670000000022E-3</v>
      </c>
      <c r="U60">
        <v>2</v>
      </c>
      <c r="V60">
        <v>8.1</v>
      </c>
      <c r="W60">
        <f t="shared" si="5"/>
        <v>16.2</v>
      </c>
    </row>
    <row r="61" spans="1:23" ht="16">
      <c r="A61" t="s">
        <v>25</v>
      </c>
      <c r="B61" t="s">
        <v>3169</v>
      </c>
      <c r="C61" t="s">
        <v>2578</v>
      </c>
      <c r="D61" t="s">
        <v>2621</v>
      </c>
      <c r="E61" s="77">
        <v>53.306150000000002</v>
      </c>
      <c r="F61" s="78">
        <v>-6.2338800000000001</v>
      </c>
      <c r="G61">
        <v>0</v>
      </c>
      <c r="H61" s="75">
        <v>42921</v>
      </c>
      <c r="I61" s="76" t="s">
        <v>2626</v>
      </c>
      <c r="J61" t="s">
        <v>36</v>
      </c>
      <c r="K61" t="s">
        <v>2554</v>
      </c>
      <c r="N61" t="s">
        <v>2598</v>
      </c>
      <c r="O61" t="s">
        <v>2581</v>
      </c>
      <c r="P61" t="s">
        <v>2712</v>
      </c>
      <c r="R61">
        <v>4.0099999999999997E-2</v>
      </c>
      <c r="S61">
        <v>3.7233333E-2</v>
      </c>
      <c r="T61">
        <f t="shared" si="4"/>
        <v>2.8666669999999964E-3</v>
      </c>
      <c r="U61">
        <v>1.8</v>
      </c>
      <c r="V61">
        <v>8.6</v>
      </c>
      <c r="W61">
        <f t="shared" si="5"/>
        <v>15.48</v>
      </c>
    </row>
    <row r="62" spans="1:23" ht="16">
      <c r="A62" t="s">
        <v>25</v>
      </c>
      <c r="B62" t="s">
        <v>3170</v>
      </c>
      <c r="C62" t="s">
        <v>2578</v>
      </c>
      <c r="D62" t="s">
        <v>2624</v>
      </c>
      <c r="E62" s="78">
        <v>53.306629999999998</v>
      </c>
      <c r="F62" s="78">
        <v>-6.2330800000000002</v>
      </c>
      <c r="G62">
        <v>0</v>
      </c>
      <c r="H62" s="1">
        <v>42916</v>
      </c>
      <c r="I62" s="76" t="s">
        <v>2628</v>
      </c>
      <c r="J62" t="s">
        <v>36</v>
      </c>
      <c r="K62" t="s">
        <v>2554</v>
      </c>
      <c r="N62" t="s">
        <v>2598</v>
      </c>
      <c r="O62" t="s">
        <v>2581</v>
      </c>
      <c r="P62" t="s">
        <v>2712</v>
      </c>
      <c r="R62">
        <v>4.0899999999999999E-2</v>
      </c>
      <c r="S62">
        <v>3.7233333E-2</v>
      </c>
      <c r="T62">
        <f t="shared" si="4"/>
        <v>3.6666669999999985E-3</v>
      </c>
      <c r="U62">
        <v>2</v>
      </c>
      <c r="V62">
        <v>8.6999999999999993</v>
      </c>
      <c r="W62">
        <f t="shared" si="5"/>
        <v>17.399999999999999</v>
      </c>
    </row>
    <row r="63" spans="1:23" ht="16">
      <c r="A63" t="s">
        <v>25</v>
      </c>
      <c r="B63" t="s">
        <v>3171</v>
      </c>
      <c r="C63" t="s">
        <v>2578</v>
      </c>
      <c r="D63" t="s">
        <v>2624</v>
      </c>
      <c r="E63" s="78">
        <v>53.306629999999998</v>
      </c>
      <c r="F63" s="78">
        <v>-6.2330800000000002</v>
      </c>
      <c r="G63">
        <v>0</v>
      </c>
      <c r="H63" s="1">
        <v>42921</v>
      </c>
      <c r="I63" s="76" t="s">
        <v>2628</v>
      </c>
      <c r="J63" t="s">
        <v>36</v>
      </c>
      <c r="K63" t="s">
        <v>2554</v>
      </c>
      <c r="N63" t="s">
        <v>2598</v>
      </c>
      <c r="O63" t="s">
        <v>2581</v>
      </c>
      <c r="P63" t="s">
        <v>2713</v>
      </c>
      <c r="R63">
        <v>3.9600000000000003E-2</v>
      </c>
      <c r="S63">
        <v>3.7233333E-2</v>
      </c>
      <c r="T63">
        <f t="shared" si="4"/>
        <v>2.3666670000000029E-3</v>
      </c>
      <c r="U63">
        <v>1.8</v>
      </c>
      <c r="V63">
        <v>7.9</v>
      </c>
      <c r="W63">
        <f t="shared" si="5"/>
        <v>14.22</v>
      </c>
    </row>
    <row r="64" spans="1:23" ht="16">
      <c r="A64" t="s">
        <v>25</v>
      </c>
      <c r="B64" t="s">
        <v>3172</v>
      </c>
      <c r="C64" t="s">
        <v>2578</v>
      </c>
      <c r="D64" t="s">
        <v>2622</v>
      </c>
      <c r="E64" s="78">
        <v>53.306449999999998</v>
      </c>
      <c r="F64" s="78">
        <v>-6.2336600000000004</v>
      </c>
      <c r="G64">
        <v>0</v>
      </c>
      <c r="H64" s="1">
        <v>42916</v>
      </c>
      <c r="I64" s="76" t="s">
        <v>2628</v>
      </c>
      <c r="J64" t="s">
        <v>36</v>
      </c>
      <c r="K64" t="s">
        <v>2554</v>
      </c>
      <c r="N64" t="s">
        <v>2598</v>
      </c>
      <c r="O64" t="s">
        <v>2581</v>
      </c>
      <c r="P64" t="s">
        <v>2712</v>
      </c>
      <c r="R64">
        <v>4.1500000000000002E-2</v>
      </c>
      <c r="S64">
        <v>3.7233333E-2</v>
      </c>
      <c r="T64">
        <f t="shared" si="4"/>
        <v>4.2666670000000018E-3</v>
      </c>
      <c r="U64">
        <v>2.2000000000000002</v>
      </c>
      <c r="V64">
        <v>8.6</v>
      </c>
      <c r="W64">
        <f t="shared" si="5"/>
        <v>18.920000000000002</v>
      </c>
    </row>
    <row r="65" spans="1:23" ht="16">
      <c r="A65" t="s">
        <v>25</v>
      </c>
      <c r="B65" t="s">
        <v>3173</v>
      </c>
      <c r="C65" t="s">
        <v>2578</v>
      </c>
      <c r="D65" t="s">
        <v>2614</v>
      </c>
      <c r="E65" s="78">
        <v>53.292760000000001</v>
      </c>
      <c r="F65" s="78">
        <v>-6.4189499999999997</v>
      </c>
      <c r="G65">
        <v>0</v>
      </c>
      <c r="H65" s="1">
        <v>42984</v>
      </c>
      <c r="I65" s="76" t="s">
        <v>2626</v>
      </c>
      <c r="J65" t="s">
        <v>36</v>
      </c>
      <c r="K65" t="s">
        <v>2554</v>
      </c>
      <c r="N65" t="s">
        <v>2598</v>
      </c>
      <c r="O65" t="s">
        <v>2581</v>
      </c>
      <c r="P65" t="s">
        <v>2713</v>
      </c>
      <c r="R65">
        <v>4.0300000000000002E-2</v>
      </c>
      <c r="S65">
        <v>3.7233333E-2</v>
      </c>
      <c r="T65">
        <f t="shared" si="4"/>
        <v>3.0666670000000021E-3</v>
      </c>
      <c r="U65">
        <v>1.5</v>
      </c>
      <c r="V65">
        <v>6.5</v>
      </c>
      <c r="W65">
        <f t="shared" si="5"/>
        <v>9.75</v>
      </c>
    </row>
    <row r="66" spans="1:23" ht="16">
      <c r="A66" t="s">
        <v>25</v>
      </c>
      <c r="B66" t="s">
        <v>3174</v>
      </c>
      <c r="C66" t="s">
        <v>2578</v>
      </c>
      <c r="D66" t="s">
        <v>2623</v>
      </c>
      <c r="E66" s="78">
        <v>53.306789999999999</v>
      </c>
      <c r="F66" s="78">
        <v>-6.23339</v>
      </c>
      <c r="G66">
        <v>0</v>
      </c>
      <c r="H66" s="1">
        <v>42916</v>
      </c>
      <c r="I66" s="76" t="s">
        <v>2628</v>
      </c>
      <c r="J66" t="s">
        <v>36</v>
      </c>
      <c r="K66" s="4" t="s">
        <v>2554</v>
      </c>
      <c r="N66" s="4" t="s">
        <v>2599</v>
      </c>
      <c r="O66" s="4" t="s">
        <v>2583</v>
      </c>
      <c r="P66" s="4" t="s">
        <v>2713</v>
      </c>
      <c r="R66">
        <v>4.1300000000000003E-2</v>
      </c>
      <c r="S66">
        <v>3.7233333E-2</v>
      </c>
      <c r="T66">
        <f t="shared" si="4"/>
        <v>4.066667000000003E-3</v>
      </c>
      <c r="U66">
        <v>1.9</v>
      </c>
      <c r="V66">
        <v>6.5</v>
      </c>
      <c r="W66">
        <f t="shared" si="5"/>
        <v>12.35</v>
      </c>
    </row>
    <row r="67" spans="1:23" ht="16">
      <c r="A67" t="s">
        <v>25</v>
      </c>
      <c r="B67" t="s">
        <v>3175</v>
      </c>
      <c r="C67" t="s">
        <v>2578</v>
      </c>
      <c r="D67" t="s">
        <v>2613</v>
      </c>
      <c r="E67" s="77">
        <v>53.29316</v>
      </c>
      <c r="F67" s="78">
        <v>-6.4193800000000003</v>
      </c>
      <c r="G67">
        <v>0</v>
      </c>
      <c r="H67" s="1">
        <v>42940</v>
      </c>
      <c r="I67" s="76" t="s">
        <v>2627</v>
      </c>
      <c r="J67" t="s">
        <v>36</v>
      </c>
      <c r="K67" s="4" t="s">
        <v>2554</v>
      </c>
      <c r="N67" s="4" t="s">
        <v>2607</v>
      </c>
      <c r="O67" s="4" t="s">
        <v>2592</v>
      </c>
      <c r="P67" s="4" t="s">
        <v>2713</v>
      </c>
      <c r="R67">
        <v>6.59E-2</v>
      </c>
      <c r="S67">
        <v>3.7233333E-2</v>
      </c>
      <c r="T67">
        <f t="shared" si="4"/>
        <v>2.8666667E-2</v>
      </c>
      <c r="U67">
        <v>3.1</v>
      </c>
      <c r="V67">
        <v>12.5</v>
      </c>
      <c r="W67">
        <f t="shared" si="5"/>
        <v>38.75</v>
      </c>
    </row>
    <row r="68" spans="1:23" ht="16">
      <c r="A68" t="s">
        <v>25</v>
      </c>
      <c r="B68" t="s">
        <v>3176</v>
      </c>
      <c r="C68" t="s">
        <v>2578</v>
      </c>
      <c r="D68" t="s">
        <v>2611</v>
      </c>
      <c r="E68" s="77">
        <v>53.29383</v>
      </c>
      <c r="F68" s="78">
        <v>-6.4200999999999997</v>
      </c>
      <c r="G68">
        <v>0</v>
      </c>
      <c r="H68" s="75">
        <v>42922</v>
      </c>
      <c r="I68" s="76" t="s">
        <v>2626</v>
      </c>
      <c r="J68" t="s">
        <v>36</v>
      </c>
      <c r="K68" t="s">
        <v>2554</v>
      </c>
      <c r="N68" t="s">
        <v>2655</v>
      </c>
      <c r="O68" t="s">
        <v>2656</v>
      </c>
      <c r="P68" t="s">
        <v>2712</v>
      </c>
      <c r="R68">
        <v>5.2699999999999997E-2</v>
      </c>
      <c r="S68">
        <v>3.7233333E-2</v>
      </c>
      <c r="T68">
        <f t="shared" si="4"/>
        <v>1.5466666999999996E-2</v>
      </c>
      <c r="U68">
        <v>2.2000000000000002</v>
      </c>
      <c r="V68">
        <v>13.5</v>
      </c>
      <c r="W68">
        <f t="shared" si="5"/>
        <v>29.700000000000003</v>
      </c>
    </row>
    <row r="69" spans="1:23" ht="16">
      <c r="A69" t="s">
        <v>25</v>
      </c>
      <c r="B69" t="s">
        <v>3177</v>
      </c>
      <c r="C69" t="s">
        <v>2578</v>
      </c>
      <c r="D69" t="s">
        <v>2618</v>
      </c>
      <c r="E69" s="77">
        <v>53.312570000000001</v>
      </c>
      <c r="F69" s="78">
        <v>-6.2602500000000001</v>
      </c>
      <c r="G69">
        <v>0</v>
      </c>
      <c r="H69" s="75">
        <v>42917</v>
      </c>
      <c r="I69" s="76" t="s">
        <v>2626</v>
      </c>
      <c r="J69" t="s">
        <v>36</v>
      </c>
      <c r="K69" t="s">
        <v>2554</v>
      </c>
      <c r="N69" t="s">
        <v>2655</v>
      </c>
      <c r="O69" t="s">
        <v>2656</v>
      </c>
      <c r="P69" t="s">
        <v>2712</v>
      </c>
      <c r="R69">
        <v>4.1399999999999999E-2</v>
      </c>
      <c r="S69">
        <v>3.7233333E-2</v>
      </c>
      <c r="T69">
        <f t="shared" si="4"/>
        <v>4.1666669999999989E-3</v>
      </c>
      <c r="U69">
        <v>1.8</v>
      </c>
      <c r="V69">
        <v>11.8</v>
      </c>
      <c r="W69">
        <f t="shared" si="5"/>
        <v>21.240000000000002</v>
      </c>
    </row>
    <row r="70" spans="1:23" ht="16">
      <c r="A70" t="s">
        <v>25</v>
      </c>
      <c r="B70" t="s">
        <v>3178</v>
      </c>
      <c r="C70" t="s">
        <v>2578</v>
      </c>
      <c r="D70" t="s">
        <v>2622</v>
      </c>
      <c r="E70" s="77">
        <v>53.306449999999998</v>
      </c>
      <c r="F70" s="78">
        <v>-6.2336600000000004</v>
      </c>
      <c r="G70">
        <v>0</v>
      </c>
      <c r="H70" s="75">
        <v>42940</v>
      </c>
      <c r="I70" s="76" t="s">
        <v>2626</v>
      </c>
      <c r="J70" t="s">
        <v>36</v>
      </c>
      <c r="K70" t="s">
        <v>2554</v>
      </c>
      <c r="N70" t="s">
        <v>2655</v>
      </c>
      <c r="O70" t="s">
        <v>2656</v>
      </c>
      <c r="P70" t="s">
        <v>2712</v>
      </c>
      <c r="R70">
        <v>4.0800000000000003E-2</v>
      </c>
      <c r="S70">
        <v>3.7233333E-2</v>
      </c>
      <c r="T70">
        <f t="shared" si="4"/>
        <v>3.5666670000000025E-3</v>
      </c>
      <c r="U70">
        <v>1.6</v>
      </c>
      <c r="V70">
        <v>10.1</v>
      </c>
      <c r="W70">
        <f t="shared" si="5"/>
        <v>16.16</v>
      </c>
    </row>
    <row r="71" spans="1:23" ht="16">
      <c r="A71" t="s">
        <v>25</v>
      </c>
      <c r="B71" t="s">
        <v>3179</v>
      </c>
      <c r="C71" t="s">
        <v>2578</v>
      </c>
      <c r="D71" t="s">
        <v>2618</v>
      </c>
      <c r="E71" s="78">
        <v>53.312570000000001</v>
      </c>
      <c r="F71" s="78">
        <v>-6.2602500000000001</v>
      </c>
      <c r="G71">
        <v>0</v>
      </c>
      <c r="H71" s="1">
        <v>42977</v>
      </c>
      <c r="I71" s="76" t="s">
        <v>2630</v>
      </c>
      <c r="J71" t="s">
        <v>36</v>
      </c>
      <c r="K71" t="s">
        <v>2554</v>
      </c>
      <c r="N71" t="s">
        <v>2609</v>
      </c>
      <c r="O71" t="s">
        <v>2595</v>
      </c>
      <c r="P71" t="s">
        <v>2713</v>
      </c>
      <c r="R71">
        <v>4.41E-2</v>
      </c>
      <c r="S71">
        <v>3.7233333E-2</v>
      </c>
      <c r="T71">
        <f t="shared" si="4"/>
        <v>6.8666669999999999E-3</v>
      </c>
      <c r="U71">
        <v>1.9</v>
      </c>
      <c r="V71">
        <v>9.3000000000000007</v>
      </c>
      <c r="W71">
        <f t="shared" si="5"/>
        <v>17.670000000000002</v>
      </c>
    </row>
    <row r="72" spans="1:23" ht="16">
      <c r="A72" t="s">
        <v>25</v>
      </c>
      <c r="B72" t="s">
        <v>3180</v>
      </c>
      <c r="C72" t="s">
        <v>2578</v>
      </c>
      <c r="D72" t="s">
        <v>2613</v>
      </c>
      <c r="E72" s="77">
        <v>53.29316</v>
      </c>
      <c r="F72" s="78">
        <v>-6.4193800000000003</v>
      </c>
      <c r="G72">
        <v>0</v>
      </c>
      <c r="H72" s="75">
        <v>42920</v>
      </c>
      <c r="I72" s="76" t="s">
        <v>2628</v>
      </c>
      <c r="J72" t="s">
        <v>36</v>
      </c>
      <c r="K72" t="s">
        <v>2554</v>
      </c>
      <c r="N72" t="s">
        <v>2610</v>
      </c>
      <c r="O72" t="s">
        <v>2596</v>
      </c>
      <c r="P72" t="s">
        <v>2712</v>
      </c>
      <c r="R72">
        <v>4.7E-2</v>
      </c>
      <c r="S72">
        <v>3.7233333E-2</v>
      </c>
      <c r="T72">
        <f t="shared" si="4"/>
        <v>9.7666669999999997E-3</v>
      </c>
      <c r="U72">
        <v>2.9</v>
      </c>
      <c r="V72">
        <v>9.1999999999999993</v>
      </c>
      <c r="W72">
        <f t="shared" si="5"/>
        <v>26.679999999999996</v>
      </c>
    </row>
    <row r="73" spans="1:23" ht="16">
      <c r="A73" t="s">
        <v>25</v>
      </c>
      <c r="B73" t="s">
        <v>3181</v>
      </c>
      <c r="C73" t="s">
        <v>2578</v>
      </c>
      <c r="D73" t="s">
        <v>2624</v>
      </c>
      <c r="E73" s="77">
        <v>53.306629999999998</v>
      </c>
      <c r="F73" s="78">
        <v>-6.2330800000000002</v>
      </c>
      <c r="G73">
        <v>0</v>
      </c>
      <c r="H73" s="75">
        <v>42940</v>
      </c>
      <c r="I73" s="76" t="s">
        <v>2626</v>
      </c>
      <c r="J73" t="s">
        <v>36</v>
      </c>
      <c r="K73" t="s">
        <v>2554</v>
      </c>
      <c r="N73" t="s">
        <v>2610</v>
      </c>
      <c r="O73" t="s">
        <v>2596</v>
      </c>
      <c r="P73" t="s">
        <v>2713</v>
      </c>
      <c r="R73">
        <v>6.3100000000000003E-2</v>
      </c>
      <c r="S73">
        <v>3.7233333E-2</v>
      </c>
      <c r="T73">
        <f t="shared" si="4"/>
        <v>2.5866667000000003E-2</v>
      </c>
      <c r="U73">
        <v>3.6</v>
      </c>
      <c r="V73">
        <v>12.4</v>
      </c>
      <c r="W73">
        <f t="shared" si="5"/>
        <v>44.64</v>
      </c>
    </row>
    <row r="74" spans="1:23" ht="16">
      <c r="A74" t="s">
        <v>25</v>
      </c>
      <c r="B74" t="s">
        <v>3182</v>
      </c>
      <c r="C74" t="s">
        <v>2578</v>
      </c>
      <c r="D74" t="s">
        <v>2624</v>
      </c>
      <c r="E74" s="77">
        <v>53.306629999999998</v>
      </c>
      <c r="F74" s="78">
        <v>-6.2330800000000002</v>
      </c>
      <c r="G74">
        <v>0</v>
      </c>
      <c r="H74" s="75">
        <v>42940</v>
      </c>
      <c r="I74" s="76" t="s">
        <v>2626</v>
      </c>
      <c r="J74" t="s">
        <v>36</v>
      </c>
      <c r="K74" t="s">
        <v>2554</v>
      </c>
      <c r="N74" t="s">
        <v>2610</v>
      </c>
      <c r="O74" t="s">
        <v>2596</v>
      </c>
      <c r="P74" t="s">
        <v>2713</v>
      </c>
      <c r="R74">
        <v>6.1199999999999997E-2</v>
      </c>
      <c r="S74">
        <v>3.7233333E-2</v>
      </c>
      <c r="T74">
        <f t="shared" si="4"/>
        <v>2.3966666999999997E-2</v>
      </c>
      <c r="U74">
        <v>3.5</v>
      </c>
      <c r="V74">
        <v>11.5</v>
      </c>
      <c r="W74">
        <f t="shared" si="5"/>
        <v>40.25</v>
      </c>
    </row>
    <row r="75" spans="1:23" ht="16">
      <c r="A75" t="s">
        <v>25</v>
      </c>
      <c r="B75" t="s">
        <v>3183</v>
      </c>
      <c r="C75" t="s">
        <v>2578</v>
      </c>
      <c r="D75" t="s">
        <v>2612</v>
      </c>
      <c r="E75" s="77">
        <v>53.293469999999999</v>
      </c>
      <c r="F75" s="78">
        <v>-6.4196900000000001</v>
      </c>
      <c r="G75">
        <v>0</v>
      </c>
      <c r="H75" s="75">
        <v>42913</v>
      </c>
      <c r="I75" s="76" t="s">
        <v>2628</v>
      </c>
      <c r="J75" t="s">
        <v>36</v>
      </c>
      <c r="K75" t="s">
        <v>2554</v>
      </c>
      <c r="N75" t="s">
        <v>2610</v>
      </c>
      <c r="O75" t="s">
        <v>2596</v>
      </c>
      <c r="P75" t="s">
        <v>2712</v>
      </c>
      <c r="R75">
        <v>5.7500000000000002E-2</v>
      </c>
      <c r="S75">
        <v>4.6966666999999997E-2</v>
      </c>
      <c r="T75">
        <f t="shared" si="4"/>
        <v>1.0533333000000006E-2</v>
      </c>
      <c r="U75">
        <v>3.5</v>
      </c>
      <c r="V75">
        <v>10.6</v>
      </c>
      <c r="W75">
        <f t="shared" si="5"/>
        <v>37.1</v>
      </c>
    </row>
    <row r="76" spans="1:23" ht="16">
      <c r="A76" t="s">
        <v>25</v>
      </c>
      <c r="B76" t="s">
        <v>3184</v>
      </c>
      <c r="C76" t="s">
        <v>2578</v>
      </c>
      <c r="D76" t="s">
        <v>2618</v>
      </c>
      <c r="E76" s="78">
        <v>53.312570000000001</v>
      </c>
      <c r="F76" s="78">
        <v>-6.2602500000000001</v>
      </c>
      <c r="G76">
        <v>0</v>
      </c>
      <c r="H76" s="1">
        <v>42979</v>
      </c>
      <c r="I76" s="76" t="s">
        <v>2630</v>
      </c>
      <c r="J76" t="s">
        <v>36</v>
      </c>
      <c r="K76" t="s">
        <v>2554</v>
      </c>
      <c r="N76" t="s">
        <v>2610</v>
      </c>
      <c r="O76" t="s">
        <v>2596</v>
      </c>
      <c r="P76" t="s">
        <v>2713</v>
      </c>
      <c r="R76">
        <v>5.7000000000000002E-2</v>
      </c>
      <c r="S76">
        <v>3.7233333E-2</v>
      </c>
      <c r="T76">
        <f t="shared" si="4"/>
        <v>1.9766667000000002E-2</v>
      </c>
      <c r="U76">
        <v>3.4</v>
      </c>
      <c r="V76">
        <v>12.2</v>
      </c>
      <c r="W76">
        <f t="shared" si="5"/>
        <v>41.48</v>
      </c>
    </row>
    <row r="77" spans="1:23" ht="16">
      <c r="A77" t="s">
        <v>25</v>
      </c>
      <c r="B77" t="s">
        <v>3185</v>
      </c>
      <c r="C77" t="s">
        <v>2578</v>
      </c>
      <c r="D77" t="s">
        <v>2623</v>
      </c>
      <c r="E77" s="78">
        <v>53.306789999999999</v>
      </c>
      <c r="F77" s="78">
        <v>-6.23339</v>
      </c>
      <c r="G77">
        <v>0</v>
      </c>
      <c r="H77" s="1">
        <v>42921</v>
      </c>
      <c r="I77" s="76" t="s">
        <v>2630</v>
      </c>
      <c r="J77" t="s">
        <v>36</v>
      </c>
      <c r="K77" t="s">
        <v>2554</v>
      </c>
      <c r="N77" t="s">
        <v>2610</v>
      </c>
      <c r="O77" t="s">
        <v>2596</v>
      </c>
      <c r="P77" t="s">
        <v>2712</v>
      </c>
      <c r="R77">
        <v>4.5699999999999998E-2</v>
      </c>
      <c r="S77">
        <v>3.7233333E-2</v>
      </c>
      <c r="T77">
        <f t="shared" si="4"/>
        <v>8.4666669999999972E-3</v>
      </c>
      <c r="U77">
        <v>3</v>
      </c>
      <c r="V77">
        <v>9.6999999999999993</v>
      </c>
      <c r="W77">
        <f t="shared" si="5"/>
        <v>29.099999999999998</v>
      </c>
    </row>
    <row r="78" spans="1:23" ht="16">
      <c r="A78" t="s">
        <v>25</v>
      </c>
      <c r="B78" t="s">
        <v>3128</v>
      </c>
      <c r="C78" t="s">
        <v>2578</v>
      </c>
      <c r="D78" t="s">
        <v>2614</v>
      </c>
      <c r="E78" s="78">
        <v>53.292760000000001</v>
      </c>
      <c r="F78" s="78">
        <v>-6.4189499999999997</v>
      </c>
      <c r="G78">
        <v>0</v>
      </c>
      <c r="H78" s="1">
        <v>42922</v>
      </c>
      <c r="I78" s="76" t="s">
        <v>2626</v>
      </c>
      <c r="J78" t="s">
        <v>36</v>
      </c>
      <c r="K78" t="s">
        <v>2554</v>
      </c>
      <c r="N78" t="s">
        <v>2608</v>
      </c>
      <c r="O78" t="s">
        <v>2594</v>
      </c>
      <c r="P78" t="s">
        <v>2713</v>
      </c>
      <c r="R78">
        <v>5.6500000000000002E-2</v>
      </c>
      <c r="S78">
        <v>3.7233333E-2</v>
      </c>
      <c r="T78">
        <f t="shared" ref="T78:T92" si="6">R78-S78</f>
        <v>1.9266667000000001E-2</v>
      </c>
      <c r="U78">
        <v>3.3</v>
      </c>
      <c r="V78">
        <v>11.2</v>
      </c>
      <c r="W78">
        <f t="shared" ref="W78:W92" si="7">V78*U78</f>
        <v>36.959999999999994</v>
      </c>
    </row>
    <row r="79" spans="1:23" ht="16">
      <c r="A79" t="s">
        <v>25</v>
      </c>
      <c r="B79" t="s">
        <v>3129</v>
      </c>
      <c r="C79" t="s">
        <v>2578</v>
      </c>
      <c r="D79" t="s">
        <v>2623</v>
      </c>
      <c r="E79" s="77">
        <v>53.306789999999999</v>
      </c>
      <c r="F79" s="78">
        <v>-6.23339</v>
      </c>
      <c r="G79">
        <v>0</v>
      </c>
      <c r="H79" s="75">
        <v>42923</v>
      </c>
      <c r="I79" s="76" t="s">
        <v>2628</v>
      </c>
      <c r="J79" t="s">
        <v>36</v>
      </c>
      <c r="K79" t="s">
        <v>2554</v>
      </c>
      <c r="N79" t="s">
        <v>2601</v>
      </c>
      <c r="O79" t="s">
        <v>2584</v>
      </c>
      <c r="P79" t="s">
        <v>2713</v>
      </c>
      <c r="R79">
        <v>5.4600000000000003E-2</v>
      </c>
      <c r="S79">
        <v>4.6966666999999997E-2</v>
      </c>
      <c r="T79">
        <f t="shared" si="6"/>
        <v>7.633333000000006E-3</v>
      </c>
      <c r="U79">
        <v>2.4</v>
      </c>
      <c r="V79">
        <v>9.8000000000000007</v>
      </c>
      <c r="W79">
        <f t="shared" si="7"/>
        <v>23.52</v>
      </c>
    </row>
    <row r="80" spans="1:23" ht="16">
      <c r="A80" t="s">
        <v>25</v>
      </c>
      <c r="B80" t="s">
        <v>3130</v>
      </c>
      <c r="C80" t="s">
        <v>2578</v>
      </c>
      <c r="D80" t="s">
        <v>2611</v>
      </c>
      <c r="E80" s="77">
        <v>53.29383</v>
      </c>
      <c r="F80" s="78">
        <v>-6.4200999999999997</v>
      </c>
      <c r="G80">
        <v>0</v>
      </c>
      <c r="H80" s="1">
        <v>42922</v>
      </c>
      <c r="I80" s="76" t="s">
        <v>2626</v>
      </c>
      <c r="J80" t="s">
        <v>36</v>
      </c>
      <c r="K80" t="s">
        <v>2554</v>
      </c>
      <c r="N80" t="s">
        <v>2601</v>
      </c>
      <c r="O80" t="s">
        <v>2584</v>
      </c>
      <c r="P80" t="s">
        <v>2713</v>
      </c>
      <c r="R80">
        <v>5.3100000000000001E-2</v>
      </c>
      <c r="S80">
        <v>4.6966666999999997E-2</v>
      </c>
      <c r="T80">
        <f t="shared" si="6"/>
        <v>6.1333330000000047E-3</v>
      </c>
      <c r="U80">
        <v>2.4</v>
      </c>
      <c r="V80">
        <v>9.8000000000000007</v>
      </c>
      <c r="W80">
        <f t="shared" si="7"/>
        <v>23.52</v>
      </c>
    </row>
    <row r="81" spans="1:23" ht="16">
      <c r="A81" t="s">
        <v>25</v>
      </c>
      <c r="B81" t="s">
        <v>3131</v>
      </c>
      <c r="C81" t="s">
        <v>2578</v>
      </c>
      <c r="D81" t="s">
        <v>2623</v>
      </c>
      <c r="E81" s="77">
        <v>53.306789999999999</v>
      </c>
      <c r="F81" s="78">
        <v>-6.23339</v>
      </c>
      <c r="G81">
        <v>0</v>
      </c>
      <c r="H81" s="1">
        <v>42950</v>
      </c>
      <c r="I81" s="76" t="s">
        <v>2626</v>
      </c>
      <c r="J81" t="s">
        <v>36</v>
      </c>
      <c r="K81" t="s">
        <v>2554</v>
      </c>
      <c r="N81" t="s">
        <v>2601</v>
      </c>
      <c r="O81" t="s">
        <v>2584</v>
      </c>
      <c r="P81" t="s">
        <v>2712</v>
      </c>
      <c r="R81">
        <v>4.3700000000000003E-2</v>
      </c>
      <c r="S81">
        <v>3.7233333E-2</v>
      </c>
      <c r="T81">
        <f t="shared" si="6"/>
        <v>6.4666670000000023E-3</v>
      </c>
      <c r="U81">
        <v>3</v>
      </c>
      <c r="V81">
        <v>10</v>
      </c>
      <c r="W81">
        <f t="shared" si="7"/>
        <v>30</v>
      </c>
    </row>
    <row r="82" spans="1:23" ht="16">
      <c r="A82" t="s">
        <v>25</v>
      </c>
      <c r="B82" t="s">
        <v>3132</v>
      </c>
      <c r="C82" t="s">
        <v>2578</v>
      </c>
      <c r="D82" t="s">
        <v>2619</v>
      </c>
      <c r="E82" s="77">
        <v>53.312309999999997</v>
      </c>
      <c r="F82" s="78">
        <v>-6.25936</v>
      </c>
      <c r="G82">
        <v>0</v>
      </c>
      <c r="H82" s="75">
        <v>42934</v>
      </c>
      <c r="I82" s="76" t="s">
        <v>2652</v>
      </c>
      <c r="J82" t="s">
        <v>36</v>
      </c>
      <c r="K82" t="s">
        <v>2554</v>
      </c>
      <c r="N82" t="s">
        <v>2601</v>
      </c>
      <c r="O82" t="s">
        <v>2584</v>
      </c>
      <c r="P82" t="s">
        <v>2712</v>
      </c>
      <c r="R82">
        <v>4.3499999999999997E-2</v>
      </c>
      <c r="S82">
        <v>3.7233333E-2</v>
      </c>
      <c r="T82">
        <f t="shared" si="6"/>
        <v>6.2666669999999966E-3</v>
      </c>
      <c r="U82">
        <v>3.1</v>
      </c>
      <c r="V82">
        <v>10</v>
      </c>
      <c r="W82">
        <f t="shared" si="7"/>
        <v>31</v>
      </c>
    </row>
    <row r="83" spans="1:23" ht="15.75" customHeight="1">
      <c r="A83" t="s">
        <v>25</v>
      </c>
      <c r="B83" t="s">
        <v>3133</v>
      </c>
      <c r="C83" t="s">
        <v>2578</v>
      </c>
      <c r="D83" t="s">
        <v>2623</v>
      </c>
      <c r="E83" s="77">
        <v>53.306789999999999</v>
      </c>
      <c r="F83" s="78">
        <v>-6.23339</v>
      </c>
      <c r="G83">
        <v>0</v>
      </c>
      <c r="H83" s="1">
        <v>42940</v>
      </c>
      <c r="I83" s="76" t="s">
        <v>2628</v>
      </c>
      <c r="J83" t="s">
        <v>36</v>
      </c>
      <c r="K83" t="s">
        <v>2554</v>
      </c>
      <c r="N83" t="s">
        <v>2601</v>
      </c>
      <c r="O83" t="s">
        <v>2584</v>
      </c>
      <c r="P83" t="s">
        <v>2713</v>
      </c>
      <c r="R83">
        <v>4.7800000000000002E-2</v>
      </c>
      <c r="S83">
        <v>3.7233333E-2</v>
      </c>
      <c r="T83">
        <f t="shared" si="6"/>
        <v>1.0566667000000002E-2</v>
      </c>
      <c r="U83">
        <v>2.2999999999999998</v>
      </c>
      <c r="V83">
        <v>8.6</v>
      </c>
      <c r="W83">
        <f t="shared" si="7"/>
        <v>19.779999999999998</v>
      </c>
    </row>
    <row r="84" spans="1:23" ht="16">
      <c r="A84" t="s">
        <v>25</v>
      </c>
      <c r="B84" t="s">
        <v>3134</v>
      </c>
      <c r="C84" t="s">
        <v>2578</v>
      </c>
      <c r="D84" t="s">
        <v>2618</v>
      </c>
      <c r="E84" s="78">
        <v>53.312570000000001</v>
      </c>
      <c r="F84" s="78">
        <v>-6.2602500000000001</v>
      </c>
      <c r="G84">
        <v>0</v>
      </c>
      <c r="H84" s="1">
        <v>42979</v>
      </c>
      <c r="I84" s="76" t="s">
        <v>2626</v>
      </c>
      <c r="J84" t="s">
        <v>36</v>
      </c>
      <c r="K84" t="s">
        <v>2554</v>
      </c>
      <c r="N84" t="s">
        <v>2601</v>
      </c>
      <c r="O84" t="s">
        <v>2584</v>
      </c>
      <c r="P84" t="s">
        <v>2712</v>
      </c>
      <c r="R84">
        <v>4.0500000000000001E-2</v>
      </c>
      <c r="S84">
        <v>3.7233333E-2</v>
      </c>
      <c r="T84">
        <f t="shared" si="6"/>
        <v>3.2666670000000009E-3</v>
      </c>
      <c r="U84">
        <v>2.1</v>
      </c>
      <c r="V84">
        <v>8.4</v>
      </c>
      <c r="W84">
        <f t="shared" si="7"/>
        <v>17.64</v>
      </c>
    </row>
    <row r="85" spans="1:23" ht="16">
      <c r="A85" t="s">
        <v>25</v>
      </c>
      <c r="B85" t="s">
        <v>3135</v>
      </c>
      <c r="C85" t="s">
        <v>2578</v>
      </c>
      <c r="D85" t="s">
        <v>2624</v>
      </c>
      <c r="E85" s="78">
        <v>53.306629999999998</v>
      </c>
      <c r="F85" s="78">
        <v>-6.2330800000000002</v>
      </c>
      <c r="G85">
        <v>0</v>
      </c>
      <c r="H85" s="1">
        <v>42983</v>
      </c>
      <c r="I85" s="76" t="s">
        <v>2626</v>
      </c>
      <c r="J85" t="s">
        <v>36</v>
      </c>
      <c r="K85" t="s">
        <v>2554</v>
      </c>
      <c r="N85" t="s">
        <v>2605</v>
      </c>
      <c r="O85" t="s">
        <v>2589</v>
      </c>
      <c r="P85" t="s">
        <v>2712</v>
      </c>
      <c r="R85">
        <v>6.3799999999999996E-2</v>
      </c>
      <c r="S85">
        <v>3.7233333E-2</v>
      </c>
      <c r="T85">
        <f t="shared" si="6"/>
        <v>2.6566666999999995E-2</v>
      </c>
      <c r="U85">
        <v>4.0999999999999996</v>
      </c>
      <c r="V85">
        <v>13</v>
      </c>
      <c r="W85">
        <f t="shared" si="7"/>
        <v>53.3</v>
      </c>
    </row>
    <row r="86" spans="1:23" ht="16">
      <c r="A86" t="s">
        <v>25</v>
      </c>
      <c r="B86" t="s">
        <v>3136</v>
      </c>
      <c r="C86" t="s">
        <v>2578</v>
      </c>
      <c r="D86" t="s">
        <v>2618</v>
      </c>
      <c r="E86" s="78">
        <v>53.312570000000001</v>
      </c>
      <c r="F86" s="78">
        <v>-6.2602500000000001</v>
      </c>
      <c r="G86">
        <v>0</v>
      </c>
      <c r="H86" s="1">
        <v>42979</v>
      </c>
      <c r="I86" s="76" t="s">
        <v>2626</v>
      </c>
      <c r="J86" t="s">
        <v>36</v>
      </c>
      <c r="K86" t="s">
        <v>2554</v>
      </c>
      <c r="N86" t="s">
        <v>2605</v>
      </c>
      <c r="O86" t="s">
        <v>2589</v>
      </c>
      <c r="P86" t="s">
        <v>2712</v>
      </c>
      <c r="R86">
        <v>6.8099999999999994E-2</v>
      </c>
      <c r="S86">
        <v>3.7233333E-2</v>
      </c>
      <c r="T86">
        <f t="shared" si="6"/>
        <v>3.0866666999999993E-2</v>
      </c>
      <c r="U86">
        <v>5</v>
      </c>
      <c r="V86">
        <v>14.5</v>
      </c>
      <c r="W86">
        <f t="shared" si="7"/>
        <v>72.5</v>
      </c>
    </row>
    <row r="87" spans="1:23" ht="16">
      <c r="A87" t="s">
        <v>25</v>
      </c>
      <c r="B87" t="s">
        <v>3137</v>
      </c>
      <c r="C87" t="s">
        <v>2578</v>
      </c>
      <c r="D87" t="s">
        <v>2618</v>
      </c>
      <c r="E87" s="78">
        <v>53.312570000000001</v>
      </c>
      <c r="F87" s="78">
        <v>-6.2602500000000001</v>
      </c>
      <c r="G87">
        <v>0</v>
      </c>
      <c r="H87" s="1">
        <v>42979</v>
      </c>
      <c r="I87" s="76" t="s">
        <v>2626</v>
      </c>
      <c r="J87" t="s">
        <v>36</v>
      </c>
      <c r="K87" t="s">
        <v>2554</v>
      </c>
      <c r="N87" t="s">
        <v>2605</v>
      </c>
      <c r="O87" t="s">
        <v>2589</v>
      </c>
      <c r="P87" t="s">
        <v>2713</v>
      </c>
      <c r="R87">
        <v>6.5699999999999995E-2</v>
      </c>
      <c r="S87">
        <v>3.7233333E-2</v>
      </c>
      <c r="T87">
        <f t="shared" si="6"/>
        <v>2.8466666999999994E-2</v>
      </c>
      <c r="U87">
        <v>4.4000000000000004</v>
      </c>
      <c r="V87">
        <v>13.3</v>
      </c>
      <c r="W87">
        <f t="shared" si="7"/>
        <v>58.52000000000001</v>
      </c>
    </row>
    <row r="88" spans="1:23" ht="16">
      <c r="A88" t="s">
        <v>25</v>
      </c>
      <c r="B88" t="s">
        <v>3138</v>
      </c>
      <c r="C88" t="s">
        <v>2578</v>
      </c>
      <c r="D88" t="s">
        <v>2622</v>
      </c>
      <c r="E88" s="77">
        <v>53.306449999999998</v>
      </c>
      <c r="F88" s="78">
        <v>-6.2336600000000004</v>
      </c>
      <c r="G88">
        <v>0</v>
      </c>
      <c r="H88" s="75">
        <v>42921</v>
      </c>
      <c r="I88" s="76" t="s">
        <v>2628</v>
      </c>
      <c r="J88" t="s">
        <v>36</v>
      </c>
      <c r="K88" t="s">
        <v>2554</v>
      </c>
      <c r="N88" t="s">
        <v>2603</v>
      </c>
      <c r="O88" t="s">
        <v>2587</v>
      </c>
      <c r="P88" t="s">
        <v>2713</v>
      </c>
      <c r="R88">
        <v>5.9700000000000003E-2</v>
      </c>
      <c r="S88">
        <v>3.7233333E-2</v>
      </c>
      <c r="T88">
        <f t="shared" si="6"/>
        <v>2.2466667000000003E-2</v>
      </c>
      <c r="U88">
        <v>2.2999999999999998</v>
      </c>
      <c r="V88">
        <v>9.5</v>
      </c>
      <c r="W88">
        <f t="shared" si="7"/>
        <v>21.849999999999998</v>
      </c>
    </row>
    <row r="89" spans="1:23" ht="16">
      <c r="A89" t="s">
        <v>25</v>
      </c>
      <c r="B89" t="s">
        <v>3139</v>
      </c>
      <c r="C89" t="s">
        <v>2578</v>
      </c>
      <c r="D89" t="s">
        <v>2621</v>
      </c>
      <c r="E89" s="77">
        <v>53.306150000000002</v>
      </c>
      <c r="F89" s="78">
        <v>-6.2338800000000001</v>
      </c>
      <c r="G89">
        <v>0</v>
      </c>
      <c r="H89" s="75">
        <v>42902</v>
      </c>
      <c r="I89" s="76" t="s">
        <v>2628</v>
      </c>
      <c r="J89" t="s">
        <v>36</v>
      </c>
      <c r="K89" t="s">
        <v>2554</v>
      </c>
      <c r="N89" t="s">
        <v>2603</v>
      </c>
      <c r="O89" t="s">
        <v>2587</v>
      </c>
      <c r="P89" t="s">
        <v>2713</v>
      </c>
      <c r="R89">
        <v>5.2400000000000002E-2</v>
      </c>
      <c r="S89">
        <v>3.7233333E-2</v>
      </c>
      <c r="T89">
        <f t="shared" si="6"/>
        <v>1.5166667000000002E-2</v>
      </c>
      <c r="U89">
        <v>3</v>
      </c>
      <c r="V89">
        <v>11.3</v>
      </c>
      <c r="W89">
        <f t="shared" si="7"/>
        <v>33.900000000000006</v>
      </c>
    </row>
    <row r="90" spans="1:23" ht="16">
      <c r="A90" t="s">
        <v>25</v>
      </c>
      <c r="B90" t="s">
        <v>3140</v>
      </c>
      <c r="C90" t="s">
        <v>2578</v>
      </c>
      <c r="D90" t="s">
        <v>2612</v>
      </c>
      <c r="E90" s="77">
        <v>53.293469999999999</v>
      </c>
      <c r="F90" s="78">
        <v>-6.4196900000000001</v>
      </c>
      <c r="G90">
        <v>0</v>
      </c>
      <c r="H90" s="75">
        <v>42913</v>
      </c>
      <c r="I90" s="76" t="s">
        <v>2627</v>
      </c>
      <c r="J90" t="s">
        <v>36</v>
      </c>
      <c r="K90" t="s">
        <v>2554</v>
      </c>
      <c r="N90" t="s">
        <v>2603</v>
      </c>
      <c r="O90" t="s">
        <v>2633</v>
      </c>
      <c r="P90" t="s">
        <v>2713</v>
      </c>
      <c r="R90">
        <v>4.0800000000000003E-2</v>
      </c>
      <c r="S90">
        <v>3.7233333E-2</v>
      </c>
      <c r="T90">
        <f t="shared" si="6"/>
        <v>3.5666670000000025E-3</v>
      </c>
      <c r="U90">
        <v>2.1</v>
      </c>
      <c r="V90">
        <v>8</v>
      </c>
      <c r="W90">
        <f t="shared" si="7"/>
        <v>16.8</v>
      </c>
    </row>
    <row r="91" spans="1:23" ht="16">
      <c r="A91" t="s">
        <v>25</v>
      </c>
      <c r="B91" t="s">
        <v>3141</v>
      </c>
      <c r="C91" t="s">
        <v>2578</v>
      </c>
      <c r="D91" t="s">
        <v>2613</v>
      </c>
      <c r="E91" s="78">
        <v>53.29316</v>
      </c>
      <c r="F91" s="78">
        <v>-6.4193800000000003</v>
      </c>
      <c r="G91">
        <v>0</v>
      </c>
      <c r="H91" s="1">
        <v>42913</v>
      </c>
      <c r="I91" s="76" t="s">
        <v>2628</v>
      </c>
      <c r="J91" t="s">
        <v>36</v>
      </c>
      <c r="K91" t="s">
        <v>2554</v>
      </c>
      <c r="N91" t="s">
        <v>2603</v>
      </c>
      <c r="O91" t="s">
        <v>2587</v>
      </c>
      <c r="P91" t="s">
        <v>2713</v>
      </c>
      <c r="R91">
        <v>4.6899999999999997E-2</v>
      </c>
      <c r="S91">
        <v>3.7233333E-2</v>
      </c>
      <c r="T91">
        <f t="shared" si="6"/>
        <v>9.6666669999999968E-3</v>
      </c>
      <c r="U91">
        <v>2.9</v>
      </c>
      <c r="V91">
        <v>10</v>
      </c>
      <c r="W91">
        <f t="shared" si="7"/>
        <v>29</v>
      </c>
    </row>
    <row r="92" spans="1:23" ht="16">
      <c r="A92" t="s">
        <v>25</v>
      </c>
      <c r="B92" t="s">
        <v>3142</v>
      </c>
      <c r="C92" t="s">
        <v>2578</v>
      </c>
      <c r="D92" t="s">
        <v>2619</v>
      </c>
      <c r="E92" s="78">
        <v>53.312309999999997</v>
      </c>
      <c r="F92" s="78">
        <v>-6.25936</v>
      </c>
      <c r="G92">
        <v>0</v>
      </c>
      <c r="H92" s="1">
        <v>42932</v>
      </c>
      <c r="I92" s="76" t="s">
        <v>2626</v>
      </c>
      <c r="J92" t="s">
        <v>36</v>
      </c>
      <c r="K92" t="s">
        <v>2554</v>
      </c>
      <c r="N92" t="s">
        <v>2597</v>
      </c>
      <c r="O92" t="s">
        <v>2579</v>
      </c>
      <c r="P92" t="s">
        <v>2713</v>
      </c>
      <c r="R92">
        <v>5.2499999999999998E-2</v>
      </c>
      <c r="S92">
        <v>3.7233333E-2</v>
      </c>
      <c r="T92">
        <f t="shared" si="6"/>
        <v>1.5266666999999998E-2</v>
      </c>
      <c r="U92">
        <v>3.5</v>
      </c>
      <c r="V92">
        <v>10.1</v>
      </c>
      <c r="W92">
        <f t="shared" si="7"/>
        <v>35.35</v>
      </c>
    </row>
  </sheetData>
  <sortState ref="B2:W77">
    <sortCondition ref="N2:N7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99"/>
  <sheetViews>
    <sheetView zoomScale="66" zoomScaleNormal="66" workbookViewId="0">
      <selection activeCell="R29" sqref="R29"/>
    </sheetView>
  </sheetViews>
  <sheetFormatPr baseColWidth="10" defaultColWidth="10.83203125" defaultRowHeight="15"/>
  <cols>
    <col min="6" max="6" width="19.83203125" bestFit="1" customWidth="1"/>
    <col min="20" max="20" width="12" bestFit="1" customWidth="1"/>
  </cols>
  <sheetData>
    <row r="1" spans="1:23">
      <c r="A1" t="s">
        <v>2411</v>
      </c>
      <c r="B1" t="s">
        <v>2654</v>
      </c>
      <c r="C1" t="s">
        <v>2225</v>
      </c>
      <c r="D1" t="s">
        <v>1</v>
      </c>
      <c r="E1" t="s">
        <v>345</v>
      </c>
      <c r="F1" t="s">
        <v>344</v>
      </c>
      <c r="G1" t="s">
        <v>349</v>
      </c>
      <c r="H1" s="1" t="s">
        <v>2</v>
      </c>
      <c r="I1" t="s">
        <v>3</v>
      </c>
      <c r="J1" t="s">
        <v>4</v>
      </c>
      <c r="K1" t="s">
        <v>346</v>
      </c>
      <c r="L1" t="s">
        <v>2560</v>
      </c>
      <c r="M1" t="s">
        <v>347</v>
      </c>
      <c r="N1" t="s">
        <v>348</v>
      </c>
      <c r="O1" t="s">
        <v>2718</v>
      </c>
      <c r="P1" t="s">
        <v>5</v>
      </c>
      <c r="Q1" t="s">
        <v>2101</v>
      </c>
      <c r="R1" t="s">
        <v>7</v>
      </c>
      <c r="S1" t="s">
        <v>1748</v>
      </c>
      <c r="T1" s="41" t="s">
        <v>1749</v>
      </c>
      <c r="U1" t="s">
        <v>9</v>
      </c>
      <c r="V1" t="s">
        <v>10</v>
      </c>
      <c r="W1" t="s">
        <v>2553</v>
      </c>
    </row>
    <row r="2" spans="1:23" ht="21">
      <c r="A2" s="15" t="s">
        <v>12</v>
      </c>
      <c r="B2" s="17" t="s">
        <v>1696</v>
      </c>
      <c r="C2" s="17" t="s">
        <v>2663</v>
      </c>
      <c r="D2" s="15" t="s">
        <v>1685</v>
      </c>
      <c r="E2" s="16">
        <v>51.458010999999999</v>
      </c>
      <c r="F2" s="16">
        <v>-2.6018520000000001</v>
      </c>
      <c r="G2" s="16">
        <v>0</v>
      </c>
      <c r="H2" s="14">
        <v>42951</v>
      </c>
      <c r="I2" s="14" t="s">
        <v>36</v>
      </c>
      <c r="J2" s="14" t="s">
        <v>219</v>
      </c>
      <c r="K2" s="15" t="s">
        <v>1687</v>
      </c>
      <c r="L2" s="15" t="s">
        <v>2563</v>
      </c>
      <c r="M2" s="15" t="s">
        <v>2814</v>
      </c>
      <c r="N2" s="15" t="s">
        <v>907</v>
      </c>
      <c r="O2" s="15" t="s">
        <v>3187</v>
      </c>
      <c r="P2" s="15" t="s">
        <v>1688</v>
      </c>
      <c r="Q2" s="13" t="s">
        <v>917</v>
      </c>
      <c r="R2" s="24">
        <v>8.7099999999999997E-2</v>
      </c>
      <c r="S2" s="18">
        <v>5.8999999999999997E-2</v>
      </c>
      <c r="T2" s="24">
        <f t="shared" ref="T2:T33" si="0">R2-S2</f>
        <v>2.81E-2</v>
      </c>
      <c r="U2" s="18">
        <v>5.0599999999999996</v>
      </c>
      <c r="V2" s="18">
        <v>17.127000000000002</v>
      </c>
      <c r="W2">
        <f>V2*U2</f>
        <v>86.662620000000004</v>
      </c>
    </row>
    <row r="3" spans="1:23" ht="21">
      <c r="A3" s="15" t="s">
        <v>12</v>
      </c>
      <c r="B3" s="17" t="s">
        <v>1686</v>
      </c>
      <c r="C3" s="17" t="s">
        <v>2663</v>
      </c>
      <c r="D3" s="15" t="s">
        <v>1685</v>
      </c>
      <c r="E3" s="16">
        <v>51.458010999999999</v>
      </c>
      <c r="F3" s="16">
        <v>-2.6018520000000001</v>
      </c>
      <c r="G3" s="16">
        <v>0</v>
      </c>
      <c r="H3" s="14">
        <v>42951</v>
      </c>
      <c r="I3" s="14" t="s">
        <v>36</v>
      </c>
      <c r="J3" s="14" t="s">
        <v>219</v>
      </c>
      <c r="K3" s="15" t="s">
        <v>1687</v>
      </c>
      <c r="L3" s="15" t="s">
        <v>2563</v>
      </c>
      <c r="M3" s="15" t="s">
        <v>2814</v>
      </c>
      <c r="N3" s="15" t="s">
        <v>907</v>
      </c>
      <c r="O3" s="15" t="s">
        <v>3187</v>
      </c>
      <c r="P3" s="15" t="s">
        <v>1688</v>
      </c>
      <c r="Q3" s="13" t="s">
        <v>946</v>
      </c>
      <c r="R3" s="24">
        <v>0.1148</v>
      </c>
      <c r="S3" s="18">
        <v>5.8999999999999997E-2</v>
      </c>
      <c r="T3" s="24">
        <f t="shared" si="0"/>
        <v>5.5800000000000002E-2</v>
      </c>
      <c r="U3" s="18">
        <v>6.8419999999999996</v>
      </c>
      <c r="V3" s="18">
        <v>22.500999999999998</v>
      </c>
      <c r="W3">
        <f t="shared" ref="W3:W47" si="1">V3*U3</f>
        <v>153.95184199999997</v>
      </c>
    </row>
    <row r="4" spans="1:23" ht="21">
      <c r="A4" s="15" t="s">
        <v>12</v>
      </c>
      <c r="B4" s="17" t="s">
        <v>1721</v>
      </c>
      <c r="C4" s="17" t="s">
        <v>2663</v>
      </c>
      <c r="D4" s="15" t="s">
        <v>1685</v>
      </c>
      <c r="E4" s="16">
        <v>51.458010999999999</v>
      </c>
      <c r="F4" s="16">
        <v>-2.6018520000000001</v>
      </c>
      <c r="G4" s="16">
        <v>0</v>
      </c>
      <c r="H4" s="14">
        <v>42951</v>
      </c>
      <c r="I4" s="14" t="s">
        <v>36</v>
      </c>
      <c r="J4" s="14" t="s">
        <v>219</v>
      </c>
      <c r="K4" s="15" t="s">
        <v>1687</v>
      </c>
      <c r="L4" s="15" t="s">
        <v>2563</v>
      </c>
      <c r="M4" s="15" t="s">
        <v>2814</v>
      </c>
      <c r="N4" s="15" t="s">
        <v>907</v>
      </c>
      <c r="O4" s="15" t="s">
        <v>907</v>
      </c>
      <c r="P4" s="13" t="s">
        <v>1722</v>
      </c>
      <c r="Q4" s="13" t="s">
        <v>917</v>
      </c>
      <c r="R4" s="24">
        <v>0.1545</v>
      </c>
      <c r="S4" s="18">
        <v>0.06</v>
      </c>
      <c r="T4" s="24">
        <f t="shared" si="0"/>
        <v>9.4500000000000001E-2</v>
      </c>
      <c r="U4" s="18">
        <v>7.3780000000000001</v>
      </c>
      <c r="V4" s="18">
        <v>22.832000000000001</v>
      </c>
      <c r="W4">
        <f t="shared" si="1"/>
        <v>168.45449600000001</v>
      </c>
    </row>
    <row r="5" spans="1:23" ht="21">
      <c r="A5" s="15" t="s">
        <v>12</v>
      </c>
      <c r="B5" s="17" t="s">
        <v>1697</v>
      </c>
      <c r="C5" s="17" t="s">
        <v>2663</v>
      </c>
      <c r="D5" s="15" t="s">
        <v>1685</v>
      </c>
      <c r="E5" s="16">
        <v>51.458010999999999</v>
      </c>
      <c r="F5" s="16">
        <v>-2.6018520000000001</v>
      </c>
      <c r="G5" s="16">
        <v>0</v>
      </c>
      <c r="H5" s="14">
        <v>42951</v>
      </c>
      <c r="I5" s="14" t="s">
        <v>36</v>
      </c>
      <c r="J5" s="14" t="s">
        <v>219</v>
      </c>
      <c r="K5" s="15" t="s">
        <v>1687</v>
      </c>
      <c r="L5" s="15" t="s">
        <v>2563</v>
      </c>
      <c r="M5" s="15" t="s">
        <v>2814</v>
      </c>
      <c r="N5" s="15" t="s">
        <v>907</v>
      </c>
      <c r="O5" s="15" t="s">
        <v>3187</v>
      </c>
      <c r="P5" s="15" t="s">
        <v>1688</v>
      </c>
      <c r="Q5" s="13" t="s">
        <v>917</v>
      </c>
      <c r="R5" s="24">
        <v>9.5399999999999999E-2</v>
      </c>
      <c r="S5" s="18">
        <v>5.8999999999999997E-2</v>
      </c>
      <c r="T5" s="24">
        <f t="shared" si="0"/>
        <v>3.6400000000000002E-2</v>
      </c>
      <c r="U5" s="18">
        <v>5.5220000000000002</v>
      </c>
      <c r="V5" s="18">
        <v>17.865000000000002</v>
      </c>
      <c r="W5">
        <f t="shared" si="1"/>
        <v>98.650530000000018</v>
      </c>
    </row>
    <row r="6" spans="1:23" ht="21">
      <c r="A6" s="15" t="s">
        <v>12</v>
      </c>
      <c r="B6" s="17" t="s">
        <v>1698</v>
      </c>
      <c r="C6" s="17" t="s">
        <v>2663</v>
      </c>
      <c r="D6" s="15" t="s">
        <v>1685</v>
      </c>
      <c r="E6" s="16">
        <v>51.458010999999999</v>
      </c>
      <c r="F6" s="16">
        <v>-2.6018520000000001</v>
      </c>
      <c r="G6" s="16">
        <v>0</v>
      </c>
      <c r="H6" s="14">
        <v>42951</v>
      </c>
      <c r="I6" s="14" t="s">
        <v>36</v>
      </c>
      <c r="J6" s="14" t="s">
        <v>219</v>
      </c>
      <c r="K6" s="15" t="s">
        <v>1687</v>
      </c>
      <c r="L6" s="15" t="s">
        <v>2563</v>
      </c>
      <c r="M6" s="15" t="s">
        <v>2814</v>
      </c>
      <c r="N6" s="15" t="s">
        <v>907</v>
      </c>
      <c r="O6" s="15" t="s">
        <v>3187</v>
      </c>
      <c r="P6" s="15" t="s">
        <v>1688</v>
      </c>
      <c r="Q6" s="13" t="s">
        <v>917</v>
      </c>
      <c r="R6" s="24">
        <v>8.9499999999999996E-2</v>
      </c>
      <c r="S6" s="18">
        <v>5.7000000000000002E-2</v>
      </c>
      <c r="T6" s="24">
        <f t="shared" si="0"/>
        <v>3.2499999999999994E-2</v>
      </c>
      <c r="U6" s="18">
        <v>5.4029999999999996</v>
      </c>
      <c r="V6" s="18">
        <v>18.163</v>
      </c>
      <c r="W6">
        <f t="shared" si="1"/>
        <v>98.134688999999995</v>
      </c>
    </row>
    <row r="7" spans="1:23" ht="42">
      <c r="A7" s="15" t="s">
        <v>12</v>
      </c>
      <c r="B7" s="12" t="s">
        <v>1699</v>
      </c>
      <c r="C7" s="17" t="s">
        <v>2663</v>
      </c>
      <c r="D7" s="15" t="s">
        <v>1685</v>
      </c>
      <c r="E7" s="16">
        <v>51.458010999999999</v>
      </c>
      <c r="F7" s="16">
        <v>-2.6018520000000001</v>
      </c>
      <c r="G7" s="16">
        <v>0</v>
      </c>
      <c r="H7" s="14">
        <v>42951</v>
      </c>
      <c r="I7" s="14" t="s">
        <v>36</v>
      </c>
      <c r="J7" s="14" t="s">
        <v>219</v>
      </c>
      <c r="K7" s="15" t="s">
        <v>1687</v>
      </c>
      <c r="L7" s="15" t="s">
        <v>2563</v>
      </c>
      <c r="M7" s="15" t="s">
        <v>2814</v>
      </c>
      <c r="N7" s="15" t="s">
        <v>907</v>
      </c>
      <c r="O7" s="15" t="s">
        <v>3187</v>
      </c>
      <c r="P7" s="15" t="s">
        <v>1688</v>
      </c>
      <c r="Q7" s="13" t="s">
        <v>917</v>
      </c>
      <c r="R7" s="24">
        <v>9.3100000000000002E-2</v>
      </c>
      <c r="S7" s="18">
        <v>5.8000000000000003E-2</v>
      </c>
      <c r="T7" s="24">
        <f t="shared" si="0"/>
        <v>3.5099999999999999E-2</v>
      </c>
      <c r="U7" s="18">
        <v>5.452</v>
      </c>
      <c r="V7" s="18">
        <v>16.143000000000001</v>
      </c>
      <c r="W7">
        <f t="shared" si="1"/>
        <v>88.01163600000001</v>
      </c>
    </row>
    <row r="8" spans="1:23" ht="21">
      <c r="A8" s="15" t="s">
        <v>12</v>
      </c>
      <c r="B8" s="17" t="s">
        <v>1689</v>
      </c>
      <c r="C8" s="17" t="s">
        <v>2663</v>
      </c>
      <c r="D8" s="15" t="s">
        <v>1685</v>
      </c>
      <c r="E8" s="16">
        <v>51.458010999999999</v>
      </c>
      <c r="F8" s="16">
        <v>-2.6018520000000001</v>
      </c>
      <c r="G8" s="16">
        <v>0</v>
      </c>
      <c r="H8" s="14">
        <v>42951</v>
      </c>
      <c r="I8" s="14" t="s">
        <v>36</v>
      </c>
      <c r="J8" s="14" t="s">
        <v>219</v>
      </c>
      <c r="K8" s="15" t="s">
        <v>1687</v>
      </c>
      <c r="L8" s="15" t="s">
        <v>2563</v>
      </c>
      <c r="M8" s="15" t="s">
        <v>2814</v>
      </c>
      <c r="N8" s="15" t="s">
        <v>907</v>
      </c>
      <c r="O8" s="15" t="s">
        <v>3187</v>
      </c>
      <c r="P8" s="15" t="s">
        <v>1688</v>
      </c>
      <c r="Q8" s="13" t="s">
        <v>946</v>
      </c>
      <c r="R8" s="24">
        <v>0.10539999999999999</v>
      </c>
      <c r="S8" s="18">
        <v>5.8000000000000003E-2</v>
      </c>
      <c r="T8" s="24">
        <f t="shared" si="0"/>
        <v>4.7399999999999991E-2</v>
      </c>
      <c r="U8" s="18">
        <v>6.2519999999999998</v>
      </c>
      <c r="V8" s="18">
        <v>20.067999999999998</v>
      </c>
      <c r="W8">
        <f t="shared" si="1"/>
        <v>125.46513599999999</v>
      </c>
    </row>
    <row r="9" spans="1:23" ht="21">
      <c r="A9" s="15" t="s">
        <v>12</v>
      </c>
      <c r="B9" s="17" t="s">
        <v>1700</v>
      </c>
      <c r="C9" s="17" t="s">
        <v>2663</v>
      </c>
      <c r="D9" s="15" t="s">
        <v>1685</v>
      </c>
      <c r="E9" s="16">
        <v>51.458010999999999</v>
      </c>
      <c r="F9" s="16">
        <v>-2.6018520000000001</v>
      </c>
      <c r="G9" s="16">
        <v>0</v>
      </c>
      <c r="H9" s="14">
        <v>42951</v>
      </c>
      <c r="I9" s="14" t="s">
        <v>36</v>
      </c>
      <c r="J9" s="14" t="s">
        <v>219</v>
      </c>
      <c r="K9" s="15" t="s">
        <v>1687</v>
      </c>
      <c r="L9" s="15" t="s">
        <v>2563</v>
      </c>
      <c r="M9" s="15" t="s">
        <v>2814</v>
      </c>
      <c r="N9" s="15" t="s">
        <v>907</v>
      </c>
      <c r="O9" s="15" t="s">
        <v>3187</v>
      </c>
      <c r="P9" s="15" t="s">
        <v>1688</v>
      </c>
      <c r="Q9" s="13" t="s">
        <v>917</v>
      </c>
      <c r="R9" s="24">
        <v>9.5699999999999993E-2</v>
      </c>
      <c r="S9" s="18">
        <v>5.8999999999999997E-2</v>
      </c>
      <c r="T9" s="24">
        <f t="shared" si="0"/>
        <v>3.6699999999999997E-2</v>
      </c>
      <c r="U9" s="18">
        <v>5.1470000000000002</v>
      </c>
      <c r="V9" s="18">
        <v>16.832000000000001</v>
      </c>
      <c r="W9">
        <f t="shared" si="1"/>
        <v>86.634304000000014</v>
      </c>
    </row>
    <row r="10" spans="1:23" ht="21">
      <c r="A10" s="15" t="s">
        <v>12</v>
      </c>
      <c r="B10" s="17" t="s">
        <v>1723</v>
      </c>
      <c r="C10" s="17" t="s">
        <v>2663</v>
      </c>
      <c r="D10" s="15" t="s">
        <v>1685</v>
      </c>
      <c r="E10" s="16">
        <v>51.458010999999999</v>
      </c>
      <c r="F10" s="16">
        <v>-2.6018520000000001</v>
      </c>
      <c r="G10" s="16">
        <v>0</v>
      </c>
      <c r="H10" s="14">
        <v>42951</v>
      </c>
      <c r="I10" s="14" t="s">
        <v>36</v>
      </c>
      <c r="J10" s="14" t="s">
        <v>219</v>
      </c>
      <c r="K10" s="15" t="s">
        <v>1687</v>
      </c>
      <c r="L10" s="15" t="s">
        <v>2563</v>
      </c>
      <c r="M10" s="15" t="s">
        <v>2814</v>
      </c>
      <c r="N10" s="15" t="s">
        <v>907</v>
      </c>
      <c r="O10" s="15" t="s">
        <v>907</v>
      </c>
      <c r="P10" s="13" t="s">
        <v>1722</v>
      </c>
      <c r="Q10" s="13" t="s">
        <v>917</v>
      </c>
      <c r="R10" s="24">
        <v>0.1497</v>
      </c>
      <c r="S10" s="18">
        <v>5.7000000000000002E-2</v>
      </c>
      <c r="T10" s="24">
        <f t="shared" si="0"/>
        <v>9.2700000000000005E-2</v>
      </c>
      <c r="U10" s="18">
        <v>7.3869999999999996</v>
      </c>
      <c r="V10" s="18">
        <v>23.386000000000003</v>
      </c>
      <c r="W10">
        <f t="shared" si="1"/>
        <v>172.75238200000001</v>
      </c>
    </row>
    <row r="11" spans="1:23" ht="21">
      <c r="A11" s="15" t="s">
        <v>12</v>
      </c>
      <c r="B11" s="17" t="s">
        <v>1701</v>
      </c>
      <c r="C11" s="17" t="s">
        <v>2663</v>
      </c>
      <c r="D11" s="15" t="s">
        <v>1685</v>
      </c>
      <c r="E11" s="16">
        <v>51.458010999999999</v>
      </c>
      <c r="F11" s="16">
        <v>-2.6018520000000001</v>
      </c>
      <c r="G11" s="16">
        <v>0</v>
      </c>
      <c r="H11" s="14">
        <v>42951</v>
      </c>
      <c r="I11" s="14" t="s">
        <v>36</v>
      </c>
      <c r="J11" s="14" t="s">
        <v>219</v>
      </c>
      <c r="K11" s="15" t="s">
        <v>1687</v>
      </c>
      <c r="L11" s="15" t="s">
        <v>2563</v>
      </c>
      <c r="M11" s="15" t="s">
        <v>2814</v>
      </c>
      <c r="N11" s="15" t="s">
        <v>907</v>
      </c>
      <c r="O11" s="15" t="s">
        <v>3187</v>
      </c>
      <c r="P11" s="15" t="s">
        <v>1688</v>
      </c>
      <c r="Q11" s="13" t="s">
        <v>917</v>
      </c>
      <c r="R11" s="24">
        <v>9.9500000000000005E-2</v>
      </c>
      <c r="S11" s="18">
        <v>0.06</v>
      </c>
      <c r="T11" s="24">
        <f t="shared" si="0"/>
        <v>3.9500000000000007E-2</v>
      </c>
      <c r="U11" s="18">
        <v>5.6719999999999997</v>
      </c>
      <c r="V11" s="18">
        <v>17.116</v>
      </c>
      <c r="W11">
        <f t="shared" si="1"/>
        <v>97.081951999999987</v>
      </c>
    </row>
    <row r="12" spans="1:23" ht="21">
      <c r="A12" s="15" t="s">
        <v>12</v>
      </c>
      <c r="B12" s="17" t="s">
        <v>1702</v>
      </c>
      <c r="C12" s="17" t="s">
        <v>2663</v>
      </c>
      <c r="D12" s="15" t="s">
        <v>1685</v>
      </c>
      <c r="E12" s="16">
        <v>51.458010999999999</v>
      </c>
      <c r="F12" s="16">
        <v>-2.6018520000000001</v>
      </c>
      <c r="G12" s="16">
        <v>0</v>
      </c>
      <c r="H12" s="14">
        <v>42951</v>
      </c>
      <c r="I12" s="14" t="s">
        <v>36</v>
      </c>
      <c r="J12" s="14" t="s">
        <v>219</v>
      </c>
      <c r="K12" s="15" t="s">
        <v>1687</v>
      </c>
      <c r="L12" s="15" t="s">
        <v>2563</v>
      </c>
      <c r="M12" s="15" t="s">
        <v>2814</v>
      </c>
      <c r="N12" s="15" t="s">
        <v>907</v>
      </c>
      <c r="O12" s="15" t="s">
        <v>3187</v>
      </c>
      <c r="P12" s="15" t="s">
        <v>1688</v>
      </c>
      <c r="Q12" s="13" t="s">
        <v>917</v>
      </c>
      <c r="R12" s="24">
        <v>9.1300000000000006E-2</v>
      </c>
      <c r="S12" s="18">
        <v>5.8000000000000003E-2</v>
      </c>
      <c r="T12" s="24">
        <f t="shared" si="0"/>
        <v>3.3300000000000003E-2</v>
      </c>
      <c r="U12" s="18">
        <v>5.4859999999999998</v>
      </c>
      <c r="V12" s="18">
        <v>17.742999999999999</v>
      </c>
      <c r="W12">
        <f t="shared" si="1"/>
        <v>97.338097999999988</v>
      </c>
    </row>
    <row r="13" spans="1:23" ht="21">
      <c r="A13" s="15" t="s">
        <v>12</v>
      </c>
      <c r="B13" s="17" t="s">
        <v>1690</v>
      </c>
      <c r="C13" s="17" t="s">
        <v>2663</v>
      </c>
      <c r="D13" s="15" t="s">
        <v>1685</v>
      </c>
      <c r="E13" s="16">
        <v>51.458010999999999</v>
      </c>
      <c r="F13" s="16">
        <v>-2.6018520000000001</v>
      </c>
      <c r="G13" s="16">
        <v>0</v>
      </c>
      <c r="H13" s="14">
        <v>42951</v>
      </c>
      <c r="I13" s="14" t="s">
        <v>36</v>
      </c>
      <c r="J13" s="14" t="s">
        <v>219</v>
      </c>
      <c r="K13" s="15" t="s">
        <v>1687</v>
      </c>
      <c r="L13" s="15" t="s">
        <v>2563</v>
      </c>
      <c r="M13" s="15" t="s">
        <v>2814</v>
      </c>
      <c r="N13" s="15" t="s">
        <v>907</v>
      </c>
      <c r="O13" s="15" t="s">
        <v>3187</v>
      </c>
      <c r="P13" s="15" t="s">
        <v>1688</v>
      </c>
      <c r="Q13" s="13" t="s">
        <v>946</v>
      </c>
      <c r="R13" s="24">
        <v>9.9599999999999994E-2</v>
      </c>
      <c r="S13" s="18">
        <v>5.7000000000000002E-2</v>
      </c>
      <c r="T13" s="24">
        <f t="shared" si="0"/>
        <v>4.2599999999999992E-2</v>
      </c>
      <c r="U13" s="18">
        <v>5.37</v>
      </c>
      <c r="V13" s="18">
        <v>18.552</v>
      </c>
      <c r="W13">
        <f t="shared" si="1"/>
        <v>99.62424</v>
      </c>
    </row>
    <row r="14" spans="1:23" ht="21">
      <c r="A14" s="13" t="s">
        <v>12</v>
      </c>
      <c r="B14" s="17" t="s">
        <v>1724</v>
      </c>
      <c r="C14" s="17" t="s">
        <v>2663</v>
      </c>
      <c r="D14" s="15" t="s">
        <v>1685</v>
      </c>
      <c r="E14" s="16">
        <v>51.458010999999999</v>
      </c>
      <c r="F14" s="16">
        <v>-2.6018520000000001</v>
      </c>
      <c r="G14" s="16">
        <v>0</v>
      </c>
      <c r="H14" s="14">
        <v>42951</v>
      </c>
      <c r="I14" s="14" t="s">
        <v>36</v>
      </c>
      <c r="J14" s="14" t="s">
        <v>219</v>
      </c>
      <c r="K14" s="13" t="s">
        <v>1687</v>
      </c>
      <c r="L14" s="15" t="s">
        <v>2563</v>
      </c>
      <c r="M14" s="15" t="s">
        <v>2814</v>
      </c>
      <c r="N14" s="13" t="s">
        <v>907</v>
      </c>
      <c r="O14" s="15" t="s">
        <v>907</v>
      </c>
      <c r="P14" s="13" t="s">
        <v>1722</v>
      </c>
      <c r="Q14" s="13" t="s">
        <v>917</v>
      </c>
      <c r="R14" s="24">
        <v>0.151</v>
      </c>
      <c r="S14" s="18">
        <v>5.8000000000000003E-2</v>
      </c>
      <c r="T14" s="24">
        <f t="shared" si="0"/>
        <v>9.2999999999999999E-2</v>
      </c>
      <c r="U14" s="18">
        <v>7.6079999999999997</v>
      </c>
      <c r="V14" s="18">
        <v>22.006999999999998</v>
      </c>
      <c r="W14">
        <f t="shared" si="1"/>
        <v>167.42925599999998</v>
      </c>
    </row>
    <row r="15" spans="1:23" ht="21">
      <c r="A15" s="15" t="s">
        <v>12</v>
      </c>
      <c r="B15" s="17" t="s">
        <v>1725</v>
      </c>
      <c r="C15" s="17" t="s">
        <v>2663</v>
      </c>
      <c r="D15" s="15" t="s">
        <v>1685</v>
      </c>
      <c r="E15" s="16">
        <v>51.458010999999999</v>
      </c>
      <c r="F15" s="16">
        <v>-2.6018520000000001</v>
      </c>
      <c r="G15" s="16">
        <v>0</v>
      </c>
      <c r="H15" s="14">
        <v>42951</v>
      </c>
      <c r="I15" s="14" t="s">
        <v>36</v>
      </c>
      <c r="J15" s="14" t="s">
        <v>219</v>
      </c>
      <c r="K15" s="15" t="s">
        <v>1687</v>
      </c>
      <c r="L15" s="15" t="s">
        <v>2563</v>
      </c>
      <c r="M15" s="15" t="s">
        <v>2814</v>
      </c>
      <c r="N15" s="15" t="s">
        <v>907</v>
      </c>
      <c r="O15" s="15" t="s">
        <v>907</v>
      </c>
      <c r="P15" s="13" t="s">
        <v>1722</v>
      </c>
      <c r="Q15" s="13" t="s">
        <v>917</v>
      </c>
      <c r="R15" s="24">
        <v>0.15939999999999999</v>
      </c>
      <c r="S15" s="18">
        <v>5.8000000000000003E-2</v>
      </c>
      <c r="T15" s="24">
        <f t="shared" si="0"/>
        <v>0.10139999999999999</v>
      </c>
      <c r="U15" s="18">
        <v>7.8220000000000001</v>
      </c>
      <c r="V15" s="18">
        <v>22.936</v>
      </c>
      <c r="W15">
        <f t="shared" si="1"/>
        <v>179.40539200000001</v>
      </c>
    </row>
    <row r="16" spans="1:23" ht="21">
      <c r="A16" s="15" t="s">
        <v>12</v>
      </c>
      <c r="B16" s="17" t="s">
        <v>1726</v>
      </c>
      <c r="C16" s="17" t="s">
        <v>2663</v>
      </c>
      <c r="D16" s="15" t="s">
        <v>1685</v>
      </c>
      <c r="E16" s="16">
        <v>51.458010999999999</v>
      </c>
      <c r="F16" s="16">
        <v>-2.6018520000000001</v>
      </c>
      <c r="G16" s="16">
        <v>0</v>
      </c>
      <c r="H16" s="14">
        <v>42951</v>
      </c>
      <c r="I16" s="14" t="s">
        <v>36</v>
      </c>
      <c r="J16" s="14" t="s">
        <v>219</v>
      </c>
      <c r="K16" s="15" t="s">
        <v>1687</v>
      </c>
      <c r="L16" s="15" t="s">
        <v>2563</v>
      </c>
      <c r="M16" s="15" t="s">
        <v>2814</v>
      </c>
      <c r="N16" s="15" t="s">
        <v>907</v>
      </c>
      <c r="O16" s="15" t="s">
        <v>907</v>
      </c>
      <c r="P16" s="13" t="s">
        <v>1722</v>
      </c>
      <c r="Q16" s="13" t="s">
        <v>917</v>
      </c>
      <c r="R16" s="24">
        <v>0.10440000000000001</v>
      </c>
      <c r="S16" s="18">
        <v>5.8000000000000003E-2</v>
      </c>
      <c r="T16" s="24">
        <f t="shared" si="0"/>
        <v>4.6400000000000004E-2</v>
      </c>
      <c r="U16" s="18">
        <v>6.0049999999999999</v>
      </c>
      <c r="V16" s="18">
        <v>17.814999999999998</v>
      </c>
      <c r="W16">
        <f t="shared" si="1"/>
        <v>106.97907499999998</v>
      </c>
    </row>
    <row r="17" spans="1:23" ht="21">
      <c r="A17" s="15" t="s">
        <v>12</v>
      </c>
      <c r="B17" s="17" t="s">
        <v>1727</v>
      </c>
      <c r="C17" s="17" t="s">
        <v>2663</v>
      </c>
      <c r="D17" s="15" t="s">
        <v>1685</v>
      </c>
      <c r="E17" s="16">
        <v>51.458010999999999</v>
      </c>
      <c r="F17" s="16">
        <v>-2.6018520000000001</v>
      </c>
      <c r="G17" s="16">
        <v>0</v>
      </c>
      <c r="H17" s="14">
        <v>42951</v>
      </c>
      <c r="I17" s="14" t="s">
        <v>36</v>
      </c>
      <c r="J17" s="14" t="s">
        <v>219</v>
      </c>
      <c r="K17" s="15" t="s">
        <v>1687</v>
      </c>
      <c r="L17" s="15" t="s">
        <v>2563</v>
      </c>
      <c r="M17" s="15" t="s">
        <v>2814</v>
      </c>
      <c r="N17" s="15" t="s">
        <v>907</v>
      </c>
      <c r="O17" s="15" t="s">
        <v>907</v>
      </c>
      <c r="P17" s="13" t="s">
        <v>1722</v>
      </c>
      <c r="Q17" s="13" t="s">
        <v>917</v>
      </c>
      <c r="R17" s="24">
        <v>9.1399999999999995E-2</v>
      </c>
      <c r="S17" s="18">
        <v>5.8999999999999997E-2</v>
      </c>
      <c r="T17" s="24">
        <f t="shared" si="0"/>
        <v>3.2399999999999998E-2</v>
      </c>
      <c r="U17" s="18">
        <v>5.2770000000000001</v>
      </c>
      <c r="V17" s="18">
        <v>17.347000000000001</v>
      </c>
      <c r="W17">
        <f t="shared" si="1"/>
        <v>91.540119000000004</v>
      </c>
    </row>
    <row r="18" spans="1:23" ht="21">
      <c r="A18" s="15" t="s">
        <v>12</v>
      </c>
      <c r="B18" s="17" t="s">
        <v>1728</v>
      </c>
      <c r="C18" s="17" t="s">
        <v>2663</v>
      </c>
      <c r="D18" s="15" t="s">
        <v>1685</v>
      </c>
      <c r="E18" s="16">
        <v>51.458010999999999</v>
      </c>
      <c r="F18" s="16">
        <v>-2.6018520000000001</v>
      </c>
      <c r="G18" s="16">
        <v>0</v>
      </c>
      <c r="H18" s="14">
        <v>42951</v>
      </c>
      <c r="I18" s="14" t="s">
        <v>36</v>
      </c>
      <c r="J18" s="14" t="s">
        <v>219</v>
      </c>
      <c r="K18" s="15" t="s">
        <v>1687</v>
      </c>
      <c r="L18" s="15" t="s">
        <v>2563</v>
      </c>
      <c r="M18" s="15" t="s">
        <v>2814</v>
      </c>
      <c r="N18" s="15" t="s">
        <v>907</v>
      </c>
      <c r="O18" s="15" t="s">
        <v>907</v>
      </c>
      <c r="P18" s="13" t="s">
        <v>1722</v>
      </c>
      <c r="Q18" s="13" t="s">
        <v>917</v>
      </c>
      <c r="R18" s="24">
        <v>0.1595</v>
      </c>
      <c r="S18" s="18">
        <v>5.8999999999999997E-2</v>
      </c>
      <c r="T18" s="24">
        <f t="shared" si="0"/>
        <v>0.10050000000000001</v>
      </c>
      <c r="U18" s="18">
        <v>7.7640000000000002</v>
      </c>
      <c r="V18" s="18">
        <v>23.116999999999997</v>
      </c>
      <c r="W18">
        <f t="shared" si="1"/>
        <v>179.48038799999998</v>
      </c>
    </row>
    <row r="19" spans="1:23" ht="21">
      <c r="A19" s="13" t="s">
        <v>12</v>
      </c>
      <c r="B19" s="17" t="s">
        <v>1729</v>
      </c>
      <c r="C19" s="17" t="s">
        <v>2663</v>
      </c>
      <c r="D19" s="15" t="s">
        <v>1685</v>
      </c>
      <c r="E19" s="16">
        <v>51.457596000000002</v>
      </c>
      <c r="F19" s="16">
        <v>-2.601337</v>
      </c>
      <c r="G19" s="16">
        <v>0</v>
      </c>
      <c r="H19" s="19">
        <v>42958</v>
      </c>
      <c r="I19" s="14" t="s">
        <v>36</v>
      </c>
      <c r="J19" s="14" t="s">
        <v>219</v>
      </c>
      <c r="K19" s="13" t="s">
        <v>1687</v>
      </c>
      <c r="L19" s="15" t="s">
        <v>2563</v>
      </c>
      <c r="M19" s="15" t="s">
        <v>2814</v>
      </c>
      <c r="N19" s="13" t="s">
        <v>907</v>
      </c>
      <c r="O19" s="15" t="s">
        <v>907</v>
      </c>
      <c r="P19" s="13" t="s">
        <v>1722</v>
      </c>
      <c r="Q19" s="13" t="s">
        <v>917</v>
      </c>
      <c r="R19" s="24">
        <v>0.1234</v>
      </c>
      <c r="S19" s="18">
        <v>5.8000000000000003E-2</v>
      </c>
      <c r="T19" s="24">
        <f t="shared" si="0"/>
        <v>6.5399999999999986E-2</v>
      </c>
      <c r="U19" s="18">
        <v>7.327</v>
      </c>
      <c r="V19" s="18">
        <v>21.612000000000002</v>
      </c>
      <c r="W19">
        <f t="shared" si="1"/>
        <v>158.351124</v>
      </c>
    </row>
    <row r="20" spans="1:23" ht="21">
      <c r="A20" s="13" t="s">
        <v>12</v>
      </c>
      <c r="B20" s="17" t="s">
        <v>1730</v>
      </c>
      <c r="C20" s="17" t="s">
        <v>2663</v>
      </c>
      <c r="D20" s="15" t="s">
        <v>1685</v>
      </c>
      <c r="E20" s="16">
        <v>51.458010999999999</v>
      </c>
      <c r="F20" s="16">
        <v>-2.6018520000000001</v>
      </c>
      <c r="G20" s="16">
        <v>0</v>
      </c>
      <c r="H20" s="19">
        <v>42958</v>
      </c>
      <c r="I20" s="14" t="s">
        <v>36</v>
      </c>
      <c r="J20" s="14" t="s">
        <v>219</v>
      </c>
      <c r="K20" s="13" t="s">
        <v>1687</v>
      </c>
      <c r="L20" s="15" t="s">
        <v>2563</v>
      </c>
      <c r="M20" s="15" t="s">
        <v>2814</v>
      </c>
      <c r="N20" s="13" t="s">
        <v>907</v>
      </c>
      <c r="O20" s="15" t="s">
        <v>907</v>
      </c>
      <c r="P20" s="13" t="s">
        <v>1722</v>
      </c>
      <c r="Q20" s="13" t="s">
        <v>917</v>
      </c>
      <c r="R20" s="24">
        <v>0.11600000000000001</v>
      </c>
      <c r="S20" s="18">
        <v>5.8000000000000003E-2</v>
      </c>
      <c r="T20" s="24">
        <f t="shared" si="0"/>
        <v>5.8000000000000003E-2</v>
      </c>
      <c r="U20" s="18">
        <v>7.0410000000000004</v>
      </c>
      <c r="V20" s="18">
        <v>22.558</v>
      </c>
      <c r="W20">
        <f t="shared" si="1"/>
        <v>158.83087800000001</v>
      </c>
    </row>
    <row r="21" spans="1:23" ht="21">
      <c r="A21" s="13" t="s">
        <v>12</v>
      </c>
      <c r="B21" s="17" t="s">
        <v>1731</v>
      </c>
      <c r="C21" s="17" t="s">
        <v>2663</v>
      </c>
      <c r="D21" s="15" t="s">
        <v>1685</v>
      </c>
      <c r="E21" s="16">
        <v>51.458010999999999</v>
      </c>
      <c r="F21" s="16">
        <v>-2.6018520000000001</v>
      </c>
      <c r="G21" s="16">
        <v>0</v>
      </c>
      <c r="H21" s="19">
        <v>42958</v>
      </c>
      <c r="I21" s="14" t="s">
        <v>36</v>
      </c>
      <c r="J21" s="14" t="s">
        <v>219</v>
      </c>
      <c r="K21" s="13" t="s">
        <v>1687</v>
      </c>
      <c r="L21" s="15" t="s">
        <v>2563</v>
      </c>
      <c r="M21" s="15" t="s">
        <v>2814</v>
      </c>
      <c r="N21" s="13" t="s">
        <v>907</v>
      </c>
      <c r="O21" s="15" t="s">
        <v>907</v>
      </c>
      <c r="P21" s="13" t="s">
        <v>1722</v>
      </c>
      <c r="Q21" s="13" t="s">
        <v>917</v>
      </c>
      <c r="R21" s="24">
        <v>0.1113</v>
      </c>
      <c r="S21" s="18">
        <v>5.8000000000000003E-2</v>
      </c>
      <c r="T21" s="24">
        <f t="shared" si="0"/>
        <v>5.3299999999999993E-2</v>
      </c>
      <c r="U21" s="18">
        <v>6.6310000000000002</v>
      </c>
      <c r="V21" s="18">
        <v>18.850000000000001</v>
      </c>
      <c r="W21">
        <f t="shared" si="1"/>
        <v>124.99435000000001</v>
      </c>
    </row>
    <row r="22" spans="1:23" ht="21">
      <c r="A22" s="13" t="s">
        <v>12</v>
      </c>
      <c r="B22" s="17" t="s">
        <v>1691</v>
      </c>
      <c r="C22" s="17" t="s">
        <v>2663</v>
      </c>
      <c r="D22" s="15" t="s">
        <v>1685</v>
      </c>
      <c r="E22" s="16">
        <v>51.458010999999999</v>
      </c>
      <c r="F22" s="16">
        <v>-2.6018520000000001</v>
      </c>
      <c r="G22" s="16">
        <v>0</v>
      </c>
      <c r="H22" s="19">
        <v>42958</v>
      </c>
      <c r="I22" s="14" t="s">
        <v>36</v>
      </c>
      <c r="J22" s="14" t="s">
        <v>219</v>
      </c>
      <c r="K22" s="13" t="s">
        <v>1687</v>
      </c>
      <c r="L22" s="15" t="s">
        <v>2563</v>
      </c>
      <c r="M22" s="15" t="s">
        <v>2814</v>
      </c>
      <c r="N22" s="13" t="s">
        <v>907</v>
      </c>
      <c r="O22" s="15" t="s">
        <v>3187</v>
      </c>
      <c r="P22" s="13" t="s">
        <v>1688</v>
      </c>
      <c r="Q22" s="13" t="s">
        <v>946</v>
      </c>
      <c r="R22" s="24">
        <v>0.1208</v>
      </c>
      <c r="S22" s="18">
        <v>0.06</v>
      </c>
      <c r="T22" s="24">
        <f t="shared" si="0"/>
        <v>6.0800000000000007E-2</v>
      </c>
      <c r="U22" s="18">
        <v>6.5170000000000003</v>
      </c>
      <c r="V22" s="18">
        <v>22.35</v>
      </c>
      <c r="W22">
        <f t="shared" si="1"/>
        <v>145.65495000000001</v>
      </c>
    </row>
    <row r="23" spans="1:23" ht="21">
      <c r="A23" s="13" t="s">
        <v>12</v>
      </c>
      <c r="B23" s="17" t="s">
        <v>1712</v>
      </c>
      <c r="C23" s="17" t="s">
        <v>2663</v>
      </c>
      <c r="D23" s="15" t="s">
        <v>1685</v>
      </c>
      <c r="E23" s="16">
        <v>51.457596000000002</v>
      </c>
      <c r="F23" s="16">
        <v>-2.601337</v>
      </c>
      <c r="G23" s="16">
        <v>0</v>
      </c>
      <c r="H23" s="19">
        <v>42958</v>
      </c>
      <c r="I23" s="14" t="s">
        <v>36</v>
      </c>
      <c r="J23" s="14" t="s">
        <v>219</v>
      </c>
      <c r="K23" s="13" t="s">
        <v>1687</v>
      </c>
      <c r="L23" s="15" t="s">
        <v>2563</v>
      </c>
      <c r="M23" s="15" t="s">
        <v>2814</v>
      </c>
      <c r="N23" s="13" t="s">
        <v>907</v>
      </c>
      <c r="O23" s="13" t="s">
        <v>3188</v>
      </c>
      <c r="P23" s="13" t="s">
        <v>1710</v>
      </c>
      <c r="Q23" s="13" t="s">
        <v>917</v>
      </c>
      <c r="R23" s="24">
        <v>8.7099999999999997E-2</v>
      </c>
      <c r="S23" s="18">
        <v>5.8000000000000003E-2</v>
      </c>
      <c r="T23" s="24">
        <f t="shared" si="0"/>
        <v>2.9099999999999994E-2</v>
      </c>
      <c r="U23" s="18">
        <v>4.7759999999999998</v>
      </c>
      <c r="V23" s="18">
        <v>16.615000000000002</v>
      </c>
      <c r="W23">
        <f t="shared" si="1"/>
        <v>79.35324</v>
      </c>
    </row>
    <row r="24" spans="1:23" ht="21">
      <c r="A24" s="13" t="s">
        <v>12</v>
      </c>
      <c r="B24" s="17" t="s">
        <v>1732</v>
      </c>
      <c r="C24" s="17" t="s">
        <v>2663</v>
      </c>
      <c r="D24" s="15" t="s">
        <v>1685</v>
      </c>
      <c r="E24" s="16">
        <v>51.458010999999999</v>
      </c>
      <c r="F24" s="16">
        <v>-2.6018520000000001</v>
      </c>
      <c r="G24" s="16">
        <v>0</v>
      </c>
      <c r="H24" s="19">
        <v>42958</v>
      </c>
      <c r="I24" s="14" t="s">
        <v>36</v>
      </c>
      <c r="J24" s="14" t="s">
        <v>219</v>
      </c>
      <c r="K24" s="13" t="s">
        <v>1687</v>
      </c>
      <c r="L24" s="15" t="s">
        <v>2563</v>
      </c>
      <c r="M24" s="15" t="s">
        <v>2814</v>
      </c>
      <c r="N24" s="13" t="s">
        <v>907</v>
      </c>
      <c r="O24" s="15" t="s">
        <v>907</v>
      </c>
      <c r="P24" s="13" t="s">
        <v>1722</v>
      </c>
      <c r="Q24" s="13" t="s">
        <v>917</v>
      </c>
      <c r="R24" s="24">
        <v>0.1303</v>
      </c>
      <c r="S24" s="18">
        <v>5.8000000000000003E-2</v>
      </c>
      <c r="T24" s="24">
        <f t="shared" si="0"/>
        <v>7.2300000000000003E-2</v>
      </c>
      <c r="U24" s="18">
        <v>7.0339999999999998</v>
      </c>
      <c r="V24" s="18">
        <v>21.222000000000001</v>
      </c>
      <c r="W24">
        <f t="shared" si="1"/>
        <v>149.27554800000001</v>
      </c>
    </row>
    <row r="25" spans="1:23" ht="21">
      <c r="A25" s="13" t="s">
        <v>12</v>
      </c>
      <c r="B25" s="17" t="s">
        <v>1733</v>
      </c>
      <c r="C25" s="17" t="s">
        <v>2663</v>
      </c>
      <c r="D25" s="15" t="s">
        <v>1685</v>
      </c>
      <c r="E25" s="16">
        <v>51.458010999999999</v>
      </c>
      <c r="F25" s="16">
        <v>-2.6018520000000001</v>
      </c>
      <c r="G25" s="16">
        <v>0</v>
      </c>
      <c r="H25" s="19">
        <v>42958</v>
      </c>
      <c r="I25" s="14" t="s">
        <v>36</v>
      </c>
      <c r="J25" s="14" t="s">
        <v>219</v>
      </c>
      <c r="K25" s="13" t="s">
        <v>1687</v>
      </c>
      <c r="L25" s="15" t="s">
        <v>2563</v>
      </c>
      <c r="M25" s="15" t="s">
        <v>2814</v>
      </c>
      <c r="N25" s="13" t="s">
        <v>907</v>
      </c>
      <c r="O25" s="15" t="s">
        <v>907</v>
      </c>
      <c r="P25" s="13" t="s">
        <v>1722</v>
      </c>
      <c r="Q25" s="13" t="s">
        <v>917</v>
      </c>
      <c r="R25" s="24">
        <v>0.13100000000000001</v>
      </c>
      <c r="S25" s="18">
        <v>5.8000000000000003E-2</v>
      </c>
      <c r="T25" s="24">
        <f t="shared" si="0"/>
        <v>7.3000000000000009E-2</v>
      </c>
      <c r="U25" s="18">
        <v>8.1820000000000004</v>
      </c>
      <c r="V25" s="18">
        <v>23.864000000000001</v>
      </c>
      <c r="W25">
        <f t="shared" si="1"/>
        <v>195.25524800000002</v>
      </c>
    </row>
    <row r="26" spans="1:23" ht="21">
      <c r="A26" s="13" t="s">
        <v>12</v>
      </c>
      <c r="B26" s="17" t="s">
        <v>1703</v>
      </c>
      <c r="C26" s="17" t="s">
        <v>2663</v>
      </c>
      <c r="D26" s="15" t="s">
        <v>1685</v>
      </c>
      <c r="E26" s="16">
        <v>51.458010999999999</v>
      </c>
      <c r="F26" s="16">
        <v>-2.6018520000000001</v>
      </c>
      <c r="G26" s="16">
        <v>0</v>
      </c>
      <c r="H26" s="19">
        <v>42958</v>
      </c>
      <c r="I26" s="14" t="s">
        <v>36</v>
      </c>
      <c r="J26" s="14" t="s">
        <v>219</v>
      </c>
      <c r="K26" s="13" t="s">
        <v>1687</v>
      </c>
      <c r="L26" s="15" t="s">
        <v>2563</v>
      </c>
      <c r="M26" s="15" t="s">
        <v>2814</v>
      </c>
      <c r="N26" s="13" t="s">
        <v>907</v>
      </c>
      <c r="O26" s="15" t="s">
        <v>3187</v>
      </c>
      <c r="P26" s="13" t="s">
        <v>1688</v>
      </c>
      <c r="Q26" s="13" t="s">
        <v>917</v>
      </c>
      <c r="R26" s="24">
        <v>9.3799999999999994E-2</v>
      </c>
      <c r="S26" s="18">
        <v>5.8999999999999997E-2</v>
      </c>
      <c r="T26" s="24">
        <f t="shared" si="0"/>
        <v>3.4799999999999998E-2</v>
      </c>
      <c r="U26" s="18">
        <v>5.024</v>
      </c>
      <c r="V26" s="18">
        <v>15.565</v>
      </c>
      <c r="W26">
        <f t="shared" si="1"/>
        <v>78.198560000000001</v>
      </c>
    </row>
    <row r="27" spans="1:23" ht="21">
      <c r="A27" s="13" t="s">
        <v>12</v>
      </c>
      <c r="B27" s="17" t="s">
        <v>1692</v>
      </c>
      <c r="C27" s="17" t="s">
        <v>2663</v>
      </c>
      <c r="D27" s="15" t="s">
        <v>1685</v>
      </c>
      <c r="E27" s="16">
        <v>51.458010999999999</v>
      </c>
      <c r="F27" s="16">
        <v>-2.6018520000000001</v>
      </c>
      <c r="G27" s="16">
        <v>0</v>
      </c>
      <c r="H27" s="19">
        <v>42958</v>
      </c>
      <c r="I27" s="14" t="s">
        <v>36</v>
      </c>
      <c r="J27" s="14" t="s">
        <v>219</v>
      </c>
      <c r="K27" s="13" t="s">
        <v>1687</v>
      </c>
      <c r="L27" s="15" t="s">
        <v>2563</v>
      </c>
      <c r="M27" s="15" t="s">
        <v>2814</v>
      </c>
      <c r="N27" s="13" t="s">
        <v>907</v>
      </c>
      <c r="O27" s="15" t="s">
        <v>3187</v>
      </c>
      <c r="P27" s="13" t="s">
        <v>1688</v>
      </c>
      <c r="Q27" s="13" t="s">
        <v>946</v>
      </c>
      <c r="R27" s="24">
        <v>9.9599999999999994E-2</v>
      </c>
      <c r="S27" s="18">
        <v>5.8000000000000003E-2</v>
      </c>
      <c r="T27" s="24">
        <f t="shared" si="0"/>
        <v>4.1599999999999991E-2</v>
      </c>
      <c r="U27" s="18">
        <v>6.1449999999999996</v>
      </c>
      <c r="V27" s="18">
        <v>18.956</v>
      </c>
      <c r="W27">
        <f t="shared" si="1"/>
        <v>116.48461999999999</v>
      </c>
    </row>
    <row r="28" spans="1:23" ht="21">
      <c r="A28" s="13" t="s">
        <v>12</v>
      </c>
      <c r="B28" s="17" t="s">
        <v>1734</v>
      </c>
      <c r="C28" s="17" t="s">
        <v>2663</v>
      </c>
      <c r="D28" s="15" t="s">
        <v>1685</v>
      </c>
      <c r="E28" s="16">
        <v>51.458010999999999</v>
      </c>
      <c r="F28" s="16">
        <v>-2.6018520000000001</v>
      </c>
      <c r="G28" s="16">
        <v>0</v>
      </c>
      <c r="H28" s="19">
        <v>42958</v>
      </c>
      <c r="I28" s="14" t="s">
        <v>36</v>
      </c>
      <c r="J28" s="14" t="s">
        <v>219</v>
      </c>
      <c r="K28" s="13" t="s">
        <v>1687</v>
      </c>
      <c r="L28" s="15" t="s">
        <v>2563</v>
      </c>
      <c r="M28" s="15" t="s">
        <v>2814</v>
      </c>
      <c r="N28" s="13" t="s">
        <v>907</v>
      </c>
      <c r="O28" s="15" t="s">
        <v>907</v>
      </c>
      <c r="P28" s="13" t="s">
        <v>1722</v>
      </c>
      <c r="Q28" s="13" t="s">
        <v>917</v>
      </c>
      <c r="R28" s="24">
        <v>0.1103</v>
      </c>
      <c r="S28" s="18">
        <v>5.7000000000000002E-2</v>
      </c>
      <c r="T28" s="24">
        <f t="shared" si="0"/>
        <v>5.3299999999999993E-2</v>
      </c>
      <c r="U28" s="18">
        <v>6.7670000000000003</v>
      </c>
      <c r="V28" s="18">
        <v>20.152000000000001</v>
      </c>
      <c r="W28">
        <f t="shared" si="1"/>
        <v>136.36858400000003</v>
      </c>
    </row>
    <row r="29" spans="1:23" ht="21">
      <c r="A29" s="13" t="s">
        <v>12</v>
      </c>
      <c r="B29" s="17" t="s">
        <v>1735</v>
      </c>
      <c r="C29" s="17" t="s">
        <v>2663</v>
      </c>
      <c r="D29" s="15" t="s">
        <v>1685</v>
      </c>
      <c r="E29" s="16">
        <v>51.457596000000002</v>
      </c>
      <c r="F29" s="16">
        <v>-2.601337</v>
      </c>
      <c r="G29" s="16">
        <v>0</v>
      </c>
      <c r="H29" s="19">
        <v>42958</v>
      </c>
      <c r="I29" s="14" t="s">
        <v>36</v>
      </c>
      <c r="J29" s="14" t="s">
        <v>219</v>
      </c>
      <c r="K29" s="13" t="s">
        <v>1687</v>
      </c>
      <c r="L29" s="15" t="s">
        <v>2563</v>
      </c>
      <c r="M29" s="15" t="s">
        <v>2814</v>
      </c>
      <c r="N29" s="13" t="s">
        <v>907</v>
      </c>
      <c r="O29" s="15" t="s">
        <v>907</v>
      </c>
      <c r="P29" s="13" t="s">
        <v>1722</v>
      </c>
      <c r="Q29" s="13" t="s">
        <v>917</v>
      </c>
      <c r="R29" s="24">
        <v>0.16589999999999999</v>
      </c>
      <c r="S29" s="18">
        <v>0.06</v>
      </c>
      <c r="T29" s="24">
        <f t="shared" si="0"/>
        <v>0.10589999999999999</v>
      </c>
      <c r="U29" s="18">
        <v>8.1760000000000002</v>
      </c>
      <c r="V29" s="18">
        <v>24.164000000000001</v>
      </c>
      <c r="W29">
        <f t="shared" si="1"/>
        <v>197.56486400000003</v>
      </c>
    </row>
    <row r="30" spans="1:23" ht="21">
      <c r="A30" s="13" t="s">
        <v>12</v>
      </c>
      <c r="B30" s="17" t="s">
        <v>1736</v>
      </c>
      <c r="C30" s="17" t="s">
        <v>2663</v>
      </c>
      <c r="D30" s="15" t="s">
        <v>1685</v>
      </c>
      <c r="E30" s="16">
        <v>51.458010999999999</v>
      </c>
      <c r="F30" s="16">
        <v>-2.6018520000000001</v>
      </c>
      <c r="G30" s="16">
        <v>0</v>
      </c>
      <c r="H30" s="19">
        <v>42958</v>
      </c>
      <c r="I30" s="14" t="s">
        <v>36</v>
      </c>
      <c r="J30" s="14" t="s">
        <v>219</v>
      </c>
      <c r="K30" s="13" t="s">
        <v>1687</v>
      </c>
      <c r="L30" s="15" t="s">
        <v>2563</v>
      </c>
      <c r="M30" s="15" t="s">
        <v>2814</v>
      </c>
      <c r="N30" s="13" t="s">
        <v>907</v>
      </c>
      <c r="O30" s="15" t="s">
        <v>907</v>
      </c>
      <c r="P30" s="13" t="s">
        <v>1722</v>
      </c>
      <c r="Q30" s="13" t="s">
        <v>917</v>
      </c>
      <c r="R30" s="24">
        <v>0.125</v>
      </c>
      <c r="S30" s="18">
        <v>5.8000000000000003E-2</v>
      </c>
      <c r="T30" s="24">
        <f t="shared" si="0"/>
        <v>6.7000000000000004E-2</v>
      </c>
      <c r="U30" s="18">
        <v>7.3689999999999998</v>
      </c>
      <c r="V30" s="18">
        <v>23.309000000000001</v>
      </c>
      <c r="W30">
        <f t="shared" si="1"/>
        <v>171.76402100000001</v>
      </c>
    </row>
    <row r="31" spans="1:23" ht="21">
      <c r="A31" s="13" t="s">
        <v>12</v>
      </c>
      <c r="B31" s="17" t="s">
        <v>1737</v>
      </c>
      <c r="C31" s="17" t="s">
        <v>2663</v>
      </c>
      <c r="D31" s="15" t="s">
        <v>1685</v>
      </c>
      <c r="E31" s="16">
        <v>51.458010999999999</v>
      </c>
      <c r="F31" s="16">
        <v>-2.6018520000000001</v>
      </c>
      <c r="G31" s="16">
        <v>0</v>
      </c>
      <c r="H31" s="19">
        <v>42958</v>
      </c>
      <c r="I31" s="14" t="s">
        <v>36</v>
      </c>
      <c r="J31" s="14" t="s">
        <v>219</v>
      </c>
      <c r="K31" s="13" t="s">
        <v>1687</v>
      </c>
      <c r="L31" s="15" t="s">
        <v>2563</v>
      </c>
      <c r="M31" s="15" t="s">
        <v>2814</v>
      </c>
      <c r="N31" s="13" t="s">
        <v>907</v>
      </c>
      <c r="O31" s="15" t="s">
        <v>907</v>
      </c>
      <c r="P31" s="13" t="s">
        <v>1722</v>
      </c>
      <c r="Q31" s="13" t="s">
        <v>917</v>
      </c>
      <c r="R31" s="24">
        <v>0.156</v>
      </c>
      <c r="S31" s="18">
        <v>0.06</v>
      </c>
      <c r="T31" s="24">
        <f t="shared" si="0"/>
        <v>9.6000000000000002E-2</v>
      </c>
      <c r="U31" s="18">
        <v>8.1820000000000004</v>
      </c>
      <c r="V31" s="18">
        <v>23.908000000000001</v>
      </c>
      <c r="W31">
        <f t="shared" si="1"/>
        <v>195.61525600000002</v>
      </c>
    </row>
    <row r="32" spans="1:23" ht="21">
      <c r="A32" s="13" t="s">
        <v>12</v>
      </c>
      <c r="B32" s="17" t="s">
        <v>1693</v>
      </c>
      <c r="C32" s="17" t="s">
        <v>2663</v>
      </c>
      <c r="D32" s="15" t="s">
        <v>1685</v>
      </c>
      <c r="E32" s="16">
        <v>51.457596000000002</v>
      </c>
      <c r="F32" s="16">
        <v>-2.601337</v>
      </c>
      <c r="G32" s="16">
        <v>0</v>
      </c>
      <c r="H32" s="19">
        <v>42958</v>
      </c>
      <c r="I32" s="14" t="s">
        <v>36</v>
      </c>
      <c r="J32" s="14" t="s">
        <v>219</v>
      </c>
      <c r="K32" s="13" t="s">
        <v>1687</v>
      </c>
      <c r="L32" s="15" t="s">
        <v>2563</v>
      </c>
      <c r="M32" s="15" t="s">
        <v>2814</v>
      </c>
      <c r="N32" s="13" t="s">
        <v>907</v>
      </c>
      <c r="O32" s="15" t="s">
        <v>3187</v>
      </c>
      <c r="P32" s="13" t="s">
        <v>1688</v>
      </c>
      <c r="Q32" s="13" t="s">
        <v>946</v>
      </c>
      <c r="R32" s="24">
        <v>0.105</v>
      </c>
      <c r="S32" s="18">
        <v>0.06</v>
      </c>
      <c r="T32" s="24">
        <f t="shared" si="0"/>
        <v>4.4999999999999998E-2</v>
      </c>
      <c r="U32" s="18">
        <v>5.9930000000000003</v>
      </c>
      <c r="V32" s="18">
        <v>20.747</v>
      </c>
      <c r="W32">
        <f t="shared" si="1"/>
        <v>124.33677100000001</v>
      </c>
    </row>
    <row r="33" spans="1:23" ht="21">
      <c r="A33" s="13" t="s">
        <v>12</v>
      </c>
      <c r="B33" s="17" t="s">
        <v>1707</v>
      </c>
      <c r="C33" s="17" t="s">
        <v>2663</v>
      </c>
      <c r="D33" s="15" t="s">
        <v>1685</v>
      </c>
      <c r="E33" s="16">
        <v>51.458010999999999</v>
      </c>
      <c r="F33" s="16">
        <v>-2.6018520000000001</v>
      </c>
      <c r="G33" s="16">
        <v>0</v>
      </c>
      <c r="H33" s="19">
        <v>42958</v>
      </c>
      <c r="I33" s="14" t="s">
        <v>36</v>
      </c>
      <c r="J33" s="14" t="s">
        <v>219</v>
      </c>
      <c r="K33" s="13" t="s">
        <v>1687</v>
      </c>
      <c r="L33" s="15" t="s">
        <v>2563</v>
      </c>
      <c r="M33" s="15" t="s">
        <v>2814</v>
      </c>
      <c r="N33" s="13" t="s">
        <v>907</v>
      </c>
      <c r="O33" s="13" t="s">
        <v>907</v>
      </c>
      <c r="P33" s="13" t="s">
        <v>1705</v>
      </c>
      <c r="Q33" s="13" t="s">
        <v>946</v>
      </c>
      <c r="R33" s="24">
        <v>0.11940000000000001</v>
      </c>
      <c r="S33" s="18">
        <v>5.8000000000000003E-2</v>
      </c>
      <c r="T33" s="24">
        <f t="shared" si="0"/>
        <v>6.1400000000000003E-2</v>
      </c>
      <c r="U33" s="18">
        <v>6.8109999999999999</v>
      </c>
      <c r="V33" s="18">
        <v>22.384999999999998</v>
      </c>
      <c r="W33">
        <f t="shared" si="1"/>
        <v>152.46423499999997</v>
      </c>
    </row>
    <row r="34" spans="1:23" ht="21">
      <c r="A34" s="13" t="s">
        <v>12</v>
      </c>
      <c r="B34" s="17" t="s">
        <v>1709</v>
      </c>
      <c r="C34" s="17" t="s">
        <v>2663</v>
      </c>
      <c r="D34" s="15" t="s">
        <v>1685</v>
      </c>
      <c r="E34" s="16">
        <v>51.458010999999999</v>
      </c>
      <c r="F34" s="16">
        <v>-2.6018520000000001</v>
      </c>
      <c r="G34" s="16">
        <v>0</v>
      </c>
      <c r="H34" s="19">
        <v>42958</v>
      </c>
      <c r="I34" s="14" t="s">
        <v>36</v>
      </c>
      <c r="J34" s="14" t="s">
        <v>219</v>
      </c>
      <c r="K34" s="13" t="s">
        <v>1687</v>
      </c>
      <c r="L34" s="15" t="s">
        <v>2563</v>
      </c>
      <c r="M34" s="15" t="s">
        <v>2814</v>
      </c>
      <c r="N34" s="13" t="s">
        <v>907</v>
      </c>
      <c r="O34" s="13" t="s">
        <v>3188</v>
      </c>
      <c r="P34" s="13" t="s">
        <v>1710</v>
      </c>
      <c r="Q34" s="13" t="s">
        <v>946</v>
      </c>
      <c r="R34" s="24">
        <v>8.72E-2</v>
      </c>
      <c r="S34" s="18">
        <v>0.06</v>
      </c>
      <c r="T34" s="24">
        <f t="shared" ref="T34:T47" si="2">R34-S34</f>
        <v>2.7200000000000002E-2</v>
      </c>
      <c r="U34" s="18">
        <v>5.0940000000000003</v>
      </c>
      <c r="V34" s="18">
        <v>14.888</v>
      </c>
      <c r="W34">
        <f t="shared" si="1"/>
        <v>75.839472000000001</v>
      </c>
    </row>
    <row r="35" spans="1:23" ht="21">
      <c r="A35" s="13" t="s">
        <v>12</v>
      </c>
      <c r="B35" s="17" t="s">
        <v>1713</v>
      </c>
      <c r="C35" s="17" t="s">
        <v>2663</v>
      </c>
      <c r="D35" s="15" t="s">
        <v>1685</v>
      </c>
      <c r="E35" s="16">
        <v>51.457596000000002</v>
      </c>
      <c r="F35" s="16">
        <v>-2.601337</v>
      </c>
      <c r="G35" s="16">
        <v>0</v>
      </c>
      <c r="H35" s="19">
        <v>42958</v>
      </c>
      <c r="I35" s="14" t="s">
        <v>36</v>
      </c>
      <c r="J35" s="14" t="s">
        <v>219</v>
      </c>
      <c r="K35" s="13" t="s">
        <v>1687</v>
      </c>
      <c r="L35" s="15" t="s">
        <v>2563</v>
      </c>
      <c r="M35" s="15" t="s">
        <v>2814</v>
      </c>
      <c r="N35" s="13" t="s">
        <v>907</v>
      </c>
      <c r="O35" s="13" t="s">
        <v>3188</v>
      </c>
      <c r="P35" s="13" t="s">
        <v>1710</v>
      </c>
      <c r="Q35" s="13" t="s">
        <v>917</v>
      </c>
      <c r="R35" s="24">
        <v>9.0300000000000005E-2</v>
      </c>
      <c r="S35" s="18">
        <v>5.8999999999999997E-2</v>
      </c>
      <c r="T35" s="24">
        <f t="shared" si="2"/>
        <v>3.1300000000000008E-2</v>
      </c>
      <c r="U35" s="18">
        <v>5.1909999999999998</v>
      </c>
      <c r="V35" s="18">
        <v>15.617000000000001</v>
      </c>
      <c r="W35">
        <f t="shared" si="1"/>
        <v>81.067847</v>
      </c>
    </row>
    <row r="36" spans="1:23" ht="21">
      <c r="A36" s="13" t="s">
        <v>12</v>
      </c>
      <c r="B36" s="17" t="s">
        <v>1714</v>
      </c>
      <c r="C36" s="17" t="s">
        <v>2663</v>
      </c>
      <c r="D36" s="15" t="s">
        <v>1685</v>
      </c>
      <c r="E36" s="16">
        <v>51.457596000000002</v>
      </c>
      <c r="F36" s="16">
        <v>-2.601337</v>
      </c>
      <c r="G36" s="16">
        <v>0</v>
      </c>
      <c r="H36" s="19">
        <v>42958</v>
      </c>
      <c r="I36" s="14" t="s">
        <v>36</v>
      </c>
      <c r="J36" s="14" t="s">
        <v>219</v>
      </c>
      <c r="K36" s="13" t="s">
        <v>1687</v>
      </c>
      <c r="L36" s="15" t="s">
        <v>2563</v>
      </c>
      <c r="M36" s="15" t="s">
        <v>2814</v>
      </c>
      <c r="N36" s="13" t="s">
        <v>907</v>
      </c>
      <c r="O36" s="13" t="s">
        <v>3188</v>
      </c>
      <c r="P36" s="13" t="s">
        <v>1710</v>
      </c>
      <c r="Q36" s="13" t="s">
        <v>917</v>
      </c>
      <c r="R36" s="24">
        <v>9.8599999999999993E-2</v>
      </c>
      <c r="S36" s="18">
        <v>0.06</v>
      </c>
      <c r="T36" s="24">
        <f t="shared" si="2"/>
        <v>3.8599999999999995E-2</v>
      </c>
      <c r="U36" s="18">
        <v>5.383</v>
      </c>
      <c r="V36" s="18">
        <v>17.939</v>
      </c>
      <c r="W36">
        <f t="shared" si="1"/>
        <v>96.565636999999995</v>
      </c>
    </row>
    <row r="37" spans="1:23" ht="21">
      <c r="A37" s="13" t="s">
        <v>12</v>
      </c>
      <c r="B37" s="17" t="s">
        <v>1704</v>
      </c>
      <c r="C37" s="17" t="s">
        <v>2663</v>
      </c>
      <c r="D37" s="15" t="s">
        <v>1685</v>
      </c>
      <c r="E37" s="16">
        <v>51.457596000000002</v>
      </c>
      <c r="F37" s="16">
        <v>-2.601337</v>
      </c>
      <c r="G37" s="16">
        <v>0</v>
      </c>
      <c r="H37" s="19">
        <v>42958</v>
      </c>
      <c r="I37" s="14" t="s">
        <v>36</v>
      </c>
      <c r="J37" s="14" t="s">
        <v>219</v>
      </c>
      <c r="K37" s="13" t="s">
        <v>1687</v>
      </c>
      <c r="L37" s="15" t="s">
        <v>2563</v>
      </c>
      <c r="M37" s="15" t="s">
        <v>2814</v>
      </c>
      <c r="N37" s="13" t="s">
        <v>907</v>
      </c>
      <c r="O37" s="13" t="s">
        <v>907</v>
      </c>
      <c r="P37" s="13" t="s">
        <v>1705</v>
      </c>
      <c r="Q37" s="13" t="s">
        <v>946</v>
      </c>
      <c r="R37" s="24">
        <v>0.11650000000000001</v>
      </c>
      <c r="S37" s="18">
        <v>5.8999999999999997E-2</v>
      </c>
      <c r="T37" s="24">
        <f t="shared" si="2"/>
        <v>5.7500000000000009E-2</v>
      </c>
      <c r="U37" s="18">
        <v>7.63</v>
      </c>
      <c r="V37" s="18">
        <v>23.152000000000001</v>
      </c>
      <c r="W37">
        <f t="shared" si="1"/>
        <v>176.64976000000001</v>
      </c>
    </row>
    <row r="38" spans="1:23" ht="21">
      <c r="A38" s="13" t="s">
        <v>12</v>
      </c>
      <c r="B38" s="17" t="s">
        <v>1706</v>
      </c>
      <c r="C38" s="17" t="s">
        <v>2663</v>
      </c>
      <c r="D38" s="15" t="s">
        <v>1685</v>
      </c>
      <c r="E38" s="16">
        <v>51.457596000000002</v>
      </c>
      <c r="F38" s="16">
        <v>-2.601337</v>
      </c>
      <c r="G38" s="16">
        <v>0</v>
      </c>
      <c r="H38" s="19">
        <v>42958</v>
      </c>
      <c r="I38" s="14" t="s">
        <v>36</v>
      </c>
      <c r="J38" s="14" t="s">
        <v>219</v>
      </c>
      <c r="K38" s="13" t="s">
        <v>1687</v>
      </c>
      <c r="L38" s="15" t="s">
        <v>2563</v>
      </c>
      <c r="M38" s="15" t="s">
        <v>2814</v>
      </c>
      <c r="N38" s="13" t="s">
        <v>907</v>
      </c>
      <c r="O38" s="13" t="s">
        <v>907</v>
      </c>
      <c r="P38" s="13" t="s">
        <v>1705</v>
      </c>
      <c r="Q38" s="13" t="s">
        <v>946</v>
      </c>
      <c r="R38" s="24">
        <v>0.11509999999999999</v>
      </c>
      <c r="S38" s="18">
        <v>5.8999999999999997E-2</v>
      </c>
      <c r="T38" s="24">
        <f t="shared" si="2"/>
        <v>5.6099999999999997E-2</v>
      </c>
      <c r="U38" s="18">
        <v>7.37</v>
      </c>
      <c r="V38" s="18">
        <v>22.554000000000002</v>
      </c>
      <c r="W38">
        <f t="shared" si="1"/>
        <v>166.22298000000001</v>
      </c>
    </row>
    <row r="39" spans="1:23" ht="21">
      <c r="A39" s="13" t="s">
        <v>12</v>
      </c>
      <c r="B39" s="17" t="s">
        <v>1708</v>
      </c>
      <c r="C39" s="17" t="s">
        <v>2663</v>
      </c>
      <c r="D39" s="13" t="s">
        <v>1694</v>
      </c>
      <c r="E39" s="13">
        <v>51.479655999999999</v>
      </c>
      <c r="F39" s="13">
        <v>-2.6235019999999998</v>
      </c>
      <c r="G39" s="16">
        <v>0</v>
      </c>
      <c r="H39" s="19">
        <v>42962</v>
      </c>
      <c r="I39" s="14" t="s">
        <v>36</v>
      </c>
      <c r="J39" s="14" t="s">
        <v>219</v>
      </c>
      <c r="K39" s="13" t="s">
        <v>1687</v>
      </c>
      <c r="L39" s="15" t="s">
        <v>2563</v>
      </c>
      <c r="M39" s="15" t="s">
        <v>2814</v>
      </c>
      <c r="N39" s="13" t="s">
        <v>907</v>
      </c>
      <c r="O39" s="13" t="s">
        <v>907</v>
      </c>
      <c r="P39" s="13" t="s">
        <v>1705</v>
      </c>
      <c r="Q39" s="13" t="s">
        <v>946</v>
      </c>
      <c r="R39" s="24">
        <v>0.1234</v>
      </c>
      <c r="S39" s="18">
        <v>5.8999999999999997E-2</v>
      </c>
      <c r="T39" s="24">
        <f t="shared" si="2"/>
        <v>6.4399999999999999E-2</v>
      </c>
      <c r="U39" s="18">
        <v>7.335</v>
      </c>
      <c r="V39" s="18">
        <v>23.277000000000001</v>
      </c>
      <c r="W39">
        <f t="shared" si="1"/>
        <v>170.736795</v>
      </c>
    </row>
    <row r="40" spans="1:23" ht="21">
      <c r="A40" s="13" t="s">
        <v>12</v>
      </c>
      <c r="B40" s="17" t="s">
        <v>1711</v>
      </c>
      <c r="C40" s="17" t="s">
        <v>2663</v>
      </c>
      <c r="D40" s="13" t="s">
        <v>1694</v>
      </c>
      <c r="E40" s="13">
        <v>51.479655999999999</v>
      </c>
      <c r="F40" s="13">
        <v>-2.6235019999999998</v>
      </c>
      <c r="G40" s="16">
        <v>0</v>
      </c>
      <c r="H40" s="19">
        <v>42962</v>
      </c>
      <c r="I40" s="14" t="s">
        <v>36</v>
      </c>
      <c r="J40" s="14" t="s">
        <v>219</v>
      </c>
      <c r="K40" s="13" t="s">
        <v>1687</v>
      </c>
      <c r="L40" s="15" t="s">
        <v>2563</v>
      </c>
      <c r="M40" s="15" t="s">
        <v>2814</v>
      </c>
      <c r="N40" s="13" t="s">
        <v>907</v>
      </c>
      <c r="O40" s="13" t="s">
        <v>3188</v>
      </c>
      <c r="P40" s="13" t="s">
        <v>1710</v>
      </c>
      <c r="Q40" s="13" t="s">
        <v>946</v>
      </c>
      <c r="R40" s="24">
        <v>0.1043</v>
      </c>
      <c r="S40" s="18">
        <v>5.8999999999999997E-2</v>
      </c>
      <c r="T40" s="24">
        <f t="shared" si="2"/>
        <v>4.5300000000000007E-2</v>
      </c>
      <c r="U40" s="18">
        <v>5.9109999999999996</v>
      </c>
      <c r="V40" s="18">
        <v>16.337</v>
      </c>
      <c r="W40">
        <f t="shared" si="1"/>
        <v>96.568006999999994</v>
      </c>
    </row>
    <row r="41" spans="1:23" ht="21">
      <c r="A41" s="13" t="s">
        <v>12</v>
      </c>
      <c r="B41" s="17" t="s">
        <v>1715</v>
      </c>
      <c r="C41" s="17" t="s">
        <v>2663</v>
      </c>
      <c r="D41" s="13" t="s">
        <v>1694</v>
      </c>
      <c r="E41" s="13">
        <v>51.479655999999999</v>
      </c>
      <c r="F41" s="13">
        <v>-2.6235019999999998</v>
      </c>
      <c r="G41" s="16">
        <v>0</v>
      </c>
      <c r="H41" s="19">
        <v>42962</v>
      </c>
      <c r="I41" s="14" t="s">
        <v>36</v>
      </c>
      <c r="J41" s="14" t="s">
        <v>219</v>
      </c>
      <c r="K41" s="13" t="s">
        <v>1687</v>
      </c>
      <c r="L41" s="15" t="s">
        <v>2563</v>
      </c>
      <c r="M41" s="15" t="s">
        <v>2814</v>
      </c>
      <c r="N41" s="13" t="s">
        <v>907</v>
      </c>
      <c r="O41" s="13" t="s">
        <v>3188</v>
      </c>
      <c r="P41" s="13" t="s">
        <v>1710</v>
      </c>
      <c r="Q41" s="13" t="s">
        <v>917</v>
      </c>
      <c r="R41" s="24">
        <v>9.9400000000000002E-2</v>
      </c>
      <c r="S41" s="18">
        <v>5.8999999999999997E-2</v>
      </c>
      <c r="T41" s="24">
        <f t="shared" si="2"/>
        <v>4.0400000000000005E-2</v>
      </c>
      <c r="U41" s="18">
        <v>5.4720000000000004</v>
      </c>
      <c r="V41" s="18">
        <v>18.22</v>
      </c>
      <c r="W41">
        <f t="shared" si="1"/>
        <v>99.699839999999995</v>
      </c>
    </row>
    <row r="42" spans="1:23" ht="21">
      <c r="A42" s="13" t="s">
        <v>12</v>
      </c>
      <c r="B42" s="17" t="s">
        <v>1716</v>
      </c>
      <c r="C42" s="17" t="s">
        <v>2663</v>
      </c>
      <c r="D42" s="13" t="s">
        <v>1694</v>
      </c>
      <c r="E42" s="13">
        <v>51.479655999999999</v>
      </c>
      <c r="F42" s="13">
        <v>-2.6235019999999998</v>
      </c>
      <c r="G42" s="16">
        <v>0</v>
      </c>
      <c r="H42" s="19">
        <v>42962</v>
      </c>
      <c r="I42" s="14" t="s">
        <v>36</v>
      </c>
      <c r="J42" s="14" t="s">
        <v>219</v>
      </c>
      <c r="K42" s="13" t="s">
        <v>1687</v>
      </c>
      <c r="L42" s="15" t="s">
        <v>2563</v>
      </c>
      <c r="M42" s="15" t="s">
        <v>2814</v>
      </c>
      <c r="N42" s="13" t="s">
        <v>907</v>
      </c>
      <c r="O42" s="13" t="s">
        <v>3188</v>
      </c>
      <c r="P42" s="13" t="s">
        <v>1710</v>
      </c>
      <c r="Q42" s="13" t="s">
        <v>917</v>
      </c>
      <c r="R42" s="24">
        <v>0.1361</v>
      </c>
      <c r="S42" s="18">
        <v>0.06</v>
      </c>
      <c r="T42" s="24">
        <f t="shared" si="2"/>
        <v>7.6100000000000001E-2</v>
      </c>
      <c r="U42" s="18">
        <v>7.1239999999999997</v>
      </c>
      <c r="V42" s="18">
        <v>23.716999999999999</v>
      </c>
      <c r="W42">
        <f t="shared" si="1"/>
        <v>168.95990799999998</v>
      </c>
    </row>
    <row r="43" spans="1:23" ht="21">
      <c r="A43" s="13" t="s">
        <v>12</v>
      </c>
      <c r="B43" s="17" t="s">
        <v>1717</v>
      </c>
      <c r="C43" s="17" t="s">
        <v>2663</v>
      </c>
      <c r="D43" s="13" t="s">
        <v>1694</v>
      </c>
      <c r="E43" s="13">
        <v>51.479655999999999</v>
      </c>
      <c r="F43" s="13">
        <v>-2.6235019999999998</v>
      </c>
      <c r="G43" s="16">
        <v>0</v>
      </c>
      <c r="H43" s="19">
        <v>42962</v>
      </c>
      <c r="I43" s="14" t="s">
        <v>36</v>
      </c>
      <c r="J43" s="14" t="s">
        <v>219</v>
      </c>
      <c r="K43" s="13" t="s">
        <v>1687</v>
      </c>
      <c r="L43" s="15" t="s">
        <v>2563</v>
      </c>
      <c r="M43" s="15" t="s">
        <v>2814</v>
      </c>
      <c r="N43" s="13" t="s">
        <v>907</v>
      </c>
      <c r="O43" s="13" t="s">
        <v>3188</v>
      </c>
      <c r="P43" s="13" t="s">
        <v>1710</v>
      </c>
      <c r="Q43" s="13" t="s">
        <v>917</v>
      </c>
      <c r="R43" s="24">
        <v>9.2100000000000001E-2</v>
      </c>
      <c r="S43" s="18">
        <v>5.7000000000000002E-2</v>
      </c>
      <c r="T43" s="24">
        <f t="shared" si="2"/>
        <v>3.5099999999999999E-2</v>
      </c>
      <c r="U43" s="18">
        <v>5.3920000000000003</v>
      </c>
      <c r="V43" s="18">
        <v>15.608000000000001</v>
      </c>
      <c r="W43">
        <f t="shared" si="1"/>
        <v>84.158336000000006</v>
      </c>
    </row>
    <row r="44" spans="1:23" ht="21">
      <c r="A44" s="13" t="s">
        <v>12</v>
      </c>
      <c r="B44" s="17" t="s">
        <v>1718</v>
      </c>
      <c r="C44" s="17" t="s">
        <v>2663</v>
      </c>
      <c r="D44" s="13" t="s">
        <v>1694</v>
      </c>
      <c r="E44" s="13">
        <v>51.479655999999999</v>
      </c>
      <c r="F44" s="13">
        <v>-2.6235019999999998</v>
      </c>
      <c r="G44" s="16">
        <v>0</v>
      </c>
      <c r="H44" s="19">
        <v>42962</v>
      </c>
      <c r="I44" s="14" t="s">
        <v>36</v>
      </c>
      <c r="J44" s="14" t="s">
        <v>219</v>
      </c>
      <c r="K44" s="13" t="s">
        <v>1687</v>
      </c>
      <c r="L44" s="15" t="s">
        <v>2563</v>
      </c>
      <c r="M44" s="15" t="s">
        <v>2814</v>
      </c>
      <c r="N44" s="13" t="s">
        <v>907</v>
      </c>
      <c r="O44" s="13" t="s">
        <v>3188</v>
      </c>
      <c r="P44" s="13" t="s">
        <v>1710</v>
      </c>
      <c r="Q44" s="13" t="s">
        <v>917</v>
      </c>
      <c r="R44" s="24">
        <v>9.3899999999999997E-2</v>
      </c>
      <c r="S44" s="18">
        <v>5.8999999999999997E-2</v>
      </c>
      <c r="T44" s="24">
        <f t="shared" si="2"/>
        <v>3.49E-2</v>
      </c>
      <c r="U44" s="18">
        <v>4.859</v>
      </c>
      <c r="V44" s="18">
        <v>16.86</v>
      </c>
      <c r="W44">
        <f t="shared" si="1"/>
        <v>81.92273999999999</v>
      </c>
    </row>
    <row r="45" spans="1:23" ht="21">
      <c r="A45" s="13" t="s">
        <v>12</v>
      </c>
      <c r="B45" s="17" t="s">
        <v>1719</v>
      </c>
      <c r="C45" s="17" t="s">
        <v>2663</v>
      </c>
      <c r="D45" s="13" t="s">
        <v>1694</v>
      </c>
      <c r="E45" s="13">
        <v>51.479655999999999</v>
      </c>
      <c r="F45" s="13">
        <v>-2.6235019999999998</v>
      </c>
      <c r="G45" s="16">
        <v>0</v>
      </c>
      <c r="H45" s="19">
        <v>42962</v>
      </c>
      <c r="I45" s="14" t="s">
        <v>36</v>
      </c>
      <c r="J45" s="14" t="s">
        <v>219</v>
      </c>
      <c r="K45" s="13" t="s">
        <v>1687</v>
      </c>
      <c r="L45" s="15" t="s">
        <v>2563</v>
      </c>
      <c r="M45" s="15" t="s">
        <v>2814</v>
      </c>
      <c r="N45" s="13" t="s">
        <v>907</v>
      </c>
      <c r="O45" s="13" t="s">
        <v>3188</v>
      </c>
      <c r="P45" s="13" t="s">
        <v>1710</v>
      </c>
      <c r="Q45" s="13" t="s">
        <v>917</v>
      </c>
      <c r="R45" s="24">
        <v>0.1132</v>
      </c>
      <c r="S45" s="18">
        <v>5.8999999999999997E-2</v>
      </c>
      <c r="T45" s="24">
        <f t="shared" si="2"/>
        <v>5.4199999999999998E-2</v>
      </c>
      <c r="U45" s="18">
        <v>6.0250000000000004</v>
      </c>
      <c r="V45" s="18">
        <v>19.184000000000001</v>
      </c>
      <c r="W45">
        <f t="shared" si="1"/>
        <v>115.58360000000002</v>
      </c>
    </row>
    <row r="46" spans="1:23" ht="21">
      <c r="A46" s="13" t="s">
        <v>12</v>
      </c>
      <c r="B46" s="17" t="s">
        <v>1720</v>
      </c>
      <c r="C46" s="17" t="s">
        <v>2663</v>
      </c>
      <c r="D46" s="13" t="s">
        <v>1694</v>
      </c>
      <c r="E46" s="13">
        <v>51.479655999999999</v>
      </c>
      <c r="F46" s="13">
        <v>-2.6235019999999998</v>
      </c>
      <c r="G46" s="16">
        <v>0</v>
      </c>
      <c r="H46" s="19">
        <v>42962</v>
      </c>
      <c r="I46" s="14" t="s">
        <v>36</v>
      </c>
      <c r="J46" s="14" t="s">
        <v>219</v>
      </c>
      <c r="K46" s="13" t="s">
        <v>1687</v>
      </c>
      <c r="L46" s="15" t="s">
        <v>2563</v>
      </c>
      <c r="M46" s="15" t="s">
        <v>2814</v>
      </c>
      <c r="N46" s="13" t="s">
        <v>907</v>
      </c>
      <c r="O46" s="13" t="s">
        <v>3188</v>
      </c>
      <c r="P46" s="13" t="s">
        <v>1710</v>
      </c>
      <c r="Q46" s="13" t="s">
        <v>917</v>
      </c>
      <c r="R46" s="24">
        <v>0.1036</v>
      </c>
      <c r="S46" s="18">
        <v>0.06</v>
      </c>
      <c r="T46" s="24">
        <f t="shared" si="2"/>
        <v>4.36E-2</v>
      </c>
      <c r="U46" s="18">
        <v>5.5330000000000004</v>
      </c>
      <c r="V46" s="18">
        <v>17.664000000000001</v>
      </c>
      <c r="W46">
        <f t="shared" si="1"/>
        <v>97.734912000000008</v>
      </c>
    </row>
    <row r="47" spans="1:23" ht="21">
      <c r="A47" s="13" t="s">
        <v>12</v>
      </c>
      <c r="B47" s="17" t="s">
        <v>1695</v>
      </c>
      <c r="C47" s="17" t="s">
        <v>2663</v>
      </c>
      <c r="D47" s="13" t="s">
        <v>1694</v>
      </c>
      <c r="E47" s="13">
        <v>51.479655999999999</v>
      </c>
      <c r="F47" s="13">
        <v>-2.6235019999999998</v>
      </c>
      <c r="G47" s="16">
        <v>0</v>
      </c>
      <c r="H47" s="19">
        <v>42962</v>
      </c>
      <c r="I47" s="14" t="s">
        <v>36</v>
      </c>
      <c r="J47" s="14" t="s">
        <v>219</v>
      </c>
      <c r="K47" s="13" t="s">
        <v>1687</v>
      </c>
      <c r="L47" s="15" t="s">
        <v>2563</v>
      </c>
      <c r="M47" s="15" t="s">
        <v>2814</v>
      </c>
      <c r="N47" s="13" t="s">
        <v>907</v>
      </c>
      <c r="O47" s="15" t="s">
        <v>3187</v>
      </c>
      <c r="P47" s="13" t="s">
        <v>1688</v>
      </c>
      <c r="Q47" s="13" t="s">
        <v>946</v>
      </c>
      <c r="R47" s="24">
        <v>0.1016</v>
      </c>
      <c r="S47" s="18">
        <v>5.8000000000000003E-2</v>
      </c>
      <c r="T47" s="24">
        <f t="shared" si="2"/>
        <v>4.3599999999999993E-2</v>
      </c>
      <c r="U47" s="18">
        <v>5.9870000000000001</v>
      </c>
      <c r="V47" s="18">
        <v>20.691000000000003</v>
      </c>
      <c r="W47">
        <f t="shared" si="1"/>
        <v>123.87701700000002</v>
      </c>
    </row>
    <row r="48" spans="1:23">
      <c r="E48" s="77"/>
      <c r="F48" s="78"/>
      <c r="H48" s="1"/>
      <c r="K48" s="4"/>
      <c r="N48" s="4"/>
      <c r="O48" s="4"/>
      <c r="P48" s="4"/>
      <c r="Q48" s="4"/>
    </row>
    <row r="49" spans="5:17" ht="16">
      <c r="E49" s="77"/>
      <c r="F49" s="78"/>
      <c r="H49" s="75"/>
      <c r="I49" s="76"/>
      <c r="K49" s="4"/>
      <c r="N49" s="4"/>
      <c r="O49" s="4"/>
      <c r="P49" s="4"/>
      <c r="Q49" s="4"/>
    </row>
    <row r="50" spans="5:17" ht="16">
      <c r="E50" s="77"/>
      <c r="F50" s="78"/>
      <c r="H50" s="75"/>
      <c r="K50" s="4"/>
      <c r="N50" s="4"/>
      <c r="O50" s="4"/>
      <c r="P50" s="4"/>
      <c r="Q50" s="4"/>
    </row>
    <row r="51" spans="5:17" ht="16">
      <c r="E51" s="77"/>
      <c r="F51" s="78"/>
      <c r="H51" s="75"/>
      <c r="I51" s="76"/>
      <c r="K51" s="4"/>
      <c r="N51" s="4"/>
      <c r="O51" s="4"/>
      <c r="P51" s="4"/>
      <c r="Q51" s="4"/>
    </row>
    <row r="52" spans="5:17" ht="16">
      <c r="E52" s="77"/>
      <c r="F52" s="78"/>
      <c r="H52" s="75"/>
      <c r="I52" s="76"/>
    </row>
    <row r="53" spans="5:17" ht="16">
      <c r="E53" s="77"/>
      <c r="F53" s="78"/>
      <c r="H53" s="75"/>
      <c r="I53" s="76"/>
    </row>
    <row r="54" spans="5:17" ht="16">
      <c r="E54" s="77"/>
      <c r="F54" s="78"/>
      <c r="H54" s="75"/>
      <c r="I54" s="76"/>
    </row>
    <row r="55" spans="5:17" ht="16">
      <c r="E55" s="77"/>
      <c r="F55" s="78"/>
      <c r="H55" s="1"/>
      <c r="I55" s="76"/>
      <c r="K55" s="4"/>
      <c r="N55" s="4"/>
      <c r="O55" s="4"/>
      <c r="P55" s="4"/>
      <c r="Q55" s="4"/>
    </row>
    <row r="56" spans="5:17" ht="16">
      <c r="E56" s="77"/>
      <c r="F56" s="78"/>
      <c r="H56" s="75"/>
      <c r="I56" s="76"/>
    </row>
    <row r="57" spans="5:17" ht="16">
      <c r="E57" s="77"/>
      <c r="F57" s="78"/>
      <c r="H57" s="75"/>
      <c r="I57" s="76"/>
    </row>
    <row r="58" spans="5:17" ht="16">
      <c r="E58" s="77"/>
      <c r="F58" s="78"/>
      <c r="H58" s="1"/>
      <c r="I58" s="76"/>
    </row>
    <row r="59" spans="5:17" ht="16">
      <c r="E59" s="77"/>
      <c r="F59" s="78"/>
      <c r="H59" s="1"/>
      <c r="I59" s="76"/>
    </row>
    <row r="60" spans="5:17" ht="16">
      <c r="E60" s="77"/>
      <c r="F60" s="78"/>
      <c r="H60" s="75"/>
      <c r="I60" s="76"/>
      <c r="K60" s="4"/>
      <c r="N60" s="4"/>
      <c r="O60" s="4"/>
      <c r="P60" s="4"/>
      <c r="Q60" s="4"/>
    </row>
    <row r="61" spans="5:17" ht="16">
      <c r="E61" s="77"/>
      <c r="F61" s="78"/>
      <c r="H61" s="75"/>
      <c r="I61" s="76"/>
    </row>
    <row r="62" spans="5:17" ht="16">
      <c r="E62" s="77"/>
      <c r="F62" s="78"/>
      <c r="H62" s="75"/>
      <c r="I62" s="76"/>
    </row>
    <row r="63" spans="5:17" ht="16">
      <c r="E63" s="77"/>
      <c r="F63" s="78"/>
      <c r="H63" s="75"/>
      <c r="I63" s="76"/>
    </row>
    <row r="64" spans="5:17" ht="16">
      <c r="E64" s="77"/>
      <c r="F64" s="78"/>
      <c r="H64" s="75"/>
      <c r="I64" s="76"/>
    </row>
    <row r="65" spans="5:17" ht="16">
      <c r="E65" s="77"/>
      <c r="F65" s="78"/>
      <c r="H65" s="75"/>
      <c r="I65" s="76"/>
    </row>
    <row r="66" spans="5:17" ht="16">
      <c r="E66" s="77"/>
      <c r="F66" s="78"/>
      <c r="H66" s="75"/>
      <c r="I66" s="76"/>
      <c r="K66" s="4"/>
      <c r="N66" s="4"/>
      <c r="O66" s="4"/>
      <c r="P66" s="4"/>
      <c r="Q66" s="4"/>
    </row>
    <row r="67" spans="5:17" ht="16">
      <c r="E67" s="77"/>
      <c r="F67" s="78"/>
      <c r="H67" s="75"/>
      <c r="I67" s="76"/>
    </row>
    <row r="68" spans="5:17" ht="16">
      <c r="E68" s="77"/>
      <c r="F68" s="78"/>
      <c r="H68" s="75"/>
      <c r="I68" s="76"/>
    </row>
    <row r="69" spans="5:17" ht="16">
      <c r="E69" s="77"/>
      <c r="F69" s="78"/>
      <c r="H69" s="1"/>
      <c r="I69" s="76"/>
    </row>
    <row r="70" spans="5:17" ht="16">
      <c r="E70" s="77"/>
      <c r="F70" s="78"/>
      <c r="H70" s="75"/>
      <c r="I70" s="76"/>
    </row>
    <row r="71" spans="5:17" ht="16">
      <c r="E71" s="77"/>
      <c r="F71" s="78"/>
      <c r="H71" s="75"/>
      <c r="I71" s="76"/>
    </row>
    <row r="72" spans="5:17" ht="16">
      <c r="E72" s="77"/>
      <c r="F72" s="78"/>
      <c r="H72" s="1"/>
      <c r="I72" s="76"/>
    </row>
    <row r="73" spans="5:17" ht="16">
      <c r="E73" s="77"/>
      <c r="F73" s="78"/>
      <c r="H73" s="75"/>
      <c r="I73" s="76"/>
    </row>
    <row r="74" spans="5:17" ht="16">
      <c r="E74" s="77"/>
      <c r="F74" s="78"/>
      <c r="H74" s="75"/>
      <c r="I74" s="76"/>
    </row>
    <row r="75" spans="5:17" ht="16">
      <c r="E75" s="78"/>
      <c r="F75" s="78"/>
      <c r="H75" s="75"/>
      <c r="I75" s="76"/>
    </row>
    <row r="76" spans="5:17" ht="16">
      <c r="E76" s="78"/>
      <c r="F76" s="78"/>
      <c r="H76" s="1"/>
      <c r="I76" s="76"/>
    </row>
    <row r="77" spans="5:17" ht="16">
      <c r="E77" s="78"/>
      <c r="F77" s="78"/>
      <c r="H77" s="1"/>
      <c r="I77" s="76"/>
    </row>
    <row r="78" spans="5:17" ht="16">
      <c r="E78" s="78"/>
      <c r="F78" s="78"/>
      <c r="H78" s="1"/>
      <c r="I78" s="76"/>
    </row>
    <row r="79" spans="5:17" ht="16">
      <c r="E79" s="78"/>
      <c r="F79" s="78"/>
      <c r="H79" s="1"/>
      <c r="I79" s="76"/>
    </row>
    <row r="80" spans="5:17" ht="16">
      <c r="E80" s="78"/>
      <c r="F80" s="78"/>
      <c r="H80" s="1"/>
      <c r="I80" s="76"/>
    </row>
    <row r="81" spans="5:17" ht="16">
      <c r="E81" s="78"/>
      <c r="F81" s="78"/>
      <c r="H81" s="1"/>
      <c r="I81" s="76"/>
    </row>
    <row r="82" spans="5:17" ht="16">
      <c r="E82" s="78"/>
      <c r="F82" s="78"/>
      <c r="H82" s="1"/>
      <c r="I82" s="76"/>
    </row>
    <row r="83" spans="5:17" ht="16">
      <c r="E83" s="78"/>
      <c r="F83" s="78"/>
      <c r="H83" s="1"/>
      <c r="I83" s="76"/>
    </row>
    <row r="84" spans="5:17" ht="16">
      <c r="E84" s="78"/>
      <c r="F84" s="78"/>
      <c r="H84" s="1"/>
      <c r="I84" s="76"/>
    </row>
    <row r="85" spans="5:17" ht="16">
      <c r="E85" s="78"/>
      <c r="F85" s="78"/>
      <c r="H85" s="1"/>
      <c r="I85" s="76"/>
    </row>
    <row r="86" spans="5:17" ht="16">
      <c r="E86" s="78"/>
      <c r="F86" s="78"/>
      <c r="H86" s="1"/>
      <c r="I86" s="76"/>
      <c r="K86" s="4"/>
      <c r="N86" s="4"/>
      <c r="O86" s="4"/>
      <c r="P86" s="4"/>
      <c r="Q86" s="4"/>
    </row>
    <row r="87" spans="5:17" ht="16">
      <c r="E87" s="78"/>
      <c r="F87" s="78"/>
      <c r="H87" s="1"/>
      <c r="I87" s="76"/>
      <c r="K87" s="4"/>
      <c r="N87" s="4"/>
      <c r="O87" s="4"/>
      <c r="P87" s="4"/>
      <c r="Q87" s="4"/>
    </row>
    <row r="88" spans="5:17" ht="16">
      <c r="E88" s="78"/>
      <c r="F88" s="78"/>
      <c r="H88" s="1"/>
      <c r="I88" s="76"/>
    </row>
    <row r="89" spans="5:17" ht="16">
      <c r="E89" s="78"/>
      <c r="F89" s="78"/>
      <c r="H89" s="1"/>
      <c r="I89" s="76"/>
      <c r="K89" s="4"/>
      <c r="N89" s="4"/>
      <c r="O89" s="4"/>
      <c r="P89" s="4"/>
      <c r="Q89" s="4"/>
    </row>
    <row r="90" spans="5:17" ht="16">
      <c r="E90" s="78"/>
      <c r="F90" s="78"/>
      <c r="H90" s="1"/>
      <c r="I90" s="76"/>
    </row>
    <row r="91" spans="5:17" ht="16">
      <c r="E91" s="78"/>
      <c r="F91" s="78"/>
      <c r="H91" s="1"/>
      <c r="I91" s="76"/>
    </row>
    <row r="92" spans="5:17" ht="16">
      <c r="E92" s="78"/>
      <c r="F92" s="78"/>
      <c r="H92" s="1"/>
      <c r="I92" s="76"/>
    </row>
    <row r="93" spans="5:17" ht="16">
      <c r="E93" s="78"/>
      <c r="F93" s="78"/>
      <c r="H93" s="1"/>
      <c r="I93" s="76"/>
    </row>
    <row r="94" spans="5:17" ht="16">
      <c r="E94" s="78"/>
      <c r="F94" s="78"/>
      <c r="H94" s="1"/>
      <c r="I94" s="76"/>
    </row>
    <row r="95" spans="5:17" ht="16">
      <c r="E95" s="78"/>
      <c r="F95" s="78"/>
      <c r="H95" s="1"/>
      <c r="I95" s="76"/>
      <c r="K95" s="4"/>
      <c r="N95" s="4"/>
      <c r="O95" s="4"/>
      <c r="P95" s="4"/>
      <c r="Q95" s="4"/>
    </row>
    <row r="96" spans="5:17" ht="16">
      <c r="E96" s="78"/>
      <c r="F96" s="78"/>
      <c r="H96" s="1"/>
      <c r="I96" s="76"/>
    </row>
    <row r="97" spans="5:17" ht="16">
      <c r="E97" s="78"/>
      <c r="F97" s="78"/>
      <c r="H97" s="1"/>
      <c r="I97" s="76"/>
      <c r="K97" s="4"/>
      <c r="N97" s="4"/>
      <c r="O97" s="4"/>
      <c r="P97" s="4"/>
      <c r="Q97" s="4"/>
    </row>
    <row r="98" spans="5:17" ht="16">
      <c r="E98" s="78"/>
      <c r="F98" s="78"/>
      <c r="H98" s="1"/>
      <c r="I98" s="76"/>
    </row>
    <row r="99" spans="5:17" ht="16">
      <c r="E99" s="78"/>
      <c r="F99" s="78"/>
      <c r="H99" s="1"/>
      <c r="I99" s="76"/>
    </row>
  </sheetData>
  <conditionalFormatting sqref="T49">
    <cfRule type="cellIs" dxfId="102" priority="1" operator="lessThan">
      <formula>0</formula>
    </cfRule>
    <cfRule type="cellIs" dxfId="101" priority="2" operator="lessThan">
      <formula>0</formula>
    </cfRule>
  </conditionalFormatting>
  <conditionalFormatting sqref="U49:W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19"/>
  <sheetViews>
    <sheetView topLeftCell="A338" zoomScale="58" zoomScaleNormal="58" workbookViewId="0">
      <pane xSplit="1" topLeftCell="B1" activePane="topRight" state="frozen"/>
      <selection pane="topRight" activeCell="Q389" sqref="Q389"/>
    </sheetView>
  </sheetViews>
  <sheetFormatPr baseColWidth="10" defaultColWidth="8.83203125" defaultRowHeight="15"/>
  <cols>
    <col min="1" max="1" width="20.83203125" bestFit="1" customWidth="1"/>
    <col min="9" max="9" width="20.83203125" bestFit="1" customWidth="1"/>
    <col min="18" max="18" width="19.33203125" bestFit="1" customWidth="1"/>
  </cols>
  <sheetData>
    <row r="1" spans="1:17">
      <c r="A1" t="s">
        <v>407</v>
      </c>
      <c r="B1" t="s">
        <v>408</v>
      </c>
      <c r="E1" t="s">
        <v>409</v>
      </c>
      <c r="F1" t="s">
        <v>410</v>
      </c>
      <c r="G1" t="s">
        <v>411</v>
      </c>
      <c r="H1" t="s">
        <v>412</v>
      </c>
      <c r="I1" t="s">
        <v>413</v>
      </c>
      <c r="J1" t="s">
        <v>345</v>
      </c>
      <c r="K1" t="s">
        <v>344</v>
      </c>
      <c r="L1" t="s">
        <v>414</v>
      </c>
      <c r="M1" s="33"/>
      <c r="N1" s="33"/>
      <c r="O1" s="33"/>
      <c r="P1" s="33"/>
    </row>
    <row r="2" spans="1:17">
      <c r="A2" s="9" t="s">
        <v>415</v>
      </c>
      <c r="B2" t="s">
        <v>416</v>
      </c>
      <c r="D2">
        <v>1</v>
      </c>
      <c r="E2" s="1">
        <v>42816</v>
      </c>
      <c r="F2" s="1">
        <v>43017</v>
      </c>
      <c r="G2">
        <f t="shared" ref="G2:G33" si="0">F2-E2</f>
        <v>201</v>
      </c>
      <c r="H2" t="s">
        <v>417</v>
      </c>
      <c r="I2" t="s">
        <v>418</v>
      </c>
      <c r="J2">
        <v>-26.284722200000001</v>
      </c>
      <c r="K2">
        <v>136.09805556000001</v>
      </c>
      <c r="L2" t="s">
        <v>419</v>
      </c>
      <c r="M2" s="11" t="s">
        <v>1804</v>
      </c>
      <c r="N2" s="24">
        <v>3.7000000000000002E-3</v>
      </c>
      <c r="O2" s="24">
        <v>2.5830000000000002</v>
      </c>
      <c r="P2" s="28">
        <v>10.208</v>
      </c>
      <c r="Q2" t="s">
        <v>890</v>
      </c>
    </row>
    <row r="3" spans="1:17">
      <c r="A3" s="9" t="s">
        <v>531</v>
      </c>
      <c r="B3" t="s">
        <v>465</v>
      </c>
      <c r="D3">
        <v>3</v>
      </c>
      <c r="E3" s="1">
        <v>42816</v>
      </c>
      <c r="F3" s="1">
        <v>43017</v>
      </c>
      <c r="G3">
        <f t="shared" si="0"/>
        <v>201</v>
      </c>
      <c r="H3" t="s">
        <v>417</v>
      </c>
      <c r="I3" t="s">
        <v>466</v>
      </c>
      <c r="J3">
        <v>-26.423333299999999</v>
      </c>
      <c r="K3">
        <v>135.51333299999999</v>
      </c>
      <c r="L3" t="s">
        <v>419</v>
      </c>
      <c r="M3" s="33" t="s">
        <v>1878</v>
      </c>
      <c r="N3" s="32">
        <v>1E-3</v>
      </c>
      <c r="O3" s="32">
        <v>1.631</v>
      </c>
      <c r="P3" s="35">
        <v>7.008</v>
      </c>
      <c r="Q3" t="s">
        <v>890</v>
      </c>
    </row>
    <row r="4" spans="1:17">
      <c r="A4" s="9" t="s">
        <v>532</v>
      </c>
      <c r="B4" t="s">
        <v>465</v>
      </c>
      <c r="D4">
        <v>3</v>
      </c>
      <c r="E4" s="1">
        <v>42816</v>
      </c>
      <c r="F4" s="1">
        <v>43017</v>
      </c>
      <c r="G4">
        <f t="shared" si="0"/>
        <v>201</v>
      </c>
      <c r="H4" t="s">
        <v>417</v>
      </c>
      <c r="I4" t="s">
        <v>466</v>
      </c>
      <c r="J4">
        <v>-26.423333299999999</v>
      </c>
      <c r="K4">
        <v>135.51333299999999</v>
      </c>
      <c r="L4" t="s">
        <v>419</v>
      </c>
      <c r="M4" s="33" t="s">
        <v>1879</v>
      </c>
      <c r="N4" s="34">
        <v>1.1000000000000001E-3</v>
      </c>
      <c r="O4" s="32">
        <v>1.595</v>
      </c>
      <c r="P4" s="32">
        <v>7.1849999999999996</v>
      </c>
      <c r="Q4" s="73" t="s">
        <v>890</v>
      </c>
    </row>
    <row r="5" spans="1:17">
      <c r="A5" s="9" t="s">
        <v>533</v>
      </c>
      <c r="B5" t="s">
        <v>465</v>
      </c>
      <c r="D5">
        <v>3</v>
      </c>
      <c r="E5" s="1">
        <v>42816</v>
      </c>
      <c r="F5" s="1">
        <v>43017</v>
      </c>
      <c r="G5">
        <f t="shared" si="0"/>
        <v>201</v>
      </c>
      <c r="H5" t="s">
        <v>417</v>
      </c>
      <c r="I5" t="s">
        <v>466</v>
      </c>
      <c r="J5">
        <v>-26.423333299999999</v>
      </c>
      <c r="K5">
        <v>135.51333299999999</v>
      </c>
      <c r="L5" t="s">
        <v>419</v>
      </c>
      <c r="M5" s="33" t="s">
        <v>1880</v>
      </c>
      <c r="N5" s="34">
        <v>1.1000000000000001E-3</v>
      </c>
      <c r="O5" s="32">
        <v>1.6160000000000001</v>
      </c>
      <c r="P5" s="32">
        <v>7.1130000000000004</v>
      </c>
      <c r="Q5" s="73" t="s">
        <v>890</v>
      </c>
    </row>
    <row r="6" spans="1:17">
      <c r="A6" s="9" t="s">
        <v>534</v>
      </c>
      <c r="B6" t="s">
        <v>465</v>
      </c>
      <c r="D6">
        <v>3</v>
      </c>
      <c r="E6" s="1">
        <v>42816</v>
      </c>
      <c r="F6" s="1">
        <v>43017</v>
      </c>
      <c r="G6">
        <f t="shared" si="0"/>
        <v>201</v>
      </c>
      <c r="H6" t="s">
        <v>417</v>
      </c>
      <c r="I6" t="s">
        <v>466</v>
      </c>
      <c r="J6">
        <v>-26.423333299999999</v>
      </c>
      <c r="K6">
        <v>135.51333299999999</v>
      </c>
      <c r="L6" t="s">
        <v>419</v>
      </c>
      <c r="M6" s="33" t="s">
        <v>1881</v>
      </c>
      <c r="N6" s="34">
        <v>1E-3</v>
      </c>
      <c r="O6" s="32">
        <v>1.4670000000000001</v>
      </c>
      <c r="P6" s="32">
        <v>7.3</v>
      </c>
      <c r="Q6" s="73" t="s">
        <v>890</v>
      </c>
    </row>
    <row r="7" spans="1:17">
      <c r="A7" s="9" t="s">
        <v>535</v>
      </c>
      <c r="B7" t="s">
        <v>465</v>
      </c>
      <c r="D7">
        <v>3</v>
      </c>
      <c r="E7" s="1">
        <v>42816</v>
      </c>
      <c r="F7" s="1">
        <v>43017</v>
      </c>
      <c r="G7">
        <f t="shared" si="0"/>
        <v>201</v>
      </c>
      <c r="H7" t="s">
        <v>417</v>
      </c>
      <c r="I7" t="s">
        <v>466</v>
      </c>
      <c r="J7">
        <v>-26.423333299999999</v>
      </c>
      <c r="K7">
        <v>135.51333299999999</v>
      </c>
      <c r="L7" t="s">
        <v>419</v>
      </c>
      <c r="M7" s="33" t="s">
        <v>1882</v>
      </c>
      <c r="N7" s="34">
        <v>5.9999999999999995E-4</v>
      </c>
      <c r="O7" s="32">
        <v>1.19</v>
      </c>
      <c r="P7" s="32">
        <v>5.2539999999999996</v>
      </c>
      <c r="Q7" s="73" t="s">
        <v>890</v>
      </c>
    </row>
    <row r="8" spans="1:17">
      <c r="A8" s="9" t="s">
        <v>536</v>
      </c>
      <c r="B8" t="s">
        <v>465</v>
      </c>
      <c r="D8">
        <v>3</v>
      </c>
      <c r="E8" s="1">
        <v>42816</v>
      </c>
      <c r="F8" s="1">
        <v>43017</v>
      </c>
      <c r="G8">
        <f t="shared" si="0"/>
        <v>201</v>
      </c>
      <c r="H8" t="s">
        <v>417</v>
      </c>
      <c r="I8" t="s">
        <v>466</v>
      </c>
      <c r="J8">
        <v>-26.423333299999999</v>
      </c>
      <c r="K8">
        <v>135.51333299999999</v>
      </c>
      <c r="L8" t="s">
        <v>419</v>
      </c>
      <c r="M8" s="33" t="s">
        <v>1883</v>
      </c>
      <c r="N8" s="32">
        <v>1E-3</v>
      </c>
      <c r="O8" s="32">
        <v>1.5329999999999999</v>
      </c>
      <c r="P8" s="32">
        <v>7.1879999999999997</v>
      </c>
      <c r="Q8" t="s">
        <v>890</v>
      </c>
    </row>
    <row r="9" spans="1:17">
      <c r="A9" s="9" t="s">
        <v>537</v>
      </c>
      <c r="B9" t="s">
        <v>465</v>
      </c>
      <c r="D9">
        <v>3</v>
      </c>
      <c r="E9" s="1">
        <v>42816</v>
      </c>
      <c r="F9" s="1">
        <v>43017</v>
      </c>
      <c r="G9">
        <f t="shared" si="0"/>
        <v>201</v>
      </c>
      <c r="H9" t="s">
        <v>417</v>
      </c>
      <c r="I9" t="s">
        <v>466</v>
      </c>
      <c r="J9">
        <v>-26.423333299999999</v>
      </c>
      <c r="K9">
        <v>135.51333299999999</v>
      </c>
      <c r="L9" t="s">
        <v>419</v>
      </c>
      <c r="M9" s="33" t="s">
        <v>1884</v>
      </c>
      <c r="N9" s="34">
        <v>5.9999999999999995E-4</v>
      </c>
      <c r="O9" s="32">
        <v>1.1659999999999999</v>
      </c>
      <c r="P9" s="32">
        <v>4.8319999999999999</v>
      </c>
      <c r="Q9" s="73" t="s">
        <v>890</v>
      </c>
    </row>
    <row r="10" spans="1:17">
      <c r="A10" s="9" t="s">
        <v>538</v>
      </c>
      <c r="B10" t="s">
        <v>465</v>
      </c>
      <c r="D10">
        <v>3</v>
      </c>
      <c r="E10" s="1">
        <v>42816</v>
      </c>
      <c r="F10" s="1">
        <v>43017</v>
      </c>
      <c r="G10">
        <f t="shared" si="0"/>
        <v>201</v>
      </c>
      <c r="H10" t="s">
        <v>417</v>
      </c>
      <c r="I10" t="s">
        <v>466</v>
      </c>
      <c r="J10">
        <v>-26.423333299999999</v>
      </c>
      <c r="K10">
        <v>135.51333299999999</v>
      </c>
      <c r="L10" t="s">
        <v>419</v>
      </c>
      <c r="M10" s="33" t="s">
        <v>1885</v>
      </c>
      <c r="N10" s="34">
        <v>2.2000000000000001E-3</v>
      </c>
      <c r="O10" s="32">
        <v>1.5669999999999999</v>
      </c>
      <c r="P10" s="32">
        <v>6.2889999999999997</v>
      </c>
      <c r="Q10" s="73" t="s">
        <v>890</v>
      </c>
    </row>
    <row r="11" spans="1:17">
      <c r="A11" s="9" t="s">
        <v>539</v>
      </c>
      <c r="B11" t="s">
        <v>465</v>
      </c>
      <c r="D11">
        <v>3</v>
      </c>
      <c r="E11" s="1">
        <v>42816</v>
      </c>
      <c r="F11" s="1">
        <v>43017</v>
      </c>
      <c r="G11">
        <f t="shared" si="0"/>
        <v>201</v>
      </c>
      <c r="H11" t="s">
        <v>417</v>
      </c>
      <c r="I11" t="s">
        <v>466</v>
      </c>
      <c r="J11">
        <v>-26.423333299999999</v>
      </c>
      <c r="K11">
        <v>135.51333299999999</v>
      </c>
      <c r="L11" t="s">
        <v>419</v>
      </c>
      <c r="M11" s="33" t="s">
        <v>1886</v>
      </c>
      <c r="N11" s="34">
        <v>1.2999999999999999E-3</v>
      </c>
      <c r="O11" s="32">
        <v>1.677</v>
      </c>
      <c r="P11" s="32">
        <v>7.5810000000000004</v>
      </c>
      <c r="Q11" s="73" t="s">
        <v>890</v>
      </c>
    </row>
    <row r="12" spans="1:17">
      <c r="A12" s="9" t="s">
        <v>540</v>
      </c>
      <c r="B12" t="s">
        <v>465</v>
      </c>
      <c r="D12">
        <v>3</v>
      </c>
      <c r="E12" s="1">
        <v>42816</v>
      </c>
      <c r="F12" s="1">
        <v>43017</v>
      </c>
      <c r="G12">
        <f t="shared" si="0"/>
        <v>201</v>
      </c>
      <c r="H12" t="s">
        <v>417</v>
      </c>
      <c r="I12" t="s">
        <v>466</v>
      </c>
      <c r="J12">
        <v>-26.423333299999999</v>
      </c>
      <c r="K12">
        <v>135.51333299999999</v>
      </c>
      <c r="L12" t="s">
        <v>419</v>
      </c>
      <c r="M12" s="33" t="s">
        <v>1887</v>
      </c>
      <c r="N12" s="34">
        <v>1E-3</v>
      </c>
      <c r="O12" s="32">
        <v>1.4430000000000001</v>
      </c>
      <c r="P12" s="32">
        <v>6.7050000000000001</v>
      </c>
      <c r="Q12" s="73" t="s">
        <v>890</v>
      </c>
    </row>
    <row r="13" spans="1:17">
      <c r="A13" s="9" t="s">
        <v>541</v>
      </c>
      <c r="B13" t="s">
        <v>465</v>
      </c>
      <c r="D13">
        <v>3</v>
      </c>
      <c r="E13" s="1">
        <v>42816</v>
      </c>
      <c r="F13" s="1">
        <v>43017</v>
      </c>
      <c r="G13">
        <f t="shared" si="0"/>
        <v>201</v>
      </c>
      <c r="H13" t="s">
        <v>417</v>
      </c>
      <c r="I13" t="s">
        <v>466</v>
      </c>
      <c r="J13">
        <v>-26.423333299999999</v>
      </c>
      <c r="K13">
        <v>135.51333299999999</v>
      </c>
      <c r="L13" t="s">
        <v>419</v>
      </c>
      <c r="M13" s="33" t="s">
        <v>1888</v>
      </c>
      <c r="N13" s="34">
        <v>6.9999999999999999E-4</v>
      </c>
      <c r="O13" s="32">
        <v>1.371</v>
      </c>
      <c r="P13" s="32">
        <v>6.4720000000000004</v>
      </c>
      <c r="Q13" s="73" t="s">
        <v>890</v>
      </c>
    </row>
    <row r="14" spans="1:17">
      <c r="A14" s="9" t="s">
        <v>542</v>
      </c>
      <c r="B14" t="s">
        <v>465</v>
      </c>
      <c r="D14">
        <v>3</v>
      </c>
      <c r="E14" s="1">
        <v>42816</v>
      </c>
      <c r="F14" s="1">
        <v>43017</v>
      </c>
      <c r="G14">
        <f t="shared" si="0"/>
        <v>201</v>
      </c>
      <c r="H14" t="s">
        <v>417</v>
      </c>
      <c r="I14" t="s">
        <v>466</v>
      </c>
      <c r="J14">
        <v>-26.423333299999999</v>
      </c>
      <c r="K14">
        <v>135.51333299999999</v>
      </c>
      <c r="L14" t="s">
        <v>419</v>
      </c>
      <c r="M14" s="33" t="s">
        <v>1889</v>
      </c>
      <c r="N14" s="34">
        <v>1E-3</v>
      </c>
      <c r="O14" s="32">
        <v>1.4790000000000001</v>
      </c>
      <c r="P14" s="32">
        <v>6.5039999999999996</v>
      </c>
      <c r="Q14" s="73" t="s">
        <v>890</v>
      </c>
    </row>
    <row r="15" spans="1:17">
      <c r="A15" s="9" t="s">
        <v>543</v>
      </c>
      <c r="B15" t="s">
        <v>465</v>
      </c>
      <c r="D15">
        <v>3</v>
      </c>
      <c r="E15" s="1">
        <v>42816</v>
      </c>
      <c r="F15" s="1">
        <v>43017</v>
      </c>
      <c r="G15">
        <f t="shared" si="0"/>
        <v>201</v>
      </c>
      <c r="H15" t="s">
        <v>417</v>
      </c>
      <c r="I15" t="s">
        <v>466</v>
      </c>
      <c r="J15">
        <v>-26.423333299999999</v>
      </c>
      <c r="K15">
        <v>135.51333299999999</v>
      </c>
      <c r="L15" t="s">
        <v>419</v>
      </c>
      <c r="M15" s="33" t="s">
        <v>1890</v>
      </c>
      <c r="N15" s="34">
        <v>5.9999999999999995E-4</v>
      </c>
      <c r="O15" s="35">
        <v>1.375</v>
      </c>
      <c r="P15" s="35">
        <v>6.4850000000000003</v>
      </c>
      <c r="Q15" s="73" t="s">
        <v>890</v>
      </c>
    </row>
    <row r="16" spans="1:17">
      <c r="A16" s="9" t="s">
        <v>544</v>
      </c>
      <c r="B16" t="s">
        <v>465</v>
      </c>
      <c r="D16">
        <v>3</v>
      </c>
      <c r="E16" s="1">
        <v>42816</v>
      </c>
      <c r="F16" s="1">
        <v>43017</v>
      </c>
      <c r="G16">
        <f t="shared" si="0"/>
        <v>201</v>
      </c>
      <c r="H16" t="s">
        <v>417</v>
      </c>
      <c r="I16" t="s">
        <v>466</v>
      </c>
      <c r="J16">
        <v>-26.423333299999999</v>
      </c>
      <c r="K16">
        <v>135.51333299999999</v>
      </c>
      <c r="L16" t="s">
        <v>419</v>
      </c>
      <c r="M16" s="33" t="s">
        <v>1891</v>
      </c>
      <c r="N16" s="32">
        <v>2.0000000000000001E-4</v>
      </c>
      <c r="O16" s="32">
        <v>0.80400000000000005</v>
      </c>
      <c r="P16" s="32">
        <v>4.6970000000000001</v>
      </c>
      <c r="Q16" t="s">
        <v>890</v>
      </c>
    </row>
    <row r="17" spans="1:17">
      <c r="A17" s="9" t="s">
        <v>546</v>
      </c>
      <c r="B17" t="s">
        <v>465</v>
      </c>
      <c r="D17">
        <v>3</v>
      </c>
      <c r="E17" s="1">
        <v>42816</v>
      </c>
      <c r="F17" s="1">
        <v>43017</v>
      </c>
      <c r="G17">
        <f t="shared" si="0"/>
        <v>201</v>
      </c>
      <c r="H17" t="s">
        <v>417</v>
      </c>
      <c r="I17" t="s">
        <v>466</v>
      </c>
      <c r="J17">
        <v>-26.423333299999999</v>
      </c>
      <c r="K17">
        <v>135.51333299999999</v>
      </c>
      <c r="L17" t="s">
        <v>419</v>
      </c>
      <c r="M17" s="33" t="s">
        <v>1893</v>
      </c>
      <c r="N17" s="32">
        <v>8.0000000000000004E-4</v>
      </c>
      <c r="O17" s="32">
        <v>1.474</v>
      </c>
      <c r="P17" s="32">
        <v>4.4640000000000004</v>
      </c>
      <c r="Q17" t="s">
        <v>890</v>
      </c>
    </row>
    <row r="18" spans="1:17">
      <c r="A18" s="9" t="s">
        <v>547</v>
      </c>
      <c r="B18" s="4" t="s">
        <v>511</v>
      </c>
      <c r="D18">
        <v>2</v>
      </c>
      <c r="E18" s="1">
        <v>42815</v>
      </c>
      <c r="F18" s="1">
        <v>43017</v>
      </c>
      <c r="G18">
        <f t="shared" si="0"/>
        <v>202</v>
      </c>
      <c r="H18" t="s">
        <v>462</v>
      </c>
      <c r="I18" t="s">
        <v>463</v>
      </c>
      <c r="J18">
        <v>-25.754722220000001</v>
      </c>
      <c r="K18">
        <v>135.26305556</v>
      </c>
      <c r="L18" t="s">
        <v>419</v>
      </c>
      <c r="M18" s="36" t="s">
        <v>1776</v>
      </c>
      <c r="N18" s="34">
        <v>2.0327999999999999E-2</v>
      </c>
      <c r="O18" s="35">
        <v>4.532</v>
      </c>
      <c r="P18" s="35">
        <v>16.423999999999999</v>
      </c>
      <c r="Q18" s="40" t="s">
        <v>2094</v>
      </c>
    </row>
    <row r="19" spans="1:17">
      <c r="A19" s="9" t="s">
        <v>548</v>
      </c>
      <c r="B19" s="4" t="s">
        <v>511</v>
      </c>
      <c r="D19">
        <v>2</v>
      </c>
      <c r="E19" s="1">
        <v>42815</v>
      </c>
      <c r="F19" s="1">
        <v>43017</v>
      </c>
      <c r="G19">
        <f t="shared" si="0"/>
        <v>202</v>
      </c>
      <c r="H19" t="s">
        <v>462</v>
      </c>
      <c r="I19" t="s">
        <v>463</v>
      </c>
      <c r="J19">
        <v>-25.754722220000001</v>
      </c>
      <c r="K19">
        <v>135.26305556</v>
      </c>
      <c r="L19" t="s">
        <v>419</v>
      </c>
      <c r="M19" s="36" t="s">
        <v>1777</v>
      </c>
      <c r="N19" s="34">
        <v>1.8528000000000003E-2</v>
      </c>
      <c r="O19" s="35">
        <v>3.968</v>
      </c>
      <c r="P19" s="35">
        <v>16.533999999999999</v>
      </c>
      <c r="Q19" s="40" t="s">
        <v>2094</v>
      </c>
    </row>
    <row r="20" spans="1:17">
      <c r="A20" s="9" t="s">
        <v>549</v>
      </c>
      <c r="B20" s="4" t="s">
        <v>511</v>
      </c>
      <c r="D20">
        <v>2</v>
      </c>
      <c r="E20" s="1">
        <v>42815</v>
      </c>
      <c r="F20" s="1">
        <v>43017</v>
      </c>
      <c r="G20">
        <f t="shared" si="0"/>
        <v>202</v>
      </c>
      <c r="H20" t="s">
        <v>462</v>
      </c>
      <c r="I20" t="s">
        <v>463</v>
      </c>
      <c r="J20">
        <v>-25.754722220000001</v>
      </c>
      <c r="K20">
        <v>135.26305556</v>
      </c>
      <c r="L20" t="s">
        <v>419</v>
      </c>
      <c r="M20" s="36" t="s">
        <v>1778</v>
      </c>
      <c r="N20" s="34">
        <v>1.2928000000000002E-2</v>
      </c>
      <c r="O20" s="35">
        <v>3.4630000000000001</v>
      </c>
      <c r="P20" s="35">
        <v>14.169</v>
      </c>
      <c r="Q20" s="40" t="s">
        <v>2094</v>
      </c>
    </row>
    <row r="21" spans="1:17">
      <c r="A21" s="9" t="s">
        <v>550</v>
      </c>
      <c r="B21" t="s">
        <v>511</v>
      </c>
      <c r="D21">
        <v>2</v>
      </c>
      <c r="E21" s="1">
        <v>42815</v>
      </c>
      <c r="F21" s="1">
        <v>43017</v>
      </c>
      <c r="G21">
        <f t="shared" si="0"/>
        <v>202</v>
      </c>
      <c r="H21" t="s">
        <v>462</v>
      </c>
      <c r="I21" t="s">
        <v>463</v>
      </c>
      <c r="J21">
        <v>-25.754722220000001</v>
      </c>
      <c r="K21">
        <v>135.26305556</v>
      </c>
      <c r="L21" t="s">
        <v>419</v>
      </c>
      <c r="M21" s="33" t="s">
        <v>1894</v>
      </c>
      <c r="N21" s="32">
        <v>8.9999999999999998E-4</v>
      </c>
      <c r="O21" s="32">
        <v>1.3919999999999999</v>
      </c>
      <c r="P21" s="35">
        <v>8.0289999999999999</v>
      </c>
      <c r="Q21" t="s">
        <v>890</v>
      </c>
    </row>
    <row r="22" spans="1:17">
      <c r="A22" s="9" t="s">
        <v>435</v>
      </c>
      <c r="B22" t="s">
        <v>425</v>
      </c>
      <c r="D22">
        <v>8</v>
      </c>
      <c r="E22" s="1">
        <v>42815</v>
      </c>
      <c r="F22" s="1">
        <v>43017</v>
      </c>
      <c r="G22">
        <f t="shared" si="0"/>
        <v>202</v>
      </c>
      <c r="H22" t="s">
        <v>417</v>
      </c>
      <c r="I22" t="s">
        <v>426</v>
      </c>
      <c r="J22">
        <v>-26.458888890000001</v>
      </c>
      <c r="K22">
        <v>135.41277778</v>
      </c>
      <c r="L22" t="s">
        <v>419</v>
      </c>
      <c r="M22" s="36" t="s">
        <v>1760</v>
      </c>
      <c r="N22" s="34">
        <v>1.9728000000000002E-2</v>
      </c>
      <c r="O22" s="35">
        <v>4.399</v>
      </c>
      <c r="P22" s="35">
        <v>16.988</v>
      </c>
      <c r="Q22" s="40" t="s">
        <v>2094</v>
      </c>
    </row>
    <row r="23" spans="1:17">
      <c r="A23" s="9" t="s">
        <v>551</v>
      </c>
      <c r="B23" s="4" t="s">
        <v>511</v>
      </c>
      <c r="D23">
        <v>2</v>
      </c>
      <c r="E23" s="1">
        <v>42815</v>
      </c>
      <c r="F23" s="1">
        <v>43017</v>
      </c>
      <c r="G23">
        <f t="shared" si="0"/>
        <v>202</v>
      </c>
      <c r="H23" t="s">
        <v>462</v>
      </c>
      <c r="I23" t="s">
        <v>463</v>
      </c>
      <c r="J23">
        <v>-25.754722220000001</v>
      </c>
      <c r="K23">
        <v>135.26305556</v>
      </c>
      <c r="L23" t="s">
        <v>419</v>
      </c>
      <c r="M23" s="36" t="s">
        <v>1779</v>
      </c>
      <c r="N23" s="34">
        <v>1.6028000000000001E-2</v>
      </c>
      <c r="O23" s="35">
        <v>3.76</v>
      </c>
      <c r="P23" s="35">
        <v>17.416</v>
      </c>
      <c r="Q23" s="40" t="s">
        <v>2094</v>
      </c>
    </row>
    <row r="24" spans="1:17">
      <c r="A24" s="9" t="s">
        <v>552</v>
      </c>
      <c r="B24" t="s">
        <v>511</v>
      </c>
      <c r="D24">
        <v>2</v>
      </c>
      <c r="E24" s="1">
        <v>42815</v>
      </c>
      <c r="F24" s="1">
        <v>43017</v>
      </c>
      <c r="G24">
        <f t="shared" si="0"/>
        <v>202</v>
      </c>
      <c r="H24" t="s">
        <v>462</v>
      </c>
      <c r="I24" t="s">
        <v>463</v>
      </c>
      <c r="J24">
        <v>-25.754722220000001</v>
      </c>
      <c r="K24">
        <v>135.26305556</v>
      </c>
      <c r="L24" t="s">
        <v>419</v>
      </c>
      <c r="M24" s="36" t="s">
        <v>1780</v>
      </c>
      <c r="N24" s="34">
        <v>2.2628000000000002E-2</v>
      </c>
      <c r="O24" s="35">
        <v>4.8330000000000002</v>
      </c>
      <c r="P24" s="35">
        <v>19.248999999999999</v>
      </c>
      <c r="Q24" s="40" t="s">
        <v>2094</v>
      </c>
    </row>
    <row r="25" spans="1:17">
      <c r="A25" s="9" t="s">
        <v>553</v>
      </c>
      <c r="B25" t="s">
        <v>511</v>
      </c>
      <c r="D25">
        <v>2</v>
      </c>
      <c r="E25" s="1">
        <v>42815</v>
      </c>
      <c r="F25" s="1">
        <v>43017</v>
      </c>
      <c r="G25">
        <f t="shared" si="0"/>
        <v>202</v>
      </c>
      <c r="H25" t="s">
        <v>462</v>
      </c>
      <c r="I25" t="s">
        <v>463</v>
      </c>
      <c r="J25">
        <v>-25.754722220000001</v>
      </c>
      <c r="K25">
        <v>135.26305556</v>
      </c>
      <c r="L25" t="s">
        <v>419</v>
      </c>
      <c r="M25" s="33" t="s">
        <v>1895</v>
      </c>
      <c r="N25" s="32">
        <v>4.1000000000000003E-3</v>
      </c>
      <c r="O25" s="32">
        <v>2.294</v>
      </c>
      <c r="P25" s="35">
        <v>10.66</v>
      </c>
      <c r="Q25" t="s">
        <v>890</v>
      </c>
    </row>
    <row r="26" spans="1:17">
      <c r="A26" s="9" t="s">
        <v>554</v>
      </c>
      <c r="B26" t="s">
        <v>511</v>
      </c>
      <c r="D26">
        <v>2</v>
      </c>
      <c r="E26" s="1">
        <v>42815</v>
      </c>
      <c r="F26" s="1">
        <v>43017</v>
      </c>
      <c r="G26">
        <f t="shared" si="0"/>
        <v>202</v>
      </c>
      <c r="H26" t="s">
        <v>462</v>
      </c>
      <c r="I26" t="s">
        <v>463</v>
      </c>
      <c r="J26">
        <v>-25.754722220000001</v>
      </c>
      <c r="K26">
        <v>135.26305556</v>
      </c>
      <c r="L26" t="s">
        <v>419</v>
      </c>
      <c r="M26" s="33" t="s">
        <v>1896</v>
      </c>
      <c r="N26" s="32">
        <v>5.1999999999999998E-3</v>
      </c>
      <c r="O26" s="32">
        <v>2.548</v>
      </c>
      <c r="P26" s="35">
        <v>10.676</v>
      </c>
      <c r="Q26" t="s">
        <v>890</v>
      </c>
    </row>
    <row r="27" spans="1:17">
      <c r="A27" s="9" t="s">
        <v>555</v>
      </c>
      <c r="B27" t="s">
        <v>511</v>
      </c>
      <c r="D27">
        <v>2</v>
      </c>
      <c r="E27" s="1">
        <v>42815</v>
      </c>
      <c r="F27" s="1">
        <v>43017</v>
      </c>
      <c r="G27">
        <f t="shared" si="0"/>
        <v>202</v>
      </c>
      <c r="H27" t="s">
        <v>462</v>
      </c>
      <c r="I27" t="s">
        <v>463</v>
      </c>
      <c r="J27">
        <v>-25.754722220000001</v>
      </c>
      <c r="K27">
        <v>135.26305556</v>
      </c>
      <c r="L27" t="s">
        <v>419</v>
      </c>
      <c r="M27" s="33" t="s">
        <v>1897</v>
      </c>
      <c r="N27" s="32">
        <v>4.7999999999999996E-3</v>
      </c>
      <c r="O27" s="32">
        <v>2.8820000000000001</v>
      </c>
      <c r="P27" s="35">
        <v>11.388999999999999</v>
      </c>
      <c r="Q27" t="s">
        <v>890</v>
      </c>
    </row>
    <row r="28" spans="1:17">
      <c r="A28" s="9" t="s">
        <v>556</v>
      </c>
      <c r="B28" t="s">
        <v>511</v>
      </c>
      <c r="D28">
        <v>2</v>
      </c>
      <c r="E28" s="1">
        <v>42815</v>
      </c>
      <c r="F28" s="1">
        <v>43017</v>
      </c>
      <c r="G28">
        <f t="shared" si="0"/>
        <v>202</v>
      </c>
      <c r="H28" t="s">
        <v>462</v>
      </c>
      <c r="I28" t="s">
        <v>463</v>
      </c>
      <c r="J28">
        <v>-25.754722220000001</v>
      </c>
      <c r="K28">
        <v>135.26305556</v>
      </c>
      <c r="L28" t="s">
        <v>419</v>
      </c>
      <c r="M28" s="36" t="s">
        <v>1781</v>
      </c>
      <c r="N28" s="32">
        <v>2.2428000000000003E-2</v>
      </c>
      <c r="O28" s="35">
        <v>4.657</v>
      </c>
      <c r="P28" s="35">
        <v>17.029</v>
      </c>
      <c r="Q28" s="20" t="s">
        <v>2094</v>
      </c>
    </row>
    <row r="29" spans="1:17">
      <c r="A29" s="9" t="s">
        <v>557</v>
      </c>
      <c r="B29" t="s">
        <v>511</v>
      </c>
      <c r="D29">
        <v>2</v>
      </c>
      <c r="E29" s="1">
        <v>42815</v>
      </c>
      <c r="F29" s="1">
        <v>43017</v>
      </c>
      <c r="G29">
        <f t="shared" si="0"/>
        <v>202</v>
      </c>
      <c r="H29" t="s">
        <v>462</v>
      </c>
      <c r="I29" t="s">
        <v>463</v>
      </c>
      <c r="J29">
        <v>-25.754722220000001</v>
      </c>
      <c r="K29">
        <v>135.26305556</v>
      </c>
      <c r="L29" t="s">
        <v>419</v>
      </c>
      <c r="M29" s="36" t="s">
        <v>1782</v>
      </c>
      <c r="N29" s="32">
        <v>3.6727999999999997E-2</v>
      </c>
      <c r="O29" s="35">
        <v>5.5</v>
      </c>
      <c r="P29" s="35">
        <v>20.170999999999999</v>
      </c>
      <c r="Q29" s="20" t="s">
        <v>2094</v>
      </c>
    </row>
    <row r="30" spans="1:17">
      <c r="A30" s="9" t="s">
        <v>558</v>
      </c>
      <c r="B30" t="s">
        <v>511</v>
      </c>
      <c r="D30">
        <v>2</v>
      </c>
      <c r="E30" s="1">
        <v>42815</v>
      </c>
      <c r="F30" s="1">
        <v>43017</v>
      </c>
      <c r="G30">
        <f t="shared" si="0"/>
        <v>202</v>
      </c>
      <c r="H30" t="s">
        <v>462</v>
      </c>
      <c r="I30" t="s">
        <v>463</v>
      </c>
      <c r="J30">
        <v>-25.754722220000001</v>
      </c>
      <c r="K30">
        <v>135.26305556</v>
      </c>
      <c r="L30" t="s">
        <v>419</v>
      </c>
      <c r="M30" s="33" t="s">
        <v>1898</v>
      </c>
      <c r="N30" s="32">
        <v>1.1000000000000001E-3</v>
      </c>
      <c r="O30" s="32">
        <v>1.599</v>
      </c>
      <c r="P30" s="35">
        <v>8.1449999999999996</v>
      </c>
      <c r="Q30" t="s">
        <v>890</v>
      </c>
    </row>
    <row r="31" spans="1:17">
      <c r="A31" s="9" t="s">
        <v>559</v>
      </c>
      <c r="B31" t="s">
        <v>511</v>
      </c>
      <c r="D31">
        <v>2</v>
      </c>
      <c r="E31" s="1">
        <v>42815</v>
      </c>
      <c r="F31" s="1">
        <v>43017</v>
      </c>
      <c r="G31">
        <f t="shared" si="0"/>
        <v>202</v>
      </c>
      <c r="H31" t="s">
        <v>462</v>
      </c>
      <c r="I31" t="s">
        <v>463</v>
      </c>
      <c r="J31">
        <v>-25.754722220000001</v>
      </c>
      <c r="K31">
        <v>135.26305556</v>
      </c>
      <c r="L31" t="s">
        <v>419</v>
      </c>
      <c r="M31" s="33" t="s">
        <v>1899</v>
      </c>
      <c r="N31" s="32">
        <v>8.0000000000000004E-4</v>
      </c>
      <c r="O31" s="32">
        <v>1.3540000000000001</v>
      </c>
      <c r="P31" s="35">
        <v>7.5650000000000004</v>
      </c>
      <c r="Q31" t="s">
        <v>890</v>
      </c>
    </row>
    <row r="32" spans="1:17">
      <c r="A32" t="s">
        <v>562</v>
      </c>
      <c r="B32" t="s">
        <v>563</v>
      </c>
      <c r="D32">
        <v>4</v>
      </c>
      <c r="E32" s="1">
        <v>42811</v>
      </c>
      <c r="F32" s="1">
        <v>43017</v>
      </c>
      <c r="G32">
        <f t="shared" si="0"/>
        <v>206</v>
      </c>
      <c r="H32" t="s">
        <v>417</v>
      </c>
      <c r="I32" t="s">
        <v>564</v>
      </c>
      <c r="J32">
        <v>-25.999166670000001</v>
      </c>
      <c r="K32">
        <v>135.33250000000001</v>
      </c>
      <c r="L32" t="s">
        <v>419</v>
      </c>
      <c r="M32" s="33" t="s">
        <v>1900</v>
      </c>
      <c r="N32" s="32">
        <v>5.0000000000000001E-3</v>
      </c>
      <c r="O32" s="35">
        <v>2.492</v>
      </c>
      <c r="P32" s="35">
        <v>13.173</v>
      </c>
      <c r="Q32" t="s">
        <v>890</v>
      </c>
    </row>
    <row r="33" spans="1:17">
      <c r="A33" t="s">
        <v>565</v>
      </c>
      <c r="B33" t="s">
        <v>566</v>
      </c>
      <c r="D33">
        <v>5</v>
      </c>
      <c r="E33" s="1">
        <v>42816</v>
      </c>
      <c r="F33" s="1">
        <v>43017</v>
      </c>
      <c r="G33">
        <f t="shared" si="0"/>
        <v>201</v>
      </c>
      <c r="H33" t="s">
        <v>417</v>
      </c>
      <c r="I33" t="s">
        <v>567</v>
      </c>
      <c r="J33">
        <v>-26.42166667</v>
      </c>
      <c r="K33">
        <v>135.50166666999999</v>
      </c>
      <c r="L33" t="s">
        <v>419</v>
      </c>
      <c r="M33" s="33" t="s">
        <v>1901</v>
      </c>
      <c r="N33" s="32">
        <v>5.9999999999999995E-4</v>
      </c>
      <c r="O33" s="35">
        <v>1.4970000000000001</v>
      </c>
      <c r="P33" s="32">
        <v>6.0529999999999999</v>
      </c>
      <c r="Q33" t="s">
        <v>890</v>
      </c>
    </row>
    <row r="34" spans="1:17">
      <c r="A34" t="s">
        <v>568</v>
      </c>
      <c r="B34" t="s">
        <v>569</v>
      </c>
      <c r="D34">
        <v>4</v>
      </c>
      <c r="E34" s="1">
        <v>42811</v>
      </c>
      <c r="F34" s="1">
        <v>43017</v>
      </c>
      <c r="G34">
        <f t="shared" ref="G34:G65" si="1">F34-E34</f>
        <v>206</v>
      </c>
      <c r="H34" t="s">
        <v>417</v>
      </c>
      <c r="I34" t="s">
        <v>564</v>
      </c>
      <c r="J34">
        <v>-25.999166670000001</v>
      </c>
      <c r="K34">
        <v>135.33250000000001</v>
      </c>
      <c r="L34" t="s">
        <v>419</v>
      </c>
      <c r="M34" s="33" t="s">
        <v>1902</v>
      </c>
      <c r="N34" s="32">
        <v>1E-3</v>
      </c>
      <c r="O34" s="35">
        <v>1.754</v>
      </c>
      <c r="P34" s="35">
        <v>7.6639999999999997</v>
      </c>
      <c r="Q34" t="s">
        <v>890</v>
      </c>
    </row>
    <row r="35" spans="1:17">
      <c r="A35" t="s">
        <v>570</v>
      </c>
      <c r="B35" t="s">
        <v>569</v>
      </c>
      <c r="D35">
        <v>4</v>
      </c>
      <c r="E35" s="1">
        <v>42811</v>
      </c>
      <c r="F35" s="1">
        <v>43017</v>
      </c>
      <c r="G35">
        <f t="shared" si="1"/>
        <v>206</v>
      </c>
      <c r="H35" t="s">
        <v>417</v>
      </c>
      <c r="I35" t="s">
        <v>564</v>
      </c>
      <c r="J35">
        <v>-25.999166670000001</v>
      </c>
      <c r="K35">
        <v>135.33250000000001</v>
      </c>
      <c r="L35" t="s">
        <v>419</v>
      </c>
      <c r="M35" s="33" t="s">
        <v>1903</v>
      </c>
      <c r="N35" s="34">
        <v>1E-3</v>
      </c>
      <c r="O35" s="35">
        <v>1.6539999999999999</v>
      </c>
      <c r="P35" s="35">
        <v>8.7810000000000006</v>
      </c>
      <c r="Q35" s="73" t="s">
        <v>890</v>
      </c>
    </row>
    <row r="36" spans="1:17">
      <c r="A36" t="s">
        <v>571</v>
      </c>
      <c r="B36" t="s">
        <v>569</v>
      </c>
      <c r="D36">
        <v>4</v>
      </c>
      <c r="E36" s="1">
        <v>42811</v>
      </c>
      <c r="F36" s="1">
        <v>43017</v>
      </c>
      <c r="G36">
        <f t="shared" si="1"/>
        <v>206</v>
      </c>
      <c r="H36" t="s">
        <v>417</v>
      </c>
      <c r="I36" t="s">
        <v>564</v>
      </c>
      <c r="J36">
        <v>-25.999166670000001</v>
      </c>
      <c r="K36">
        <v>135.33250000000001</v>
      </c>
      <c r="L36" t="s">
        <v>419</v>
      </c>
      <c r="M36" s="33" t="s">
        <v>1904</v>
      </c>
      <c r="N36" s="32">
        <v>1.1000000000000001E-3</v>
      </c>
      <c r="O36" s="35">
        <v>1.6439999999999999</v>
      </c>
      <c r="P36" s="35">
        <v>6.5830000000000002</v>
      </c>
      <c r="Q36" t="s">
        <v>890</v>
      </c>
    </row>
    <row r="37" spans="1:17">
      <c r="A37" t="s">
        <v>572</v>
      </c>
      <c r="B37" t="s">
        <v>573</v>
      </c>
      <c r="D37">
        <v>5</v>
      </c>
      <c r="E37" s="1">
        <v>42816</v>
      </c>
      <c r="F37" s="1">
        <v>43017</v>
      </c>
      <c r="G37">
        <f t="shared" si="1"/>
        <v>201</v>
      </c>
      <c r="H37" t="s">
        <v>417</v>
      </c>
      <c r="I37" t="s">
        <v>567</v>
      </c>
      <c r="J37">
        <v>-26.42166667</v>
      </c>
      <c r="K37">
        <v>135.50166666999999</v>
      </c>
      <c r="L37" t="s">
        <v>419</v>
      </c>
      <c r="M37" s="33" t="s">
        <v>1905</v>
      </c>
      <c r="N37" s="34">
        <v>3.3999999999999998E-3</v>
      </c>
      <c r="O37" s="35">
        <v>2.4369999999999998</v>
      </c>
      <c r="P37" s="32">
        <v>11.183999999999999</v>
      </c>
      <c r="Q37" s="73" t="s">
        <v>890</v>
      </c>
    </row>
    <row r="38" spans="1:17">
      <c r="A38" t="s">
        <v>574</v>
      </c>
      <c r="B38" t="s">
        <v>573</v>
      </c>
      <c r="D38">
        <v>5</v>
      </c>
      <c r="E38" s="1">
        <v>42816</v>
      </c>
      <c r="F38" s="1">
        <v>43017</v>
      </c>
      <c r="G38">
        <f t="shared" si="1"/>
        <v>201</v>
      </c>
      <c r="H38" t="s">
        <v>417</v>
      </c>
      <c r="I38" t="s">
        <v>567</v>
      </c>
      <c r="J38">
        <v>-26.42166667</v>
      </c>
      <c r="K38">
        <v>135.50166666999999</v>
      </c>
      <c r="L38" t="s">
        <v>419</v>
      </c>
      <c r="M38" s="33" t="s">
        <v>1906</v>
      </c>
      <c r="N38" s="34">
        <v>2.0999999999999999E-3</v>
      </c>
      <c r="O38" s="35">
        <v>1.7589999999999999</v>
      </c>
      <c r="P38" s="35">
        <v>11.103999999999999</v>
      </c>
      <c r="Q38" s="73" t="s">
        <v>890</v>
      </c>
    </row>
    <row r="39" spans="1:17">
      <c r="A39" t="s">
        <v>575</v>
      </c>
      <c r="B39" t="s">
        <v>573</v>
      </c>
      <c r="D39">
        <v>5</v>
      </c>
      <c r="E39" s="1">
        <v>42816</v>
      </c>
      <c r="F39" s="1">
        <v>43017</v>
      </c>
      <c r="G39">
        <f t="shared" si="1"/>
        <v>201</v>
      </c>
      <c r="H39" t="s">
        <v>417</v>
      </c>
      <c r="I39" t="s">
        <v>567</v>
      </c>
      <c r="J39">
        <v>-26.42166667</v>
      </c>
      <c r="K39">
        <v>135.50166666999999</v>
      </c>
      <c r="L39" t="s">
        <v>419</v>
      </c>
      <c r="M39" s="33" t="s">
        <v>1907</v>
      </c>
      <c r="N39" s="32">
        <v>1.1999999999999999E-3</v>
      </c>
      <c r="O39" s="35">
        <v>1.504</v>
      </c>
      <c r="P39" s="35">
        <v>7.6929999999999996</v>
      </c>
      <c r="Q39" t="s">
        <v>890</v>
      </c>
    </row>
    <row r="40" spans="1:17">
      <c r="A40" t="s">
        <v>576</v>
      </c>
      <c r="B40" t="s">
        <v>573</v>
      </c>
      <c r="D40">
        <v>5</v>
      </c>
      <c r="E40" s="1">
        <v>42816</v>
      </c>
      <c r="F40" s="1">
        <v>43017</v>
      </c>
      <c r="G40">
        <f t="shared" si="1"/>
        <v>201</v>
      </c>
      <c r="H40" t="s">
        <v>417</v>
      </c>
      <c r="I40" t="s">
        <v>567</v>
      </c>
      <c r="J40">
        <v>-26.42166667</v>
      </c>
      <c r="K40">
        <v>135.50166666999999</v>
      </c>
      <c r="L40" t="s">
        <v>419</v>
      </c>
      <c r="M40" s="33" t="s">
        <v>1908</v>
      </c>
      <c r="N40" s="32">
        <v>3.3E-3</v>
      </c>
      <c r="O40" s="35">
        <v>1.6879999999999999</v>
      </c>
      <c r="P40" s="35">
        <v>7.9260000000000002</v>
      </c>
      <c r="Q40" t="s">
        <v>890</v>
      </c>
    </row>
    <row r="41" spans="1:17">
      <c r="A41" s="9" t="s">
        <v>437</v>
      </c>
      <c r="B41" t="s">
        <v>421</v>
      </c>
      <c r="C41" t="s">
        <v>422</v>
      </c>
      <c r="D41">
        <v>1</v>
      </c>
      <c r="E41" s="1">
        <v>42816</v>
      </c>
      <c r="F41" s="1">
        <v>43017</v>
      </c>
      <c r="G41">
        <f t="shared" si="1"/>
        <v>201</v>
      </c>
      <c r="H41" t="s">
        <v>417</v>
      </c>
      <c r="I41" t="s">
        <v>418</v>
      </c>
      <c r="J41">
        <v>-26.284722200000001</v>
      </c>
      <c r="K41">
        <v>136.09805556000001</v>
      </c>
      <c r="L41" t="s">
        <v>419</v>
      </c>
      <c r="M41" s="36" t="s">
        <v>1762</v>
      </c>
      <c r="N41" s="34">
        <v>2.1828E-2</v>
      </c>
      <c r="O41" s="32">
        <v>3.919</v>
      </c>
      <c r="P41" s="32">
        <v>19.812999999999999</v>
      </c>
      <c r="Q41" s="40" t="s">
        <v>2094</v>
      </c>
    </row>
    <row r="42" spans="1:17">
      <c r="A42" t="s">
        <v>577</v>
      </c>
      <c r="B42" t="s">
        <v>573</v>
      </c>
      <c r="D42">
        <v>5</v>
      </c>
      <c r="E42" s="1">
        <v>42816</v>
      </c>
      <c r="F42" s="1">
        <v>43017</v>
      </c>
      <c r="G42">
        <f t="shared" si="1"/>
        <v>201</v>
      </c>
      <c r="H42" t="s">
        <v>417</v>
      </c>
      <c r="I42" t="s">
        <v>567</v>
      </c>
      <c r="J42">
        <v>-26.42166667</v>
      </c>
      <c r="K42">
        <v>135.50166666999999</v>
      </c>
      <c r="L42" t="s">
        <v>419</v>
      </c>
      <c r="M42" s="33" t="s">
        <v>1909</v>
      </c>
      <c r="N42" s="34">
        <v>1E-3</v>
      </c>
      <c r="O42" s="35">
        <v>1.5669999999999999</v>
      </c>
      <c r="P42" s="35">
        <v>7.2039999999999997</v>
      </c>
      <c r="Q42" s="73" t="s">
        <v>890</v>
      </c>
    </row>
    <row r="43" spans="1:17">
      <c r="A43" t="s">
        <v>578</v>
      </c>
      <c r="B43" t="s">
        <v>573</v>
      </c>
      <c r="D43">
        <v>5</v>
      </c>
      <c r="E43" s="1">
        <v>42816</v>
      </c>
      <c r="F43" s="1">
        <v>43017</v>
      </c>
      <c r="G43">
        <f t="shared" si="1"/>
        <v>201</v>
      </c>
      <c r="H43" t="s">
        <v>417</v>
      </c>
      <c r="I43" t="s">
        <v>567</v>
      </c>
      <c r="J43">
        <v>-26.42166667</v>
      </c>
      <c r="K43">
        <v>135.50166666999999</v>
      </c>
      <c r="L43" t="s">
        <v>419</v>
      </c>
      <c r="M43" s="33" t="s">
        <v>1910</v>
      </c>
      <c r="N43" s="34">
        <v>1.1000000000000001E-3</v>
      </c>
      <c r="O43" s="35">
        <v>1.571</v>
      </c>
      <c r="P43" s="35">
        <v>7.6719999999999997</v>
      </c>
      <c r="Q43" s="73" t="s">
        <v>890</v>
      </c>
    </row>
    <row r="44" spans="1:17">
      <c r="A44" t="s">
        <v>579</v>
      </c>
      <c r="B44" t="s">
        <v>573</v>
      </c>
      <c r="D44">
        <v>5</v>
      </c>
      <c r="E44" s="1">
        <v>42816</v>
      </c>
      <c r="F44" s="1">
        <v>43017</v>
      </c>
      <c r="G44">
        <f t="shared" si="1"/>
        <v>201</v>
      </c>
      <c r="H44" t="s">
        <v>417</v>
      </c>
      <c r="I44" t="s">
        <v>567</v>
      </c>
      <c r="J44">
        <v>-26.42166667</v>
      </c>
      <c r="K44">
        <v>135.50166666999999</v>
      </c>
      <c r="L44" t="s">
        <v>419</v>
      </c>
      <c r="M44" s="33" t="s">
        <v>1911</v>
      </c>
      <c r="N44" s="32">
        <v>8.0000000000000004E-4</v>
      </c>
      <c r="O44" s="35">
        <v>1.631</v>
      </c>
      <c r="P44" s="35">
        <v>7.7149999999999999</v>
      </c>
      <c r="Q44" t="s">
        <v>890</v>
      </c>
    </row>
    <row r="45" spans="1:17">
      <c r="A45" t="s">
        <v>581</v>
      </c>
      <c r="B45" t="s">
        <v>573</v>
      </c>
      <c r="D45">
        <v>5</v>
      </c>
      <c r="E45" s="1">
        <v>42816</v>
      </c>
      <c r="F45" s="1">
        <v>43017</v>
      </c>
      <c r="G45">
        <f t="shared" si="1"/>
        <v>201</v>
      </c>
      <c r="H45" t="s">
        <v>417</v>
      </c>
      <c r="I45" t="s">
        <v>567</v>
      </c>
      <c r="J45">
        <v>-26.42166667</v>
      </c>
      <c r="K45">
        <v>135.50166666999999</v>
      </c>
      <c r="L45" t="s">
        <v>419</v>
      </c>
      <c r="M45" s="33" t="s">
        <v>1913</v>
      </c>
      <c r="N45" s="32">
        <v>1.6999999999999999E-3</v>
      </c>
      <c r="O45" s="35">
        <v>1.524</v>
      </c>
      <c r="P45" s="35">
        <v>6.7249999999999996</v>
      </c>
      <c r="Q45" t="s">
        <v>890</v>
      </c>
    </row>
    <row r="46" spans="1:17">
      <c r="A46" t="s">
        <v>582</v>
      </c>
      <c r="B46" t="s">
        <v>573</v>
      </c>
      <c r="D46">
        <v>5</v>
      </c>
      <c r="E46" s="1">
        <v>42816</v>
      </c>
      <c r="F46" s="1">
        <v>43017</v>
      </c>
      <c r="G46">
        <f t="shared" si="1"/>
        <v>201</v>
      </c>
      <c r="H46" t="s">
        <v>417</v>
      </c>
      <c r="I46" t="s">
        <v>567</v>
      </c>
      <c r="J46">
        <v>-26.42166667</v>
      </c>
      <c r="K46">
        <v>135.50166666999999</v>
      </c>
      <c r="L46" t="s">
        <v>419</v>
      </c>
      <c r="M46" s="33" t="s">
        <v>1914</v>
      </c>
      <c r="N46" s="34">
        <v>4.0000000000000002E-4</v>
      </c>
      <c r="O46" s="35">
        <v>1.546</v>
      </c>
      <c r="P46" s="35">
        <v>7.1</v>
      </c>
      <c r="Q46" s="73" t="s">
        <v>890</v>
      </c>
    </row>
    <row r="47" spans="1:17">
      <c r="A47" t="s">
        <v>583</v>
      </c>
      <c r="B47" t="s">
        <v>573</v>
      </c>
      <c r="D47">
        <v>5</v>
      </c>
      <c r="E47" s="1">
        <v>42816</v>
      </c>
      <c r="F47" s="1">
        <v>43017</v>
      </c>
      <c r="G47">
        <f t="shared" si="1"/>
        <v>201</v>
      </c>
      <c r="H47" t="s">
        <v>417</v>
      </c>
      <c r="I47" t="s">
        <v>567</v>
      </c>
      <c r="J47">
        <v>-26.42166667</v>
      </c>
      <c r="K47">
        <v>135.50166666999999</v>
      </c>
      <c r="L47" t="s">
        <v>419</v>
      </c>
      <c r="M47" s="33" t="s">
        <v>1915</v>
      </c>
      <c r="N47" s="32">
        <v>1E-3</v>
      </c>
      <c r="O47" s="35">
        <v>1.552</v>
      </c>
      <c r="P47" s="35">
        <v>7.4850000000000003</v>
      </c>
      <c r="Q47" t="s">
        <v>890</v>
      </c>
    </row>
    <row r="48" spans="1:17">
      <c r="A48" t="s">
        <v>584</v>
      </c>
      <c r="B48" t="s">
        <v>573</v>
      </c>
      <c r="D48">
        <v>5</v>
      </c>
      <c r="E48" s="1">
        <v>42816</v>
      </c>
      <c r="F48" s="1">
        <v>43017</v>
      </c>
      <c r="G48">
        <f t="shared" si="1"/>
        <v>201</v>
      </c>
      <c r="H48" t="s">
        <v>417</v>
      </c>
      <c r="I48" t="s">
        <v>567</v>
      </c>
      <c r="J48">
        <v>-26.42166667</v>
      </c>
      <c r="K48">
        <v>135.50166666999999</v>
      </c>
      <c r="L48" t="s">
        <v>419</v>
      </c>
      <c r="M48" s="33" t="s">
        <v>1916</v>
      </c>
      <c r="N48" s="32">
        <v>8.0000000000000004E-4</v>
      </c>
      <c r="O48" s="35">
        <v>1.6180000000000001</v>
      </c>
      <c r="P48" s="35">
        <v>7.0650000000000004</v>
      </c>
      <c r="Q48" t="s">
        <v>890</v>
      </c>
    </row>
    <row r="49" spans="1:19">
      <c r="A49" t="s">
        <v>585</v>
      </c>
      <c r="B49" t="s">
        <v>573</v>
      </c>
      <c r="D49">
        <v>5</v>
      </c>
      <c r="E49" s="1">
        <v>42816</v>
      </c>
      <c r="F49" s="1">
        <v>43017</v>
      </c>
      <c r="G49">
        <f t="shared" si="1"/>
        <v>201</v>
      </c>
      <c r="H49" t="s">
        <v>417</v>
      </c>
      <c r="I49" t="s">
        <v>567</v>
      </c>
      <c r="J49">
        <v>-26.42166667</v>
      </c>
      <c r="K49">
        <v>135.50166666999999</v>
      </c>
      <c r="L49" t="s">
        <v>419</v>
      </c>
      <c r="M49" s="33" t="s">
        <v>1917</v>
      </c>
      <c r="N49" s="32">
        <v>2.9999999999999997E-4</v>
      </c>
      <c r="O49" s="35">
        <v>1.58</v>
      </c>
      <c r="P49" s="35">
        <v>5.7469999999999999</v>
      </c>
      <c r="Q49" t="s">
        <v>890</v>
      </c>
    </row>
    <row r="50" spans="1:19">
      <c r="A50" t="s">
        <v>586</v>
      </c>
      <c r="B50" t="s">
        <v>573</v>
      </c>
      <c r="D50">
        <v>5</v>
      </c>
      <c r="E50" s="1">
        <v>42816</v>
      </c>
      <c r="F50" s="1">
        <v>43017</v>
      </c>
      <c r="G50">
        <f t="shared" si="1"/>
        <v>201</v>
      </c>
      <c r="H50" t="s">
        <v>417</v>
      </c>
      <c r="I50" t="s">
        <v>567</v>
      </c>
      <c r="J50">
        <v>-26.42166667</v>
      </c>
      <c r="K50">
        <v>135.50166666999999</v>
      </c>
      <c r="L50" t="s">
        <v>419</v>
      </c>
      <c r="M50" s="33" t="s">
        <v>1918</v>
      </c>
      <c r="N50" s="32">
        <v>5.9999999999999995E-4</v>
      </c>
      <c r="O50" s="35">
        <v>1.4570000000000001</v>
      </c>
      <c r="P50" s="35">
        <v>7.1829999999999998</v>
      </c>
      <c r="Q50" t="s">
        <v>890</v>
      </c>
    </row>
    <row r="51" spans="1:19">
      <c r="A51" s="9" t="s">
        <v>438</v>
      </c>
      <c r="B51" t="s">
        <v>416</v>
      </c>
      <c r="D51">
        <v>1</v>
      </c>
      <c r="E51" s="1">
        <v>42816</v>
      </c>
      <c r="F51" s="1">
        <v>43017</v>
      </c>
      <c r="G51">
        <f t="shared" si="1"/>
        <v>201</v>
      </c>
      <c r="H51" t="s">
        <v>417</v>
      </c>
      <c r="I51" t="s">
        <v>418</v>
      </c>
      <c r="J51">
        <v>-26.284722200000001</v>
      </c>
      <c r="K51">
        <v>136.09805556000001</v>
      </c>
      <c r="L51" t="s">
        <v>419</v>
      </c>
      <c r="M51" s="33" t="s">
        <v>1806</v>
      </c>
      <c r="N51" s="32">
        <v>1.1000000000000001E-3</v>
      </c>
      <c r="O51" s="32">
        <v>1.5469999999999999</v>
      </c>
      <c r="P51" s="35">
        <v>6.6760000000000002</v>
      </c>
      <c r="Q51" t="s">
        <v>890</v>
      </c>
    </row>
    <row r="52" spans="1:19">
      <c r="A52" t="s">
        <v>587</v>
      </c>
      <c r="B52" t="s">
        <v>573</v>
      </c>
      <c r="D52">
        <v>5</v>
      </c>
      <c r="E52" s="1">
        <v>42816</v>
      </c>
      <c r="F52" s="1">
        <v>43017</v>
      </c>
      <c r="G52">
        <f t="shared" si="1"/>
        <v>201</v>
      </c>
      <c r="H52" t="s">
        <v>417</v>
      </c>
      <c r="I52" t="s">
        <v>567</v>
      </c>
      <c r="J52">
        <v>-26.42166667</v>
      </c>
      <c r="K52">
        <v>135.50166666999999</v>
      </c>
      <c r="L52" t="s">
        <v>419</v>
      </c>
      <c r="M52" s="38" t="s">
        <v>1919</v>
      </c>
      <c r="N52" s="32">
        <v>8.9999999999999998E-4</v>
      </c>
      <c r="O52" s="35">
        <v>1.5109999999999999</v>
      </c>
      <c r="P52" s="35">
        <v>7.0780000000000003</v>
      </c>
      <c r="Q52" t="s">
        <v>890</v>
      </c>
      <c r="S52" s="11"/>
    </row>
    <row r="53" spans="1:19">
      <c r="A53" t="s">
        <v>588</v>
      </c>
      <c r="B53" t="s">
        <v>573</v>
      </c>
      <c r="D53">
        <v>5</v>
      </c>
      <c r="E53" s="1">
        <v>42816</v>
      </c>
      <c r="F53" s="1">
        <v>43017</v>
      </c>
      <c r="G53">
        <f t="shared" si="1"/>
        <v>201</v>
      </c>
      <c r="H53" t="s">
        <v>417</v>
      </c>
      <c r="I53" t="s">
        <v>567</v>
      </c>
      <c r="J53">
        <v>-26.42166667</v>
      </c>
      <c r="K53">
        <v>135.50166666999999</v>
      </c>
      <c r="L53" t="s">
        <v>419</v>
      </c>
      <c r="M53" s="33" t="s">
        <v>1920</v>
      </c>
      <c r="N53" s="32">
        <v>6.9999999999999999E-4</v>
      </c>
      <c r="O53" s="35">
        <v>1.5509999999999999</v>
      </c>
      <c r="P53" s="35">
        <v>6.8769999999999998</v>
      </c>
      <c r="Q53" t="s">
        <v>890</v>
      </c>
    </row>
    <row r="54" spans="1:19">
      <c r="A54" t="s">
        <v>589</v>
      </c>
      <c r="B54" t="s">
        <v>573</v>
      </c>
      <c r="D54">
        <v>5</v>
      </c>
      <c r="E54" s="1">
        <v>42816</v>
      </c>
      <c r="F54" s="1">
        <v>43017</v>
      </c>
      <c r="G54">
        <f t="shared" si="1"/>
        <v>201</v>
      </c>
      <c r="H54" t="s">
        <v>417</v>
      </c>
      <c r="I54" t="s">
        <v>567</v>
      </c>
      <c r="J54">
        <v>-26.42166667</v>
      </c>
      <c r="K54">
        <v>135.50166666999999</v>
      </c>
      <c r="L54" t="s">
        <v>419</v>
      </c>
      <c r="M54" s="33" t="s">
        <v>1921</v>
      </c>
      <c r="N54" s="32">
        <v>2.9999999999999997E-4</v>
      </c>
      <c r="O54" s="35">
        <v>1.413</v>
      </c>
      <c r="P54" s="35">
        <v>6.4249999999999998</v>
      </c>
      <c r="Q54" t="s">
        <v>890</v>
      </c>
    </row>
    <row r="55" spans="1:19">
      <c r="A55" t="s">
        <v>590</v>
      </c>
      <c r="B55" t="s">
        <v>573</v>
      </c>
      <c r="D55">
        <v>5</v>
      </c>
      <c r="E55" s="1">
        <v>42816</v>
      </c>
      <c r="F55" s="1">
        <v>43017</v>
      </c>
      <c r="G55">
        <f t="shared" si="1"/>
        <v>201</v>
      </c>
      <c r="H55" t="s">
        <v>417</v>
      </c>
      <c r="I55" t="s">
        <v>567</v>
      </c>
      <c r="J55">
        <v>-26.42166667</v>
      </c>
      <c r="K55">
        <v>135.50166666999999</v>
      </c>
      <c r="L55" t="s">
        <v>419</v>
      </c>
      <c r="M55" s="33" t="s">
        <v>1922</v>
      </c>
      <c r="N55" s="32">
        <v>6.9999999999999999E-4</v>
      </c>
      <c r="O55" s="35">
        <v>1.2549999999999999</v>
      </c>
      <c r="P55" s="35">
        <v>5.4379999999999997</v>
      </c>
      <c r="Q55" t="s">
        <v>890</v>
      </c>
    </row>
    <row r="56" spans="1:19">
      <c r="A56" t="s">
        <v>591</v>
      </c>
      <c r="B56" t="s">
        <v>592</v>
      </c>
      <c r="D56">
        <v>6</v>
      </c>
      <c r="E56" s="1">
        <v>42816</v>
      </c>
      <c r="F56" s="1">
        <v>43017</v>
      </c>
      <c r="G56">
        <f t="shared" si="1"/>
        <v>201</v>
      </c>
      <c r="H56" t="s">
        <v>417</v>
      </c>
      <c r="I56" t="s">
        <v>593</v>
      </c>
      <c r="J56">
        <v>-26.365555560000001</v>
      </c>
      <c r="K56">
        <v>135.79</v>
      </c>
      <c r="L56" t="s">
        <v>419</v>
      </c>
      <c r="M56" s="36" t="s">
        <v>1783</v>
      </c>
      <c r="N56" s="32">
        <v>3.1927999999999998E-2</v>
      </c>
      <c r="O56" s="35">
        <v>4.9800000000000004</v>
      </c>
      <c r="P56" s="35">
        <v>19.847999999999999</v>
      </c>
      <c r="Q56" s="20" t="s">
        <v>2094</v>
      </c>
    </row>
    <row r="57" spans="1:19">
      <c r="A57" t="s">
        <v>594</v>
      </c>
      <c r="B57" t="s">
        <v>592</v>
      </c>
      <c r="D57">
        <v>6</v>
      </c>
      <c r="E57" s="1">
        <v>42816</v>
      </c>
      <c r="F57" s="1">
        <v>43017</v>
      </c>
      <c r="G57">
        <f t="shared" si="1"/>
        <v>201</v>
      </c>
      <c r="H57" t="s">
        <v>417</v>
      </c>
      <c r="I57" t="s">
        <v>593</v>
      </c>
      <c r="J57">
        <v>-26.365555560000001</v>
      </c>
      <c r="K57">
        <v>135.79</v>
      </c>
      <c r="L57" t="s">
        <v>419</v>
      </c>
      <c r="M57" s="36" t="s">
        <v>1784</v>
      </c>
      <c r="N57" s="32">
        <v>1.6428000000000005E-2</v>
      </c>
      <c r="O57" s="35">
        <v>4.2300000000000004</v>
      </c>
      <c r="P57" s="35">
        <v>15.081</v>
      </c>
      <c r="Q57" s="20" t="s">
        <v>2094</v>
      </c>
    </row>
    <row r="58" spans="1:19">
      <c r="A58" t="s">
        <v>595</v>
      </c>
      <c r="B58" t="s">
        <v>592</v>
      </c>
      <c r="D58">
        <v>6</v>
      </c>
      <c r="E58" s="1">
        <v>42816</v>
      </c>
      <c r="F58" s="1">
        <v>43017</v>
      </c>
      <c r="G58">
        <f t="shared" si="1"/>
        <v>201</v>
      </c>
      <c r="H58" t="s">
        <v>417</v>
      </c>
      <c r="I58" t="s">
        <v>593</v>
      </c>
      <c r="J58">
        <v>-26.365555560000001</v>
      </c>
      <c r="K58">
        <v>135.79</v>
      </c>
      <c r="L58" t="s">
        <v>419</v>
      </c>
      <c r="M58" s="36" t="s">
        <v>1785</v>
      </c>
      <c r="N58" s="32">
        <v>1.0028000000000002E-2</v>
      </c>
      <c r="O58" s="35">
        <v>3.6190000000000002</v>
      </c>
      <c r="P58" s="35">
        <v>12.577999999999999</v>
      </c>
      <c r="Q58" s="20" t="s">
        <v>2094</v>
      </c>
    </row>
    <row r="59" spans="1:19">
      <c r="A59" t="s">
        <v>596</v>
      </c>
      <c r="B59" t="s">
        <v>592</v>
      </c>
      <c r="D59">
        <v>6</v>
      </c>
      <c r="E59" s="1">
        <v>42816</v>
      </c>
      <c r="F59" s="1">
        <v>43017</v>
      </c>
      <c r="G59">
        <f t="shared" si="1"/>
        <v>201</v>
      </c>
      <c r="H59" t="s">
        <v>417</v>
      </c>
      <c r="I59" t="s">
        <v>593</v>
      </c>
      <c r="J59">
        <v>-26.365555560000001</v>
      </c>
      <c r="K59">
        <v>135.79</v>
      </c>
      <c r="L59" t="s">
        <v>419</v>
      </c>
      <c r="M59" s="36" t="s">
        <v>1786</v>
      </c>
      <c r="N59" s="32">
        <v>9.8280000000000034E-3</v>
      </c>
      <c r="O59" s="35">
        <v>3.387</v>
      </c>
      <c r="P59" s="35">
        <v>14.403</v>
      </c>
      <c r="Q59" s="20" t="s">
        <v>2094</v>
      </c>
    </row>
    <row r="60" spans="1:19">
      <c r="A60" t="s">
        <v>597</v>
      </c>
      <c r="B60" t="s">
        <v>592</v>
      </c>
      <c r="D60">
        <v>6</v>
      </c>
      <c r="E60" s="1">
        <v>42816</v>
      </c>
      <c r="F60" s="1">
        <v>43017</v>
      </c>
      <c r="G60">
        <f t="shared" si="1"/>
        <v>201</v>
      </c>
      <c r="H60" t="s">
        <v>417</v>
      </c>
      <c r="I60" t="s">
        <v>593</v>
      </c>
      <c r="J60">
        <v>-26.365555560000001</v>
      </c>
      <c r="K60">
        <v>135.79</v>
      </c>
      <c r="L60" t="s">
        <v>419</v>
      </c>
      <c r="M60" s="36" t="s">
        <v>1787</v>
      </c>
      <c r="N60" s="32">
        <v>2.8728000000000004E-2</v>
      </c>
      <c r="O60" s="35">
        <v>5.0730000000000004</v>
      </c>
      <c r="P60" s="35">
        <v>18.591999999999999</v>
      </c>
      <c r="Q60" s="20" t="s">
        <v>2094</v>
      </c>
    </row>
    <row r="61" spans="1:19">
      <c r="A61" t="s">
        <v>598</v>
      </c>
      <c r="B61" t="s">
        <v>592</v>
      </c>
      <c r="D61">
        <v>6</v>
      </c>
      <c r="E61" s="1">
        <v>42816</v>
      </c>
      <c r="F61" s="1">
        <v>43017</v>
      </c>
      <c r="G61">
        <f t="shared" si="1"/>
        <v>201</v>
      </c>
      <c r="H61" t="s">
        <v>417</v>
      </c>
      <c r="I61" t="s">
        <v>593</v>
      </c>
      <c r="J61">
        <v>-26.365555560000001</v>
      </c>
      <c r="K61">
        <v>135.79</v>
      </c>
      <c r="L61" t="s">
        <v>419</v>
      </c>
      <c r="M61" s="36" t="s">
        <v>1788</v>
      </c>
      <c r="N61" s="32">
        <v>1.2928000000000002E-2</v>
      </c>
      <c r="O61" s="35">
        <v>3.4430000000000001</v>
      </c>
      <c r="P61" s="35">
        <v>15.637</v>
      </c>
      <c r="Q61" s="20" t="s">
        <v>2094</v>
      </c>
    </row>
    <row r="62" spans="1:19">
      <c r="A62" s="9" t="s">
        <v>439</v>
      </c>
      <c r="B62" t="s">
        <v>416</v>
      </c>
      <c r="D62">
        <v>1</v>
      </c>
      <c r="E62" s="1">
        <v>42816</v>
      </c>
      <c r="F62" s="1">
        <v>43017</v>
      </c>
      <c r="G62">
        <f t="shared" si="1"/>
        <v>201</v>
      </c>
      <c r="H62" t="s">
        <v>417</v>
      </c>
      <c r="I62" t="s">
        <v>418</v>
      </c>
      <c r="J62">
        <v>-26.284722200000001</v>
      </c>
      <c r="K62">
        <v>136.09805556000001</v>
      </c>
      <c r="L62" t="s">
        <v>419</v>
      </c>
      <c r="M62" s="33" t="s">
        <v>1807</v>
      </c>
      <c r="N62" s="32">
        <v>2.3E-3</v>
      </c>
      <c r="O62" s="32">
        <v>2</v>
      </c>
      <c r="P62" s="35">
        <v>9.36</v>
      </c>
      <c r="Q62" t="s">
        <v>890</v>
      </c>
    </row>
    <row r="63" spans="1:19">
      <c r="A63" t="s">
        <v>599</v>
      </c>
      <c r="B63" t="s">
        <v>592</v>
      </c>
      <c r="D63">
        <v>6</v>
      </c>
      <c r="E63" s="1">
        <v>42816</v>
      </c>
      <c r="F63" s="1">
        <v>43017</v>
      </c>
      <c r="G63">
        <f t="shared" si="1"/>
        <v>201</v>
      </c>
      <c r="H63" t="s">
        <v>417</v>
      </c>
      <c r="I63" t="s">
        <v>593</v>
      </c>
      <c r="J63">
        <v>-26.365555560000001</v>
      </c>
      <c r="K63">
        <v>135.79</v>
      </c>
      <c r="L63" t="s">
        <v>419</v>
      </c>
      <c r="M63" s="36" t="s">
        <v>1789</v>
      </c>
      <c r="N63" s="32">
        <v>1.9228000000000002E-2</v>
      </c>
      <c r="O63" s="35">
        <v>4.2889999999999997</v>
      </c>
      <c r="P63" s="35">
        <v>14.7</v>
      </c>
      <c r="Q63" s="20" t="s">
        <v>2094</v>
      </c>
    </row>
    <row r="64" spans="1:19">
      <c r="A64" t="s">
        <v>600</v>
      </c>
      <c r="B64" t="s">
        <v>592</v>
      </c>
      <c r="D64">
        <v>6</v>
      </c>
      <c r="E64" s="1">
        <v>42816</v>
      </c>
      <c r="F64" s="1">
        <v>43017</v>
      </c>
      <c r="G64">
        <f t="shared" si="1"/>
        <v>201</v>
      </c>
      <c r="H64" t="s">
        <v>417</v>
      </c>
      <c r="I64" t="s">
        <v>593</v>
      </c>
      <c r="J64">
        <v>-26.365555560000001</v>
      </c>
      <c r="K64">
        <v>135.79</v>
      </c>
      <c r="L64" t="s">
        <v>419</v>
      </c>
      <c r="M64" s="36" t="s">
        <v>1790</v>
      </c>
      <c r="N64" s="32">
        <v>7.7279999999999988E-3</v>
      </c>
      <c r="O64" s="35">
        <v>2.8220000000000001</v>
      </c>
      <c r="P64" s="35">
        <v>11.919</v>
      </c>
      <c r="Q64" s="20" t="s">
        <v>2094</v>
      </c>
    </row>
    <row r="65" spans="1:17">
      <c r="A65" t="s">
        <v>601</v>
      </c>
      <c r="B65" t="s">
        <v>592</v>
      </c>
      <c r="D65">
        <v>6</v>
      </c>
      <c r="E65" s="1">
        <v>42816</v>
      </c>
      <c r="F65" s="1">
        <v>43017</v>
      </c>
      <c r="G65">
        <f t="shared" si="1"/>
        <v>201</v>
      </c>
      <c r="H65" t="s">
        <v>417</v>
      </c>
      <c r="I65" t="s">
        <v>593</v>
      </c>
      <c r="J65">
        <v>-26.365555560000001</v>
      </c>
      <c r="K65">
        <v>135.79</v>
      </c>
      <c r="L65" t="s">
        <v>419</v>
      </c>
      <c r="M65" s="36" t="s">
        <v>1791</v>
      </c>
      <c r="N65" s="32">
        <v>7.2280000000000053E-3</v>
      </c>
      <c r="O65" s="35">
        <v>2.7690000000000001</v>
      </c>
      <c r="P65" s="35">
        <v>10.935</v>
      </c>
      <c r="Q65" s="20" t="s">
        <v>2094</v>
      </c>
    </row>
    <row r="66" spans="1:17">
      <c r="A66" t="s">
        <v>602</v>
      </c>
      <c r="B66" t="s">
        <v>592</v>
      </c>
      <c r="D66">
        <v>6</v>
      </c>
      <c r="E66" s="1">
        <v>42816</v>
      </c>
      <c r="F66" s="1">
        <v>43017</v>
      </c>
      <c r="G66">
        <f t="shared" ref="G66:G97" si="2">F66-E66</f>
        <v>201</v>
      </c>
      <c r="H66" t="s">
        <v>417</v>
      </c>
      <c r="I66" t="s">
        <v>593</v>
      </c>
      <c r="J66">
        <v>-26.365555560000001</v>
      </c>
      <c r="K66">
        <v>135.79</v>
      </c>
      <c r="L66" t="s">
        <v>419</v>
      </c>
      <c r="M66" s="36" t="s">
        <v>1792</v>
      </c>
      <c r="N66" s="32">
        <v>8.2279999999999992E-3</v>
      </c>
      <c r="O66" s="35">
        <v>2.9340000000000002</v>
      </c>
      <c r="P66" s="35">
        <v>13.029</v>
      </c>
      <c r="Q66" s="20" t="s">
        <v>2094</v>
      </c>
    </row>
    <row r="67" spans="1:17">
      <c r="A67" t="s">
        <v>603</v>
      </c>
      <c r="B67" t="s">
        <v>592</v>
      </c>
      <c r="D67">
        <v>6</v>
      </c>
      <c r="E67" s="1">
        <v>42816</v>
      </c>
      <c r="F67" s="1">
        <v>43017</v>
      </c>
      <c r="G67">
        <f t="shared" si="2"/>
        <v>201</v>
      </c>
      <c r="H67" t="s">
        <v>417</v>
      </c>
      <c r="I67" t="s">
        <v>593</v>
      </c>
      <c r="J67">
        <v>-26.365555560000001</v>
      </c>
      <c r="K67">
        <v>135.79</v>
      </c>
      <c r="L67" t="s">
        <v>419</v>
      </c>
      <c r="M67" s="33" t="s">
        <v>1923</v>
      </c>
      <c r="N67" s="32">
        <v>8.0000000000000004E-4</v>
      </c>
      <c r="O67" s="35">
        <v>1.569</v>
      </c>
      <c r="P67" s="32">
        <v>6.09</v>
      </c>
      <c r="Q67" t="s">
        <v>890</v>
      </c>
    </row>
    <row r="68" spans="1:17">
      <c r="A68" t="s">
        <v>604</v>
      </c>
      <c r="B68" t="s">
        <v>592</v>
      </c>
      <c r="D68">
        <v>6</v>
      </c>
      <c r="E68" s="1">
        <v>42816</v>
      </c>
      <c r="F68" s="1">
        <v>43017</v>
      </c>
      <c r="G68">
        <f t="shared" si="2"/>
        <v>201</v>
      </c>
      <c r="H68" t="s">
        <v>417</v>
      </c>
      <c r="I68" t="s">
        <v>593</v>
      </c>
      <c r="J68">
        <v>-26.365555560000001</v>
      </c>
      <c r="K68">
        <v>135.79</v>
      </c>
      <c r="L68" t="s">
        <v>419</v>
      </c>
      <c r="M68" s="33" t="s">
        <v>1924</v>
      </c>
      <c r="N68" s="32">
        <v>6.9999999999999999E-4</v>
      </c>
      <c r="O68" s="35">
        <v>1.665</v>
      </c>
      <c r="P68" s="35">
        <v>6.4729999999999999</v>
      </c>
      <c r="Q68" t="s">
        <v>890</v>
      </c>
    </row>
    <row r="69" spans="1:17">
      <c r="A69" t="s">
        <v>605</v>
      </c>
      <c r="B69" t="s">
        <v>592</v>
      </c>
      <c r="D69">
        <v>6</v>
      </c>
      <c r="E69" s="1">
        <v>42816</v>
      </c>
      <c r="F69" s="1">
        <v>43017</v>
      </c>
      <c r="G69">
        <f t="shared" si="2"/>
        <v>201</v>
      </c>
      <c r="H69" t="s">
        <v>417</v>
      </c>
      <c r="I69" t="s">
        <v>593</v>
      </c>
      <c r="J69">
        <v>-26.365555560000001</v>
      </c>
      <c r="K69">
        <v>135.79</v>
      </c>
      <c r="L69" t="s">
        <v>419</v>
      </c>
      <c r="M69" s="33" t="s">
        <v>1925</v>
      </c>
      <c r="N69" s="32">
        <v>8.0000000000000004E-4</v>
      </c>
      <c r="O69" s="35">
        <v>1.514</v>
      </c>
      <c r="P69" s="35">
        <v>5.9349999999999996</v>
      </c>
      <c r="Q69" t="s">
        <v>890</v>
      </c>
    </row>
    <row r="70" spans="1:17">
      <c r="A70" t="s">
        <v>606</v>
      </c>
      <c r="B70" t="s">
        <v>592</v>
      </c>
      <c r="D70">
        <v>6</v>
      </c>
      <c r="E70" s="1">
        <v>42816</v>
      </c>
      <c r="F70" s="1">
        <v>43017</v>
      </c>
      <c r="G70">
        <f t="shared" si="2"/>
        <v>201</v>
      </c>
      <c r="H70" t="s">
        <v>417</v>
      </c>
      <c r="I70" t="s">
        <v>593</v>
      </c>
      <c r="J70">
        <v>-26.365555560000001</v>
      </c>
      <c r="K70">
        <v>135.79</v>
      </c>
      <c r="L70" t="s">
        <v>419</v>
      </c>
      <c r="M70" s="33" t="s">
        <v>1926</v>
      </c>
      <c r="N70" s="32">
        <v>1.4E-3</v>
      </c>
      <c r="O70" s="35">
        <v>1.857</v>
      </c>
      <c r="P70" s="35">
        <v>8.4390000000000001</v>
      </c>
      <c r="Q70" t="s">
        <v>890</v>
      </c>
    </row>
    <row r="71" spans="1:17">
      <c r="A71" t="s">
        <v>607</v>
      </c>
      <c r="B71" t="s">
        <v>592</v>
      </c>
      <c r="D71">
        <v>6</v>
      </c>
      <c r="E71" s="1">
        <v>42816</v>
      </c>
      <c r="F71" s="1">
        <v>43017</v>
      </c>
      <c r="G71">
        <f t="shared" si="2"/>
        <v>201</v>
      </c>
      <c r="H71" t="s">
        <v>417</v>
      </c>
      <c r="I71" t="s">
        <v>593</v>
      </c>
      <c r="J71">
        <v>-26.365555560000001</v>
      </c>
      <c r="K71">
        <v>135.79</v>
      </c>
      <c r="L71" t="s">
        <v>419</v>
      </c>
      <c r="M71" s="33" t="s">
        <v>1927</v>
      </c>
      <c r="N71" s="32">
        <v>3.3999999999999998E-3</v>
      </c>
      <c r="O71" s="35">
        <v>1.4390000000000001</v>
      </c>
      <c r="P71" s="35">
        <v>6.0780000000000003</v>
      </c>
      <c r="Q71" t="s">
        <v>890</v>
      </c>
    </row>
    <row r="72" spans="1:17">
      <c r="A72" t="s">
        <v>608</v>
      </c>
      <c r="B72" t="s">
        <v>592</v>
      </c>
      <c r="D72">
        <v>6</v>
      </c>
      <c r="E72" s="1">
        <v>42816</v>
      </c>
      <c r="F72" s="1">
        <v>43017</v>
      </c>
      <c r="G72">
        <f t="shared" si="2"/>
        <v>201</v>
      </c>
      <c r="H72" t="s">
        <v>417</v>
      </c>
      <c r="I72" t="s">
        <v>593</v>
      </c>
      <c r="J72">
        <v>-26.365555560000001</v>
      </c>
      <c r="K72">
        <v>135.79</v>
      </c>
      <c r="L72" t="s">
        <v>419</v>
      </c>
      <c r="M72" s="33" t="s">
        <v>1928</v>
      </c>
      <c r="N72" s="32">
        <v>8.9999999999999998E-4</v>
      </c>
      <c r="O72" s="35">
        <v>1.5629999999999999</v>
      </c>
      <c r="P72" s="35">
        <v>7.7720000000000002</v>
      </c>
      <c r="Q72" t="s">
        <v>890</v>
      </c>
    </row>
    <row r="73" spans="1:17">
      <c r="A73" s="9" t="s">
        <v>440</v>
      </c>
      <c r="B73" t="s">
        <v>416</v>
      </c>
      <c r="C73" t="s">
        <v>431</v>
      </c>
      <c r="D73" s="10">
        <v>1</v>
      </c>
      <c r="E73" s="1">
        <v>42816</v>
      </c>
      <c r="F73" s="1">
        <v>43017</v>
      </c>
      <c r="G73">
        <f t="shared" si="2"/>
        <v>201</v>
      </c>
      <c r="H73" t="s">
        <v>417</v>
      </c>
      <c r="I73" t="s">
        <v>418</v>
      </c>
      <c r="J73">
        <v>-26.284722200000001</v>
      </c>
      <c r="K73">
        <v>136.09805556000001</v>
      </c>
      <c r="L73" t="s">
        <v>419</v>
      </c>
      <c r="M73" s="36" t="s">
        <v>1763</v>
      </c>
      <c r="N73" s="32">
        <v>1.0028000000000002E-2</v>
      </c>
      <c r="O73" s="32">
        <v>2.754</v>
      </c>
      <c r="P73" s="32">
        <v>12.224</v>
      </c>
      <c r="Q73" s="20" t="s">
        <v>2094</v>
      </c>
    </row>
    <row r="74" spans="1:17">
      <c r="A74" t="s">
        <v>609</v>
      </c>
      <c r="B74" t="s">
        <v>592</v>
      </c>
      <c r="D74">
        <v>6</v>
      </c>
      <c r="E74" s="1">
        <v>42816</v>
      </c>
      <c r="F74" s="1">
        <v>43017</v>
      </c>
      <c r="G74">
        <f t="shared" si="2"/>
        <v>201</v>
      </c>
      <c r="H74" t="s">
        <v>417</v>
      </c>
      <c r="I74" t="s">
        <v>593</v>
      </c>
      <c r="J74">
        <v>-26.365555560000001</v>
      </c>
      <c r="K74">
        <v>135.79</v>
      </c>
      <c r="L74" t="s">
        <v>419</v>
      </c>
      <c r="M74" s="33" t="s">
        <v>1929</v>
      </c>
      <c r="N74" s="32">
        <v>1.1000000000000001E-3</v>
      </c>
      <c r="O74" s="35">
        <v>1.4319999999999999</v>
      </c>
      <c r="P74" s="35">
        <v>7.1980000000000004</v>
      </c>
      <c r="Q74" t="s">
        <v>890</v>
      </c>
    </row>
    <row r="75" spans="1:17">
      <c r="A75" t="s">
        <v>610</v>
      </c>
      <c r="B75" t="s">
        <v>592</v>
      </c>
      <c r="D75">
        <v>6</v>
      </c>
      <c r="E75" s="1">
        <v>42816</v>
      </c>
      <c r="F75" s="1">
        <v>43017</v>
      </c>
      <c r="G75">
        <f t="shared" si="2"/>
        <v>201</v>
      </c>
      <c r="H75" t="s">
        <v>417</v>
      </c>
      <c r="I75" t="s">
        <v>593</v>
      </c>
      <c r="J75">
        <v>-26.365555560000001</v>
      </c>
      <c r="K75">
        <v>135.79</v>
      </c>
      <c r="L75" t="s">
        <v>419</v>
      </c>
      <c r="M75" s="33" t="s">
        <v>1930</v>
      </c>
      <c r="N75" s="32">
        <v>1.1000000000000001E-3</v>
      </c>
      <c r="O75" s="35">
        <v>1.58</v>
      </c>
      <c r="P75" s="35">
        <v>7.1539999999999999</v>
      </c>
      <c r="Q75" t="s">
        <v>890</v>
      </c>
    </row>
    <row r="76" spans="1:17">
      <c r="A76" t="s">
        <v>611</v>
      </c>
      <c r="B76" t="s">
        <v>592</v>
      </c>
      <c r="D76">
        <v>6</v>
      </c>
      <c r="E76" s="1">
        <v>42816</v>
      </c>
      <c r="F76" s="1">
        <v>43017</v>
      </c>
      <c r="G76">
        <f t="shared" si="2"/>
        <v>201</v>
      </c>
      <c r="H76" t="s">
        <v>417</v>
      </c>
      <c r="I76" t="s">
        <v>593</v>
      </c>
      <c r="J76">
        <v>-26.365555560000001</v>
      </c>
      <c r="K76">
        <v>135.79</v>
      </c>
      <c r="L76" t="s">
        <v>419</v>
      </c>
      <c r="M76" s="33" t="s">
        <v>1931</v>
      </c>
      <c r="N76" s="32">
        <v>5.0000000000000001E-4</v>
      </c>
      <c r="O76" s="35">
        <v>1.5049999999999999</v>
      </c>
      <c r="P76" s="35">
        <v>6.2789999999999999</v>
      </c>
      <c r="Q76" t="s">
        <v>890</v>
      </c>
    </row>
    <row r="77" spans="1:17">
      <c r="A77" t="s">
        <v>612</v>
      </c>
      <c r="B77" t="s">
        <v>592</v>
      </c>
      <c r="D77">
        <v>6</v>
      </c>
      <c r="E77" s="1">
        <v>42816</v>
      </c>
      <c r="F77" s="1">
        <v>43017</v>
      </c>
      <c r="G77">
        <f t="shared" si="2"/>
        <v>201</v>
      </c>
      <c r="H77" t="s">
        <v>417</v>
      </c>
      <c r="I77" t="s">
        <v>593</v>
      </c>
      <c r="J77">
        <v>-26.365555560000001</v>
      </c>
      <c r="K77">
        <v>135.79</v>
      </c>
      <c r="L77" t="s">
        <v>419</v>
      </c>
      <c r="M77" s="33" t="s">
        <v>1932</v>
      </c>
      <c r="N77" s="32">
        <v>3.5000000000000001E-3</v>
      </c>
      <c r="O77" s="35">
        <v>1.472</v>
      </c>
      <c r="P77" s="35">
        <v>7.2279999999999998</v>
      </c>
      <c r="Q77" t="s">
        <v>890</v>
      </c>
    </row>
    <row r="78" spans="1:17">
      <c r="A78" t="s">
        <v>613</v>
      </c>
      <c r="B78" t="s">
        <v>592</v>
      </c>
      <c r="D78">
        <v>6</v>
      </c>
      <c r="E78" s="1">
        <v>42816</v>
      </c>
      <c r="F78" s="1">
        <v>43017</v>
      </c>
      <c r="G78">
        <f t="shared" si="2"/>
        <v>201</v>
      </c>
      <c r="H78" t="s">
        <v>417</v>
      </c>
      <c r="I78" t="s">
        <v>593</v>
      </c>
      <c r="J78">
        <v>-26.365555560000001</v>
      </c>
      <c r="K78">
        <v>135.79</v>
      </c>
      <c r="L78" t="s">
        <v>419</v>
      </c>
      <c r="M78" s="33" t="s">
        <v>1933</v>
      </c>
      <c r="N78" s="32">
        <v>2.8999999999999998E-3</v>
      </c>
      <c r="O78" s="35">
        <v>1.4330000000000001</v>
      </c>
      <c r="P78" s="35">
        <v>6.3419999999999996</v>
      </c>
      <c r="Q78" t="s">
        <v>890</v>
      </c>
    </row>
    <row r="79" spans="1:17">
      <c r="A79" t="s">
        <v>614</v>
      </c>
      <c r="B79" t="s">
        <v>592</v>
      </c>
      <c r="D79">
        <v>6</v>
      </c>
      <c r="E79" s="1">
        <v>42816</v>
      </c>
      <c r="F79" s="1">
        <v>43017</v>
      </c>
      <c r="G79">
        <f t="shared" si="2"/>
        <v>201</v>
      </c>
      <c r="H79" t="s">
        <v>417</v>
      </c>
      <c r="I79" t="s">
        <v>593</v>
      </c>
      <c r="J79">
        <v>-26.365555560000001</v>
      </c>
      <c r="K79">
        <v>135.79</v>
      </c>
      <c r="L79" t="s">
        <v>419</v>
      </c>
      <c r="M79" s="33" t="s">
        <v>1934</v>
      </c>
      <c r="N79" s="32">
        <v>1E-3</v>
      </c>
      <c r="O79" s="35">
        <v>1.702</v>
      </c>
      <c r="P79" s="35">
        <v>7.5570000000000004</v>
      </c>
      <c r="Q79" t="s">
        <v>890</v>
      </c>
    </row>
    <row r="80" spans="1:17">
      <c r="A80" t="s">
        <v>615</v>
      </c>
      <c r="B80" t="s">
        <v>592</v>
      </c>
      <c r="D80">
        <v>6</v>
      </c>
      <c r="E80" s="1">
        <v>42816</v>
      </c>
      <c r="F80" s="1">
        <v>43017</v>
      </c>
      <c r="G80">
        <f t="shared" si="2"/>
        <v>201</v>
      </c>
      <c r="H80" t="s">
        <v>417</v>
      </c>
      <c r="I80" t="s">
        <v>593</v>
      </c>
      <c r="J80">
        <v>-26.365555560000001</v>
      </c>
      <c r="K80">
        <v>135.79</v>
      </c>
      <c r="L80" t="s">
        <v>419</v>
      </c>
      <c r="M80" s="33" t="s">
        <v>1935</v>
      </c>
      <c r="N80" s="32">
        <v>3.0999999999999999E-3</v>
      </c>
      <c r="O80" s="35">
        <v>2.161</v>
      </c>
      <c r="P80" s="32">
        <v>9.86</v>
      </c>
      <c r="Q80" t="s">
        <v>890</v>
      </c>
    </row>
    <row r="81" spans="1:19">
      <c r="A81" t="s">
        <v>616</v>
      </c>
      <c r="B81" t="s">
        <v>592</v>
      </c>
      <c r="D81">
        <v>6</v>
      </c>
      <c r="E81" s="1">
        <v>42816</v>
      </c>
      <c r="F81" s="1">
        <v>43017</v>
      </c>
      <c r="G81">
        <f t="shared" si="2"/>
        <v>201</v>
      </c>
      <c r="H81" t="s">
        <v>417</v>
      </c>
      <c r="I81" t="s">
        <v>593</v>
      </c>
      <c r="J81">
        <v>-26.365555560000001</v>
      </c>
      <c r="K81">
        <v>135.79</v>
      </c>
      <c r="L81" t="s">
        <v>419</v>
      </c>
      <c r="M81" s="33" t="s">
        <v>1936</v>
      </c>
      <c r="N81" s="32">
        <v>3.8999999999999998E-3</v>
      </c>
      <c r="O81" s="35">
        <v>2.359</v>
      </c>
      <c r="P81" s="35">
        <v>12.893000000000001</v>
      </c>
      <c r="Q81" t="s">
        <v>890</v>
      </c>
    </row>
    <row r="82" spans="1:19">
      <c r="A82" t="s">
        <v>618</v>
      </c>
      <c r="B82" t="s">
        <v>592</v>
      </c>
      <c r="D82">
        <v>6</v>
      </c>
      <c r="E82" s="1">
        <v>42816</v>
      </c>
      <c r="F82" s="1">
        <v>43017</v>
      </c>
      <c r="G82">
        <f t="shared" si="2"/>
        <v>201</v>
      </c>
      <c r="H82" t="s">
        <v>417</v>
      </c>
      <c r="I82" t="s">
        <v>593</v>
      </c>
      <c r="J82">
        <v>-26.365555560000001</v>
      </c>
      <c r="K82">
        <v>135.79</v>
      </c>
      <c r="L82" t="s">
        <v>419</v>
      </c>
      <c r="M82" s="33" t="s">
        <v>1938</v>
      </c>
      <c r="N82" s="32">
        <v>2.8999999999999998E-3</v>
      </c>
      <c r="O82" s="35">
        <v>1.5369999999999999</v>
      </c>
      <c r="P82" s="35">
        <v>6.5629999999999997</v>
      </c>
      <c r="Q82" t="s">
        <v>890</v>
      </c>
    </row>
    <row r="83" spans="1:19">
      <c r="A83" s="9" t="s">
        <v>441</v>
      </c>
      <c r="B83" t="s">
        <v>421</v>
      </c>
      <c r="C83" t="s">
        <v>422</v>
      </c>
      <c r="D83">
        <v>1</v>
      </c>
      <c r="E83" s="1">
        <v>42816</v>
      </c>
      <c r="F83" s="1">
        <v>43017</v>
      </c>
      <c r="G83">
        <f t="shared" si="2"/>
        <v>201</v>
      </c>
      <c r="H83" t="s">
        <v>417</v>
      </c>
      <c r="I83" t="s">
        <v>418</v>
      </c>
      <c r="J83">
        <v>-26.284722200000001</v>
      </c>
      <c r="K83">
        <v>136.09805556000001</v>
      </c>
      <c r="L83" t="s">
        <v>419</v>
      </c>
      <c r="M83" s="36" t="s">
        <v>1764</v>
      </c>
      <c r="N83" s="32">
        <v>4.4280000000000014E-3</v>
      </c>
      <c r="O83" s="35">
        <v>2.2639999999999998</v>
      </c>
      <c r="P83" s="32">
        <v>10.436999999999999</v>
      </c>
      <c r="Q83" s="20" t="s">
        <v>2094</v>
      </c>
    </row>
    <row r="84" spans="1:19">
      <c r="A84" t="s">
        <v>619</v>
      </c>
      <c r="B84" t="s">
        <v>592</v>
      </c>
      <c r="D84">
        <v>6</v>
      </c>
      <c r="E84" s="1">
        <v>42816</v>
      </c>
      <c r="F84" s="1">
        <v>43017</v>
      </c>
      <c r="G84">
        <f t="shared" si="2"/>
        <v>201</v>
      </c>
      <c r="H84" t="s">
        <v>417</v>
      </c>
      <c r="I84" t="s">
        <v>593</v>
      </c>
      <c r="J84">
        <v>-26.365555560000001</v>
      </c>
      <c r="K84">
        <v>135.79</v>
      </c>
      <c r="L84" t="s">
        <v>419</v>
      </c>
      <c r="M84" s="33" t="s">
        <v>1939</v>
      </c>
      <c r="N84" s="32">
        <v>1.1999999999999999E-3</v>
      </c>
      <c r="O84" s="35">
        <v>1.4</v>
      </c>
      <c r="P84" s="35">
        <v>5.8680000000000003</v>
      </c>
      <c r="Q84" t="s">
        <v>890</v>
      </c>
    </row>
    <row r="85" spans="1:19">
      <c r="A85" t="s">
        <v>620</v>
      </c>
      <c r="B85" t="s">
        <v>592</v>
      </c>
      <c r="D85">
        <v>6</v>
      </c>
      <c r="E85" s="1">
        <v>42816</v>
      </c>
      <c r="F85" s="1">
        <v>43017</v>
      </c>
      <c r="G85">
        <f t="shared" si="2"/>
        <v>201</v>
      </c>
      <c r="H85" t="s">
        <v>417</v>
      </c>
      <c r="I85" t="s">
        <v>593</v>
      </c>
      <c r="J85">
        <v>-26.365555560000001</v>
      </c>
      <c r="K85">
        <v>135.79</v>
      </c>
      <c r="L85" t="s">
        <v>419</v>
      </c>
      <c r="M85" s="33" t="s">
        <v>1940</v>
      </c>
      <c r="N85" s="32">
        <v>2.2000000000000001E-3</v>
      </c>
      <c r="O85" s="35">
        <v>1.37</v>
      </c>
      <c r="P85" s="35">
        <v>5.75</v>
      </c>
      <c r="Q85" t="s">
        <v>890</v>
      </c>
    </row>
    <row r="86" spans="1:19">
      <c r="A86" t="s">
        <v>621</v>
      </c>
      <c r="B86" t="s">
        <v>592</v>
      </c>
      <c r="D86">
        <v>6</v>
      </c>
      <c r="E86" s="1">
        <v>42816</v>
      </c>
      <c r="F86" s="1">
        <v>43017</v>
      </c>
      <c r="G86">
        <f t="shared" si="2"/>
        <v>201</v>
      </c>
      <c r="H86" t="s">
        <v>417</v>
      </c>
      <c r="I86" t="s">
        <v>593</v>
      </c>
      <c r="J86">
        <v>-26.365555560000001</v>
      </c>
      <c r="K86">
        <v>135.79</v>
      </c>
      <c r="L86" t="s">
        <v>419</v>
      </c>
      <c r="M86" s="33" t="s">
        <v>1941</v>
      </c>
      <c r="N86" s="32">
        <v>3.0999999999999999E-3</v>
      </c>
      <c r="O86" s="35">
        <v>1.56</v>
      </c>
      <c r="P86" s="35">
        <v>7.2329999999999997</v>
      </c>
      <c r="Q86" t="s">
        <v>890</v>
      </c>
      <c r="S86" t="s">
        <v>2102</v>
      </c>
    </row>
    <row r="87" spans="1:19">
      <c r="A87" t="s">
        <v>622</v>
      </c>
      <c r="B87" t="s">
        <v>592</v>
      </c>
      <c r="D87">
        <v>6</v>
      </c>
      <c r="E87" s="1">
        <v>42816</v>
      </c>
      <c r="F87" s="1">
        <v>43017</v>
      </c>
      <c r="G87">
        <f t="shared" si="2"/>
        <v>201</v>
      </c>
      <c r="H87" t="s">
        <v>417</v>
      </c>
      <c r="I87" t="s">
        <v>593</v>
      </c>
      <c r="J87">
        <v>-26.365555560000001</v>
      </c>
      <c r="K87">
        <v>135.79</v>
      </c>
      <c r="L87" t="s">
        <v>419</v>
      </c>
      <c r="M87" s="33" t="s">
        <v>1942</v>
      </c>
      <c r="N87" s="32">
        <v>5.0000000000000001E-4</v>
      </c>
      <c r="O87" s="35">
        <v>1.5069999999999999</v>
      </c>
      <c r="P87" s="32">
        <v>5.7839999999999998</v>
      </c>
      <c r="Q87" t="s">
        <v>890</v>
      </c>
    </row>
    <row r="88" spans="1:19">
      <c r="A88" t="s">
        <v>623</v>
      </c>
      <c r="B88" t="s">
        <v>592</v>
      </c>
      <c r="D88">
        <v>6</v>
      </c>
      <c r="E88" s="1">
        <v>42816</v>
      </c>
      <c r="F88" s="1">
        <v>43017</v>
      </c>
      <c r="G88">
        <f t="shared" si="2"/>
        <v>201</v>
      </c>
      <c r="H88" t="s">
        <v>417</v>
      </c>
      <c r="I88" t="s">
        <v>593</v>
      </c>
      <c r="J88">
        <v>-26.365555560000001</v>
      </c>
      <c r="K88">
        <v>135.79</v>
      </c>
      <c r="L88" t="s">
        <v>419</v>
      </c>
      <c r="M88" s="33" t="s">
        <v>1943</v>
      </c>
      <c r="N88" s="32">
        <v>1E-3</v>
      </c>
      <c r="O88" s="35">
        <v>1.679</v>
      </c>
      <c r="P88" s="32">
        <v>6.8689999999999998</v>
      </c>
      <c r="Q88" t="s">
        <v>890</v>
      </c>
    </row>
    <row r="89" spans="1:19">
      <c r="A89" t="s">
        <v>624</v>
      </c>
      <c r="B89" t="s">
        <v>592</v>
      </c>
      <c r="D89">
        <v>6</v>
      </c>
      <c r="E89" s="1">
        <v>42816</v>
      </c>
      <c r="F89" s="1">
        <v>43017</v>
      </c>
      <c r="G89">
        <f t="shared" si="2"/>
        <v>201</v>
      </c>
      <c r="H89" t="s">
        <v>417</v>
      </c>
      <c r="I89" t="s">
        <v>593</v>
      </c>
      <c r="J89">
        <v>-26.365555560000001</v>
      </c>
      <c r="K89">
        <v>135.79</v>
      </c>
      <c r="L89" t="s">
        <v>419</v>
      </c>
      <c r="M89" s="33" t="s">
        <v>1944</v>
      </c>
      <c r="N89" s="32">
        <v>1.4E-3</v>
      </c>
      <c r="O89" s="35">
        <v>1.569</v>
      </c>
      <c r="P89" s="35">
        <v>6.3220000000000001</v>
      </c>
      <c r="Q89" t="s">
        <v>890</v>
      </c>
    </row>
    <row r="90" spans="1:19">
      <c r="A90" t="s">
        <v>625</v>
      </c>
      <c r="B90" t="s">
        <v>592</v>
      </c>
      <c r="D90">
        <v>6</v>
      </c>
      <c r="E90" s="1">
        <v>42816</v>
      </c>
      <c r="F90" s="1">
        <v>43017</v>
      </c>
      <c r="G90">
        <f t="shared" si="2"/>
        <v>201</v>
      </c>
      <c r="H90" t="s">
        <v>417</v>
      </c>
      <c r="I90" t="s">
        <v>593</v>
      </c>
      <c r="J90">
        <v>-26.365555560000001</v>
      </c>
      <c r="K90">
        <v>135.79</v>
      </c>
      <c r="L90" t="s">
        <v>419</v>
      </c>
      <c r="M90" s="33" t="s">
        <v>1945</v>
      </c>
      <c r="N90" s="32">
        <v>2E-3</v>
      </c>
      <c r="O90" s="35">
        <v>1.3720000000000001</v>
      </c>
      <c r="P90" s="35">
        <v>5.7080000000000002</v>
      </c>
      <c r="Q90" t="s">
        <v>890</v>
      </c>
    </row>
    <row r="91" spans="1:19">
      <c r="A91" t="s">
        <v>626</v>
      </c>
      <c r="B91" t="s">
        <v>592</v>
      </c>
      <c r="D91">
        <v>6</v>
      </c>
      <c r="E91" s="1">
        <v>42816</v>
      </c>
      <c r="F91" s="1">
        <v>43017</v>
      </c>
      <c r="G91">
        <f t="shared" si="2"/>
        <v>201</v>
      </c>
      <c r="H91" t="s">
        <v>417</v>
      </c>
      <c r="I91" t="s">
        <v>593</v>
      </c>
      <c r="J91">
        <v>-26.365555560000001</v>
      </c>
      <c r="K91">
        <v>135.79</v>
      </c>
      <c r="L91" t="s">
        <v>419</v>
      </c>
      <c r="M91" s="33" t="s">
        <v>1946</v>
      </c>
      <c r="N91" s="32">
        <v>8.0000000000000004E-4</v>
      </c>
      <c r="O91" s="32">
        <v>1.617</v>
      </c>
      <c r="P91" s="35">
        <v>6.8049999999999997</v>
      </c>
      <c r="Q91" t="s">
        <v>890</v>
      </c>
    </row>
    <row r="92" spans="1:19">
      <c r="A92" t="s">
        <v>627</v>
      </c>
      <c r="B92" t="s">
        <v>592</v>
      </c>
      <c r="D92">
        <v>6</v>
      </c>
      <c r="E92" s="1">
        <v>42816</v>
      </c>
      <c r="F92" s="1">
        <v>43017</v>
      </c>
      <c r="G92">
        <f t="shared" si="2"/>
        <v>201</v>
      </c>
      <c r="H92" t="s">
        <v>417</v>
      </c>
      <c r="I92" t="s">
        <v>593</v>
      </c>
      <c r="J92">
        <v>-26.365555560000001</v>
      </c>
      <c r="K92">
        <v>135.79</v>
      </c>
      <c r="L92" t="s">
        <v>419</v>
      </c>
      <c r="M92" s="33" t="s">
        <v>1947</v>
      </c>
      <c r="N92" s="32">
        <v>1.6000000000000001E-3</v>
      </c>
      <c r="O92" s="35">
        <v>1.399</v>
      </c>
      <c r="P92" s="35">
        <v>6.2370000000000001</v>
      </c>
      <c r="Q92" t="s">
        <v>890</v>
      </c>
    </row>
    <row r="93" spans="1:19">
      <c r="A93" t="s">
        <v>628</v>
      </c>
      <c r="B93" t="s">
        <v>592</v>
      </c>
      <c r="D93">
        <v>6</v>
      </c>
      <c r="E93" s="1">
        <v>42816</v>
      </c>
      <c r="F93" s="1">
        <v>43017</v>
      </c>
      <c r="G93">
        <f t="shared" si="2"/>
        <v>201</v>
      </c>
      <c r="H93" t="s">
        <v>417</v>
      </c>
      <c r="I93" t="s">
        <v>593</v>
      </c>
      <c r="J93">
        <v>-26.365555560000001</v>
      </c>
      <c r="K93">
        <v>135.79</v>
      </c>
      <c r="L93" t="s">
        <v>419</v>
      </c>
      <c r="M93" s="33" t="s">
        <v>1948</v>
      </c>
      <c r="N93" s="32">
        <v>8.9999999999999998E-4</v>
      </c>
      <c r="O93" s="35">
        <v>1.494</v>
      </c>
      <c r="P93" s="35">
        <v>7.51</v>
      </c>
      <c r="Q93" t="s">
        <v>890</v>
      </c>
    </row>
    <row r="94" spans="1:19">
      <c r="A94" s="9" t="s">
        <v>442</v>
      </c>
      <c r="B94" t="s">
        <v>416</v>
      </c>
      <c r="C94" t="s">
        <v>431</v>
      </c>
      <c r="D94" s="10">
        <v>1</v>
      </c>
      <c r="E94" s="1">
        <v>42816</v>
      </c>
      <c r="F94" s="1">
        <v>43017</v>
      </c>
      <c r="G94">
        <f t="shared" si="2"/>
        <v>201</v>
      </c>
      <c r="H94" t="s">
        <v>417</v>
      </c>
      <c r="I94" t="s">
        <v>418</v>
      </c>
      <c r="J94">
        <v>-26.284722200000001</v>
      </c>
      <c r="K94">
        <v>136.09805556000001</v>
      </c>
      <c r="L94" t="s">
        <v>419</v>
      </c>
      <c r="M94" s="36" t="s">
        <v>1765</v>
      </c>
      <c r="N94" s="32">
        <v>6.6280000000000019E-3</v>
      </c>
      <c r="O94" s="32">
        <v>2.3769999999999998</v>
      </c>
      <c r="P94" s="32">
        <v>10.942</v>
      </c>
      <c r="Q94" s="20" t="s">
        <v>2094</v>
      </c>
    </row>
    <row r="95" spans="1:19">
      <c r="A95" t="s">
        <v>629</v>
      </c>
      <c r="B95" t="s">
        <v>592</v>
      </c>
      <c r="D95">
        <v>6</v>
      </c>
      <c r="E95" s="1">
        <v>42816</v>
      </c>
      <c r="F95" s="1">
        <v>43017</v>
      </c>
      <c r="G95">
        <f t="shared" si="2"/>
        <v>201</v>
      </c>
      <c r="H95" t="s">
        <v>417</v>
      </c>
      <c r="I95" t="s">
        <v>593</v>
      </c>
      <c r="J95">
        <v>-26.365555560000001</v>
      </c>
      <c r="K95">
        <v>135.79</v>
      </c>
      <c r="L95" t="s">
        <v>419</v>
      </c>
      <c r="M95" s="33" t="s">
        <v>1949</v>
      </c>
      <c r="N95" s="32">
        <v>3.3999999999999998E-3</v>
      </c>
      <c r="O95" s="35">
        <v>1.448</v>
      </c>
      <c r="P95" s="35">
        <v>6.5620000000000003</v>
      </c>
      <c r="Q95" t="s">
        <v>890</v>
      </c>
    </row>
    <row r="96" spans="1:19">
      <c r="A96" t="s">
        <v>630</v>
      </c>
      <c r="B96" t="s">
        <v>592</v>
      </c>
      <c r="D96">
        <v>6</v>
      </c>
      <c r="E96" s="1">
        <v>42816</v>
      </c>
      <c r="F96" s="1">
        <v>43017</v>
      </c>
      <c r="G96">
        <f t="shared" si="2"/>
        <v>201</v>
      </c>
      <c r="H96" t="s">
        <v>417</v>
      </c>
      <c r="I96" t="s">
        <v>593</v>
      </c>
      <c r="J96">
        <v>-26.365555560000001</v>
      </c>
      <c r="K96">
        <v>135.79</v>
      </c>
      <c r="L96" t="s">
        <v>419</v>
      </c>
      <c r="M96" s="33" t="s">
        <v>1950</v>
      </c>
      <c r="N96" s="32">
        <v>3.0999999999999999E-3</v>
      </c>
      <c r="O96" s="35">
        <v>1.1819999999999999</v>
      </c>
      <c r="P96" s="35">
        <v>7.1429999999999998</v>
      </c>
      <c r="Q96" t="s">
        <v>890</v>
      </c>
    </row>
    <row r="97" spans="1:19">
      <c r="A97" t="s">
        <v>631</v>
      </c>
      <c r="B97" t="s">
        <v>592</v>
      </c>
      <c r="D97">
        <v>6</v>
      </c>
      <c r="E97" s="1">
        <v>42816</v>
      </c>
      <c r="F97" s="1">
        <v>43017</v>
      </c>
      <c r="G97">
        <f t="shared" si="2"/>
        <v>201</v>
      </c>
      <c r="H97" t="s">
        <v>417</v>
      </c>
      <c r="I97" t="s">
        <v>593</v>
      </c>
      <c r="J97">
        <v>-26.365555560000001</v>
      </c>
      <c r="K97">
        <v>135.79</v>
      </c>
      <c r="L97" t="s">
        <v>419</v>
      </c>
      <c r="M97" s="33" t="s">
        <v>1951</v>
      </c>
      <c r="N97" s="32">
        <v>6.9999999999999999E-4</v>
      </c>
      <c r="O97" s="32">
        <v>1.675</v>
      </c>
      <c r="P97" s="35">
        <v>6.5780000000000003</v>
      </c>
      <c r="Q97" t="s">
        <v>890</v>
      </c>
    </row>
    <row r="98" spans="1:19">
      <c r="A98" t="s">
        <v>632</v>
      </c>
      <c r="B98" t="s">
        <v>592</v>
      </c>
      <c r="D98">
        <v>6</v>
      </c>
      <c r="E98" s="1">
        <v>42816</v>
      </c>
      <c r="F98" s="1">
        <v>43017</v>
      </c>
      <c r="G98">
        <f t="shared" ref="G98:G129" si="3">F98-E98</f>
        <v>201</v>
      </c>
      <c r="H98" t="s">
        <v>417</v>
      </c>
      <c r="I98" t="s">
        <v>593</v>
      </c>
      <c r="J98">
        <v>-26.365555560000001</v>
      </c>
      <c r="K98">
        <v>135.79</v>
      </c>
      <c r="L98" t="s">
        <v>419</v>
      </c>
      <c r="M98" s="33" t="s">
        <v>1952</v>
      </c>
      <c r="N98" s="32">
        <v>1.4E-3</v>
      </c>
      <c r="O98" s="35">
        <v>1.4450000000000001</v>
      </c>
      <c r="P98" s="35">
        <v>6.968</v>
      </c>
      <c r="Q98" t="s">
        <v>890</v>
      </c>
    </row>
    <row r="99" spans="1:19">
      <c r="A99" t="s">
        <v>633</v>
      </c>
      <c r="B99" t="s">
        <v>592</v>
      </c>
      <c r="D99">
        <v>6</v>
      </c>
      <c r="E99" s="1">
        <v>42816</v>
      </c>
      <c r="F99" s="1">
        <v>43017</v>
      </c>
      <c r="G99">
        <f t="shared" si="3"/>
        <v>201</v>
      </c>
      <c r="H99" t="s">
        <v>417</v>
      </c>
      <c r="I99" t="s">
        <v>593</v>
      </c>
      <c r="J99">
        <v>-26.365555560000001</v>
      </c>
      <c r="K99">
        <v>135.79</v>
      </c>
      <c r="L99" t="s">
        <v>419</v>
      </c>
      <c r="M99" s="33" t="s">
        <v>1953</v>
      </c>
      <c r="N99" s="32">
        <v>5.9999999999999995E-4</v>
      </c>
      <c r="O99" s="35">
        <v>1.448</v>
      </c>
      <c r="P99" s="35">
        <v>5.9409999999999998</v>
      </c>
      <c r="Q99" t="s">
        <v>890</v>
      </c>
    </row>
    <row r="100" spans="1:19">
      <c r="A100" t="s">
        <v>634</v>
      </c>
      <c r="B100" t="s">
        <v>592</v>
      </c>
      <c r="D100">
        <v>6</v>
      </c>
      <c r="E100" s="1">
        <v>42816</v>
      </c>
      <c r="F100" s="1">
        <v>43017</v>
      </c>
      <c r="G100">
        <f t="shared" si="3"/>
        <v>201</v>
      </c>
      <c r="H100" t="s">
        <v>417</v>
      </c>
      <c r="I100" t="s">
        <v>593</v>
      </c>
      <c r="J100">
        <v>-26.365555560000001</v>
      </c>
      <c r="K100">
        <v>135.79</v>
      </c>
      <c r="L100" t="s">
        <v>419</v>
      </c>
      <c r="M100" s="33" t="s">
        <v>1954</v>
      </c>
      <c r="N100" s="32">
        <v>2.9999999999999997E-4</v>
      </c>
      <c r="O100" s="32">
        <v>1.365</v>
      </c>
      <c r="P100" s="35">
        <v>5.3579999999999997</v>
      </c>
      <c r="Q100" t="s">
        <v>890</v>
      </c>
    </row>
    <row r="101" spans="1:19">
      <c r="A101" s="43" t="s">
        <v>635</v>
      </c>
      <c r="B101" s="43" t="s">
        <v>592</v>
      </c>
      <c r="C101" s="43"/>
      <c r="D101" s="43">
        <v>6</v>
      </c>
      <c r="E101" s="44">
        <v>42816</v>
      </c>
      <c r="F101" s="44">
        <v>43017</v>
      </c>
      <c r="G101" s="43">
        <f t="shared" si="3"/>
        <v>201</v>
      </c>
      <c r="H101" s="43" t="s">
        <v>417</v>
      </c>
      <c r="I101" s="43" t="s">
        <v>593</v>
      </c>
      <c r="J101" s="43">
        <v>-26.365555560000001</v>
      </c>
      <c r="K101" s="43">
        <v>135.79</v>
      </c>
      <c r="L101" s="43" t="s">
        <v>419</v>
      </c>
      <c r="M101" s="36" t="s">
        <v>1955</v>
      </c>
      <c r="N101" s="45">
        <v>1.6000000000000001E-3</v>
      </c>
      <c r="O101" s="45">
        <v>1.681</v>
      </c>
      <c r="P101" s="45">
        <v>8.2149999999999999</v>
      </c>
      <c r="Q101" s="43" t="s">
        <v>890</v>
      </c>
      <c r="R101" s="43"/>
      <c r="S101" s="43"/>
    </row>
    <row r="102" spans="1:19">
      <c r="A102" t="s">
        <v>636</v>
      </c>
      <c r="B102" t="s">
        <v>592</v>
      </c>
      <c r="D102">
        <v>6</v>
      </c>
      <c r="E102" s="1">
        <v>42816</v>
      </c>
      <c r="F102" s="1">
        <v>43017</v>
      </c>
      <c r="G102">
        <f t="shared" si="3"/>
        <v>201</v>
      </c>
      <c r="H102" t="s">
        <v>417</v>
      </c>
      <c r="I102" t="s">
        <v>593</v>
      </c>
      <c r="J102">
        <v>-26.365555560000001</v>
      </c>
      <c r="K102">
        <v>135.79</v>
      </c>
      <c r="L102" t="s">
        <v>419</v>
      </c>
      <c r="M102" s="33" t="s">
        <v>1956</v>
      </c>
      <c r="N102" s="32">
        <v>3.0999999999999999E-3</v>
      </c>
      <c r="O102" s="35">
        <v>1.1910000000000001</v>
      </c>
      <c r="P102" s="35">
        <v>5.3810000000000002</v>
      </c>
      <c r="Q102" t="s">
        <v>890</v>
      </c>
    </row>
    <row r="103" spans="1:19">
      <c r="A103" t="s">
        <v>637</v>
      </c>
      <c r="B103" t="s">
        <v>592</v>
      </c>
      <c r="D103">
        <v>6</v>
      </c>
      <c r="E103" s="1">
        <v>42816</v>
      </c>
      <c r="F103" s="1">
        <v>43017</v>
      </c>
      <c r="G103">
        <f t="shared" si="3"/>
        <v>201</v>
      </c>
      <c r="H103" t="s">
        <v>417</v>
      </c>
      <c r="I103" t="s">
        <v>593</v>
      </c>
      <c r="J103">
        <v>-26.365555560000001</v>
      </c>
      <c r="K103">
        <v>135.79</v>
      </c>
      <c r="L103" t="s">
        <v>419</v>
      </c>
      <c r="M103" s="33" t="s">
        <v>1957</v>
      </c>
      <c r="N103" s="32">
        <v>2.9999999999999997E-4</v>
      </c>
      <c r="O103" s="32">
        <v>1.546</v>
      </c>
      <c r="P103" s="35">
        <v>6.524</v>
      </c>
      <c r="Q103" t="s">
        <v>890</v>
      </c>
    </row>
    <row r="104" spans="1:19">
      <c r="A104" t="s">
        <v>638</v>
      </c>
      <c r="B104" t="s">
        <v>592</v>
      </c>
      <c r="D104">
        <v>6</v>
      </c>
      <c r="E104" s="1">
        <v>42816</v>
      </c>
      <c r="F104" s="1">
        <v>43017</v>
      </c>
      <c r="G104">
        <f t="shared" si="3"/>
        <v>201</v>
      </c>
      <c r="H104" t="s">
        <v>417</v>
      </c>
      <c r="I104" t="s">
        <v>593</v>
      </c>
      <c r="J104">
        <v>-26.365555560000001</v>
      </c>
      <c r="K104">
        <v>135.79</v>
      </c>
      <c r="L104" t="s">
        <v>419</v>
      </c>
      <c r="M104" s="33" t="s">
        <v>1958</v>
      </c>
      <c r="N104" s="32">
        <v>1.1999999999999999E-3</v>
      </c>
      <c r="O104" s="35">
        <v>1.44</v>
      </c>
      <c r="P104" s="35">
        <v>5.9509999999999996</v>
      </c>
      <c r="Q104" t="s">
        <v>890</v>
      </c>
    </row>
    <row r="105" spans="1:19">
      <c r="A105" s="9" t="s">
        <v>443</v>
      </c>
      <c r="B105" t="s">
        <v>416</v>
      </c>
      <c r="D105">
        <v>1</v>
      </c>
      <c r="E105" s="1">
        <v>42816</v>
      </c>
      <c r="F105" s="1">
        <v>43017</v>
      </c>
      <c r="G105">
        <f t="shared" si="3"/>
        <v>201</v>
      </c>
      <c r="H105" t="s">
        <v>417</v>
      </c>
      <c r="I105" t="s">
        <v>418</v>
      </c>
      <c r="J105">
        <v>-26.284722200000001</v>
      </c>
      <c r="K105">
        <v>136.09805556000001</v>
      </c>
      <c r="L105" t="s">
        <v>419</v>
      </c>
      <c r="M105" s="33" t="s">
        <v>1808</v>
      </c>
      <c r="N105" s="32">
        <v>3.3E-3</v>
      </c>
      <c r="O105" s="32">
        <v>2.4060000000000001</v>
      </c>
      <c r="P105" s="35">
        <v>10.077999999999999</v>
      </c>
      <c r="Q105" t="s">
        <v>890</v>
      </c>
    </row>
    <row r="106" spans="1:19">
      <c r="A106" t="s">
        <v>639</v>
      </c>
      <c r="B106" t="s">
        <v>592</v>
      </c>
      <c r="D106">
        <v>6</v>
      </c>
      <c r="E106" s="1">
        <v>42816</v>
      </c>
      <c r="F106" s="1">
        <v>43017</v>
      </c>
      <c r="G106">
        <f t="shared" si="3"/>
        <v>201</v>
      </c>
      <c r="H106" t="s">
        <v>417</v>
      </c>
      <c r="I106" t="s">
        <v>593</v>
      </c>
      <c r="J106">
        <v>-26.365555560000001</v>
      </c>
      <c r="K106">
        <v>135.79</v>
      </c>
      <c r="L106" t="s">
        <v>419</v>
      </c>
      <c r="M106" s="33" t="s">
        <v>1959</v>
      </c>
      <c r="N106" s="32">
        <v>1.6000000000000001E-3</v>
      </c>
      <c r="O106" s="35">
        <v>1.5449999999999999</v>
      </c>
      <c r="P106" s="35">
        <v>6.36</v>
      </c>
      <c r="Q106" t="s">
        <v>890</v>
      </c>
    </row>
    <row r="107" spans="1:19">
      <c r="A107" t="s">
        <v>640</v>
      </c>
      <c r="B107" t="s">
        <v>592</v>
      </c>
      <c r="D107">
        <v>6</v>
      </c>
      <c r="E107" s="1">
        <v>42816</v>
      </c>
      <c r="F107" s="1">
        <v>43017</v>
      </c>
      <c r="G107">
        <f t="shared" si="3"/>
        <v>201</v>
      </c>
      <c r="H107" t="s">
        <v>417</v>
      </c>
      <c r="I107" t="s">
        <v>593</v>
      </c>
      <c r="J107">
        <v>-26.365555560000001</v>
      </c>
      <c r="K107">
        <v>135.79</v>
      </c>
      <c r="L107" t="s">
        <v>419</v>
      </c>
      <c r="M107" s="33" t="s">
        <v>1960</v>
      </c>
      <c r="N107" s="32">
        <v>3.3E-3</v>
      </c>
      <c r="O107" s="35">
        <v>1.619</v>
      </c>
      <c r="P107" s="35">
        <v>7.3739999999999997</v>
      </c>
      <c r="Q107" t="s">
        <v>890</v>
      </c>
    </row>
    <row r="108" spans="1:19">
      <c r="A108" t="s">
        <v>641</v>
      </c>
      <c r="B108" t="s">
        <v>592</v>
      </c>
      <c r="D108">
        <v>6</v>
      </c>
      <c r="E108" s="1">
        <v>42816</v>
      </c>
      <c r="F108" s="1">
        <v>43017</v>
      </c>
      <c r="G108">
        <f t="shared" si="3"/>
        <v>201</v>
      </c>
      <c r="H108" t="s">
        <v>417</v>
      </c>
      <c r="I108" t="s">
        <v>593</v>
      </c>
      <c r="J108">
        <v>-26.365555560000001</v>
      </c>
      <c r="K108">
        <v>135.79</v>
      </c>
      <c r="L108" t="s">
        <v>419</v>
      </c>
      <c r="M108" s="33" t="s">
        <v>1961</v>
      </c>
      <c r="N108" s="32">
        <v>5.9999999999999995E-4</v>
      </c>
      <c r="O108" s="35">
        <v>1.339</v>
      </c>
      <c r="P108" s="35">
        <v>5.6180000000000003</v>
      </c>
      <c r="Q108" t="s">
        <v>890</v>
      </c>
    </row>
    <row r="109" spans="1:19">
      <c r="A109" t="s">
        <v>642</v>
      </c>
      <c r="B109" t="s">
        <v>592</v>
      </c>
      <c r="D109">
        <v>6</v>
      </c>
      <c r="E109" s="1">
        <v>42816</v>
      </c>
      <c r="F109" s="1">
        <v>43017</v>
      </c>
      <c r="G109">
        <f t="shared" si="3"/>
        <v>201</v>
      </c>
      <c r="H109" t="s">
        <v>417</v>
      </c>
      <c r="I109" t="s">
        <v>593</v>
      </c>
      <c r="J109">
        <v>-26.365555560000001</v>
      </c>
      <c r="K109">
        <v>135.79</v>
      </c>
      <c r="L109" t="s">
        <v>419</v>
      </c>
      <c r="M109" s="33" t="s">
        <v>1962</v>
      </c>
      <c r="N109" s="32">
        <v>8.0000000000000004E-4</v>
      </c>
      <c r="O109" s="32">
        <v>1.554</v>
      </c>
      <c r="P109" s="35">
        <v>6.0359999999999996</v>
      </c>
      <c r="Q109" t="s">
        <v>890</v>
      </c>
    </row>
    <row r="110" spans="1:19">
      <c r="A110" t="s">
        <v>643</v>
      </c>
      <c r="B110" t="s">
        <v>592</v>
      </c>
      <c r="D110">
        <v>6</v>
      </c>
      <c r="E110" s="1">
        <v>42816</v>
      </c>
      <c r="F110" s="1">
        <v>43017</v>
      </c>
      <c r="G110">
        <f t="shared" si="3"/>
        <v>201</v>
      </c>
      <c r="H110" t="s">
        <v>417</v>
      </c>
      <c r="I110" t="s">
        <v>593</v>
      </c>
      <c r="J110">
        <v>-26.365555560000001</v>
      </c>
      <c r="K110">
        <v>135.79</v>
      </c>
      <c r="L110" t="s">
        <v>419</v>
      </c>
      <c r="M110" s="33" t="s">
        <v>1963</v>
      </c>
      <c r="N110" s="32">
        <v>2.9999999999999997E-4</v>
      </c>
      <c r="O110" s="35">
        <v>1.5009999999999999</v>
      </c>
      <c r="P110" s="35">
        <v>6.9489999999999998</v>
      </c>
      <c r="Q110" t="s">
        <v>890</v>
      </c>
    </row>
    <row r="111" spans="1:19">
      <c r="A111" t="s">
        <v>644</v>
      </c>
      <c r="B111" t="s">
        <v>592</v>
      </c>
      <c r="D111">
        <v>6</v>
      </c>
      <c r="E111" s="1">
        <v>42816</v>
      </c>
      <c r="F111" s="1">
        <v>43017</v>
      </c>
      <c r="G111">
        <f t="shared" si="3"/>
        <v>201</v>
      </c>
      <c r="H111" t="s">
        <v>417</v>
      </c>
      <c r="I111" t="s">
        <v>593</v>
      </c>
      <c r="J111">
        <v>-26.365555560000001</v>
      </c>
      <c r="K111">
        <v>135.79</v>
      </c>
      <c r="L111" t="s">
        <v>419</v>
      </c>
      <c r="M111" s="33" t="s">
        <v>1964</v>
      </c>
      <c r="N111" s="32">
        <v>2.7000000000000001E-3</v>
      </c>
      <c r="O111" s="35">
        <v>1.595</v>
      </c>
      <c r="P111" s="35">
        <v>7.5110000000000001</v>
      </c>
      <c r="Q111" t="s">
        <v>890</v>
      </c>
    </row>
    <row r="112" spans="1:19">
      <c r="A112" t="s">
        <v>645</v>
      </c>
      <c r="B112" t="s">
        <v>592</v>
      </c>
      <c r="D112">
        <v>6</v>
      </c>
      <c r="E112" s="1">
        <v>42816</v>
      </c>
      <c r="F112" s="1">
        <v>43017</v>
      </c>
      <c r="G112">
        <f t="shared" si="3"/>
        <v>201</v>
      </c>
      <c r="H112" t="s">
        <v>417</v>
      </c>
      <c r="I112" t="s">
        <v>593</v>
      </c>
      <c r="J112">
        <v>-26.365555560000001</v>
      </c>
      <c r="K112">
        <v>135.79</v>
      </c>
      <c r="L112" t="s">
        <v>419</v>
      </c>
      <c r="M112" s="33" t="s">
        <v>1965</v>
      </c>
      <c r="N112" s="32">
        <v>1.1999999999999999E-3</v>
      </c>
      <c r="O112" s="35">
        <v>1.43</v>
      </c>
      <c r="P112" s="35">
        <v>7.0570000000000004</v>
      </c>
      <c r="Q112" t="s">
        <v>890</v>
      </c>
    </row>
    <row r="113" spans="1:17">
      <c r="A113" t="s">
        <v>646</v>
      </c>
      <c r="B113" t="s">
        <v>592</v>
      </c>
      <c r="D113">
        <v>6</v>
      </c>
      <c r="E113" s="1">
        <v>42816</v>
      </c>
      <c r="F113" s="1">
        <v>43017</v>
      </c>
      <c r="G113">
        <f t="shared" si="3"/>
        <v>201</v>
      </c>
      <c r="H113" t="s">
        <v>417</v>
      </c>
      <c r="I113" t="s">
        <v>593</v>
      </c>
      <c r="J113">
        <v>-26.365555560000001</v>
      </c>
      <c r="K113">
        <v>135.79</v>
      </c>
      <c r="L113" t="s">
        <v>419</v>
      </c>
      <c r="M113" s="33" t="s">
        <v>1966</v>
      </c>
      <c r="N113" s="32">
        <v>1.1000000000000001E-3</v>
      </c>
      <c r="O113" s="35">
        <v>1.415</v>
      </c>
      <c r="P113" s="35">
        <v>6.7629999999999999</v>
      </c>
      <c r="Q113" t="s">
        <v>890</v>
      </c>
    </row>
    <row r="114" spans="1:17">
      <c r="A114" t="s">
        <v>647</v>
      </c>
      <c r="B114" t="s">
        <v>592</v>
      </c>
      <c r="D114">
        <v>6</v>
      </c>
      <c r="E114" s="1">
        <v>42816</v>
      </c>
      <c r="F114" s="1">
        <v>43017</v>
      </c>
      <c r="G114">
        <f t="shared" si="3"/>
        <v>201</v>
      </c>
      <c r="H114" t="s">
        <v>417</v>
      </c>
      <c r="I114" t="s">
        <v>593</v>
      </c>
      <c r="J114">
        <v>-26.365555560000001</v>
      </c>
      <c r="K114">
        <v>135.79</v>
      </c>
      <c r="L114" t="s">
        <v>419</v>
      </c>
      <c r="M114" s="33" t="s">
        <v>1967</v>
      </c>
      <c r="N114" s="32">
        <v>5.0000000000000001E-4</v>
      </c>
      <c r="O114" s="32">
        <v>1.653</v>
      </c>
      <c r="P114" s="35">
        <v>6.5540000000000003</v>
      </c>
      <c r="Q114" t="s">
        <v>890</v>
      </c>
    </row>
    <row r="115" spans="1:17">
      <c r="A115" t="s">
        <v>648</v>
      </c>
      <c r="B115" t="s">
        <v>592</v>
      </c>
      <c r="D115">
        <v>6</v>
      </c>
      <c r="E115" s="1">
        <v>42816</v>
      </c>
      <c r="F115" s="1">
        <v>43017</v>
      </c>
      <c r="G115">
        <f t="shared" si="3"/>
        <v>201</v>
      </c>
      <c r="H115" t="s">
        <v>417</v>
      </c>
      <c r="I115" t="s">
        <v>593</v>
      </c>
      <c r="J115">
        <v>-26.365555560000001</v>
      </c>
      <c r="K115">
        <v>135.79</v>
      </c>
      <c r="L115" t="s">
        <v>419</v>
      </c>
      <c r="M115" s="33" t="s">
        <v>1968</v>
      </c>
      <c r="N115" s="32">
        <v>8.0000000000000004E-4</v>
      </c>
      <c r="O115" s="35">
        <v>1.5880000000000001</v>
      </c>
      <c r="P115" s="32">
        <v>6.9660000000000002</v>
      </c>
      <c r="Q115" t="s">
        <v>890</v>
      </c>
    </row>
    <row r="116" spans="1:17">
      <c r="A116" s="9" t="s">
        <v>444</v>
      </c>
      <c r="B116" t="s">
        <v>421</v>
      </c>
      <c r="C116" t="s">
        <v>422</v>
      </c>
      <c r="D116" s="9">
        <v>1</v>
      </c>
      <c r="E116" s="1">
        <v>42816</v>
      </c>
      <c r="F116" s="1">
        <v>43017</v>
      </c>
      <c r="G116">
        <f t="shared" si="3"/>
        <v>201</v>
      </c>
      <c r="H116" t="s">
        <v>417</v>
      </c>
      <c r="I116" t="s">
        <v>418</v>
      </c>
      <c r="J116">
        <v>-26.284722200000001</v>
      </c>
      <c r="K116">
        <v>136.09805556000001</v>
      </c>
      <c r="L116" t="s">
        <v>419</v>
      </c>
      <c r="M116" s="36" t="s">
        <v>1766</v>
      </c>
      <c r="N116" s="32">
        <v>4.0280000000000038E-3</v>
      </c>
      <c r="O116" s="35">
        <v>2.5880000000000001</v>
      </c>
      <c r="P116" s="35">
        <v>9.82</v>
      </c>
      <c r="Q116" s="20" t="s">
        <v>2094</v>
      </c>
    </row>
    <row r="117" spans="1:17">
      <c r="A117" t="s">
        <v>649</v>
      </c>
      <c r="B117" t="s">
        <v>592</v>
      </c>
      <c r="D117">
        <v>6</v>
      </c>
      <c r="E117" s="1">
        <v>42816</v>
      </c>
      <c r="F117" s="1">
        <v>43017</v>
      </c>
      <c r="G117">
        <f t="shared" si="3"/>
        <v>201</v>
      </c>
      <c r="H117" t="s">
        <v>417</v>
      </c>
      <c r="I117" t="s">
        <v>593</v>
      </c>
      <c r="J117">
        <v>-26.365555560000001</v>
      </c>
      <c r="K117">
        <v>135.79</v>
      </c>
      <c r="L117" t="s">
        <v>419</v>
      </c>
      <c r="M117" s="33" t="s">
        <v>1969</v>
      </c>
      <c r="N117" s="34">
        <v>2E-3</v>
      </c>
      <c r="O117" s="32">
        <v>1.9910000000000001</v>
      </c>
      <c r="P117" s="35">
        <v>8.3659999999999997</v>
      </c>
      <c r="Q117" s="73" t="s">
        <v>890</v>
      </c>
    </row>
    <row r="118" spans="1:17">
      <c r="A118" t="s">
        <v>650</v>
      </c>
      <c r="B118" t="s">
        <v>592</v>
      </c>
      <c r="D118">
        <v>6</v>
      </c>
      <c r="E118" s="1">
        <v>42816</v>
      </c>
      <c r="F118" s="1">
        <v>43017</v>
      </c>
      <c r="G118">
        <f t="shared" si="3"/>
        <v>201</v>
      </c>
      <c r="H118" t="s">
        <v>417</v>
      </c>
      <c r="I118" t="s">
        <v>593</v>
      </c>
      <c r="J118">
        <v>-26.365555560000001</v>
      </c>
      <c r="K118">
        <v>135.79</v>
      </c>
      <c r="L118" t="s">
        <v>419</v>
      </c>
      <c r="M118" s="33" t="s">
        <v>1970</v>
      </c>
      <c r="N118" s="34">
        <v>1.2999999999999999E-3</v>
      </c>
      <c r="O118" s="32">
        <v>1.52</v>
      </c>
      <c r="P118" s="35">
        <v>6.8979999999999997</v>
      </c>
      <c r="Q118" s="73" t="s">
        <v>890</v>
      </c>
    </row>
    <row r="119" spans="1:17">
      <c r="A119" t="s">
        <v>651</v>
      </c>
      <c r="B119" t="s">
        <v>592</v>
      </c>
      <c r="D119">
        <v>6</v>
      </c>
      <c r="E119" s="1">
        <v>42816</v>
      </c>
      <c r="F119" s="1">
        <v>43017</v>
      </c>
      <c r="G119">
        <f t="shared" si="3"/>
        <v>201</v>
      </c>
      <c r="H119" t="s">
        <v>417</v>
      </c>
      <c r="I119" t="s">
        <v>593</v>
      </c>
      <c r="J119">
        <v>-26.365555560000001</v>
      </c>
      <c r="K119">
        <v>135.79</v>
      </c>
      <c r="L119" t="s">
        <v>419</v>
      </c>
      <c r="M119" s="33" t="s">
        <v>1971</v>
      </c>
      <c r="N119" s="34">
        <v>1E-3</v>
      </c>
      <c r="O119" s="32">
        <v>1.28</v>
      </c>
      <c r="P119" s="35">
        <v>5.5739999999999998</v>
      </c>
      <c r="Q119" s="73" t="s">
        <v>890</v>
      </c>
    </row>
    <row r="120" spans="1:17">
      <c r="A120" t="s">
        <v>652</v>
      </c>
      <c r="B120" t="s">
        <v>592</v>
      </c>
      <c r="D120">
        <v>6</v>
      </c>
      <c r="E120" s="1">
        <v>42816</v>
      </c>
      <c r="F120" s="1">
        <v>43017</v>
      </c>
      <c r="G120">
        <f t="shared" si="3"/>
        <v>201</v>
      </c>
      <c r="H120" t="s">
        <v>417</v>
      </c>
      <c r="I120" t="s">
        <v>593</v>
      </c>
      <c r="J120">
        <v>-26.365555560000001</v>
      </c>
      <c r="K120">
        <v>135.79</v>
      </c>
      <c r="L120" t="s">
        <v>419</v>
      </c>
      <c r="M120" s="33" t="s">
        <v>1972</v>
      </c>
      <c r="N120" s="32">
        <v>8.0000000000000004E-4</v>
      </c>
      <c r="O120" s="32">
        <v>1.7210000000000001</v>
      </c>
      <c r="P120" s="35">
        <v>7.3680000000000003</v>
      </c>
      <c r="Q120" t="s">
        <v>890</v>
      </c>
    </row>
    <row r="121" spans="1:17">
      <c r="A121" t="s">
        <v>653</v>
      </c>
      <c r="B121" t="s">
        <v>592</v>
      </c>
      <c r="D121">
        <v>6</v>
      </c>
      <c r="E121" s="1">
        <v>42816</v>
      </c>
      <c r="F121" s="1">
        <v>43017</v>
      </c>
      <c r="G121">
        <f t="shared" si="3"/>
        <v>201</v>
      </c>
      <c r="H121" t="s">
        <v>417</v>
      </c>
      <c r="I121" t="s">
        <v>593</v>
      </c>
      <c r="J121">
        <v>-26.365555560000001</v>
      </c>
      <c r="K121">
        <v>135.79</v>
      </c>
      <c r="L121" t="s">
        <v>419</v>
      </c>
      <c r="M121" s="33" t="s">
        <v>1973</v>
      </c>
      <c r="N121" s="34">
        <v>2.9999999999999997E-4</v>
      </c>
      <c r="O121" s="32">
        <v>1.52</v>
      </c>
      <c r="P121" s="35">
        <v>6.5030000000000001</v>
      </c>
      <c r="Q121" s="73" t="s">
        <v>890</v>
      </c>
    </row>
    <row r="122" spans="1:17">
      <c r="A122" t="s">
        <v>654</v>
      </c>
      <c r="B122" t="s">
        <v>592</v>
      </c>
      <c r="D122">
        <v>6</v>
      </c>
      <c r="E122" s="1">
        <v>42816</v>
      </c>
      <c r="F122" s="1">
        <v>43017</v>
      </c>
      <c r="G122">
        <f t="shared" si="3"/>
        <v>201</v>
      </c>
      <c r="H122" t="s">
        <v>417</v>
      </c>
      <c r="I122" t="s">
        <v>593</v>
      </c>
      <c r="J122">
        <v>-26.365555560000001</v>
      </c>
      <c r="K122">
        <v>135.79</v>
      </c>
      <c r="L122" t="s">
        <v>419</v>
      </c>
      <c r="M122" s="33" t="s">
        <v>1974</v>
      </c>
      <c r="N122" s="34">
        <v>8.0000000000000004E-4</v>
      </c>
      <c r="O122" s="32">
        <v>1.409</v>
      </c>
      <c r="P122" s="35">
        <v>5.6230000000000002</v>
      </c>
      <c r="Q122" s="73" t="s">
        <v>890</v>
      </c>
    </row>
    <row r="123" spans="1:17">
      <c r="A123" t="s">
        <v>655</v>
      </c>
      <c r="B123" t="s">
        <v>592</v>
      </c>
      <c r="D123">
        <v>6</v>
      </c>
      <c r="E123" s="1">
        <v>42816</v>
      </c>
      <c r="F123" s="1">
        <v>43017</v>
      </c>
      <c r="G123">
        <f t="shared" si="3"/>
        <v>201</v>
      </c>
      <c r="H123" t="s">
        <v>417</v>
      </c>
      <c r="I123" t="s">
        <v>593</v>
      </c>
      <c r="J123">
        <v>-26.365555560000001</v>
      </c>
      <c r="K123">
        <v>135.79</v>
      </c>
      <c r="L123" t="s">
        <v>419</v>
      </c>
      <c r="M123" s="33" t="s">
        <v>1975</v>
      </c>
      <c r="N123" s="32">
        <v>5.9999999999999995E-4</v>
      </c>
      <c r="O123" s="32">
        <v>1.51</v>
      </c>
      <c r="P123" s="35">
        <v>6.5890000000000004</v>
      </c>
      <c r="Q123" t="s">
        <v>890</v>
      </c>
    </row>
    <row r="124" spans="1:17">
      <c r="A124" t="s">
        <v>656</v>
      </c>
      <c r="B124" t="s">
        <v>592</v>
      </c>
      <c r="D124">
        <v>6</v>
      </c>
      <c r="E124" s="1">
        <v>42816</v>
      </c>
      <c r="F124" s="1">
        <v>43017</v>
      </c>
      <c r="G124">
        <f t="shared" si="3"/>
        <v>201</v>
      </c>
      <c r="H124" t="s">
        <v>417</v>
      </c>
      <c r="I124" t="s">
        <v>593</v>
      </c>
      <c r="J124">
        <v>-26.365555560000001</v>
      </c>
      <c r="K124">
        <v>135.79</v>
      </c>
      <c r="L124" t="s">
        <v>419</v>
      </c>
      <c r="M124" s="33" t="s">
        <v>1976</v>
      </c>
      <c r="N124" s="32">
        <v>8.0000000000000004E-4</v>
      </c>
      <c r="O124" s="32">
        <v>1.3779999999999999</v>
      </c>
      <c r="P124" s="35">
        <v>6.4249999999999998</v>
      </c>
      <c r="Q124" t="s">
        <v>890</v>
      </c>
    </row>
    <row r="125" spans="1:17">
      <c r="A125" t="s">
        <v>657</v>
      </c>
      <c r="B125" t="s">
        <v>592</v>
      </c>
      <c r="D125">
        <v>6</v>
      </c>
      <c r="E125" s="1">
        <v>42816</v>
      </c>
      <c r="F125" s="1">
        <v>43017</v>
      </c>
      <c r="G125">
        <f t="shared" si="3"/>
        <v>201</v>
      </c>
      <c r="H125" t="s">
        <v>417</v>
      </c>
      <c r="I125" t="s">
        <v>593</v>
      </c>
      <c r="J125">
        <v>-26.365555560000001</v>
      </c>
      <c r="K125">
        <v>135.79</v>
      </c>
      <c r="L125" t="s">
        <v>419</v>
      </c>
      <c r="M125" s="33" t="s">
        <v>1977</v>
      </c>
      <c r="N125" s="32">
        <v>1E-3</v>
      </c>
      <c r="O125" s="32">
        <v>1.5129999999999999</v>
      </c>
      <c r="P125" s="35">
        <v>6.6029999999999998</v>
      </c>
      <c r="Q125" t="s">
        <v>890</v>
      </c>
    </row>
    <row r="126" spans="1:17">
      <c r="A126" t="s">
        <v>658</v>
      </c>
      <c r="B126" t="s">
        <v>592</v>
      </c>
      <c r="D126">
        <v>6</v>
      </c>
      <c r="E126" s="1">
        <v>42816</v>
      </c>
      <c r="F126" s="1">
        <v>43017</v>
      </c>
      <c r="G126">
        <f t="shared" si="3"/>
        <v>201</v>
      </c>
      <c r="H126" t="s">
        <v>417</v>
      </c>
      <c r="I126" t="s">
        <v>593</v>
      </c>
      <c r="J126">
        <v>-26.365555560000001</v>
      </c>
      <c r="K126">
        <v>135.79</v>
      </c>
      <c r="L126" t="s">
        <v>419</v>
      </c>
      <c r="M126" s="33" t="s">
        <v>1978</v>
      </c>
      <c r="N126" s="34">
        <v>1.6999999999999999E-3</v>
      </c>
      <c r="O126" s="35">
        <v>1.5129999999999999</v>
      </c>
      <c r="P126" s="32">
        <v>7.6980000000000004</v>
      </c>
      <c r="Q126" s="73" t="s">
        <v>890</v>
      </c>
    </row>
    <row r="127" spans="1:17">
      <c r="A127" s="9" t="s">
        <v>445</v>
      </c>
      <c r="B127" t="s">
        <v>421</v>
      </c>
      <c r="C127" t="s">
        <v>422</v>
      </c>
      <c r="D127">
        <v>1</v>
      </c>
      <c r="E127" s="1">
        <v>42816</v>
      </c>
      <c r="F127" s="1">
        <v>43017</v>
      </c>
      <c r="G127">
        <f t="shared" si="3"/>
        <v>201</v>
      </c>
      <c r="H127" t="s">
        <v>417</v>
      </c>
      <c r="I127" t="s">
        <v>418</v>
      </c>
      <c r="J127">
        <v>-26.284722200000001</v>
      </c>
      <c r="K127">
        <v>136.09805556000001</v>
      </c>
      <c r="L127" t="s">
        <v>419</v>
      </c>
      <c r="M127" s="36" t="s">
        <v>1767</v>
      </c>
      <c r="N127" s="34">
        <v>1.7028000000000001E-2</v>
      </c>
      <c r="O127" s="35">
        <v>3.9969999999999999</v>
      </c>
      <c r="P127" s="35">
        <v>21.079000000000001</v>
      </c>
      <c r="Q127" s="40" t="s">
        <v>2094</v>
      </c>
    </row>
    <row r="128" spans="1:17">
      <c r="A128" t="s">
        <v>659</v>
      </c>
      <c r="B128" t="s">
        <v>592</v>
      </c>
      <c r="D128">
        <v>6</v>
      </c>
      <c r="E128" s="1">
        <v>42816</v>
      </c>
      <c r="F128" s="1">
        <v>43017</v>
      </c>
      <c r="G128">
        <f t="shared" si="3"/>
        <v>201</v>
      </c>
      <c r="H128" t="s">
        <v>417</v>
      </c>
      <c r="I128" t="s">
        <v>593</v>
      </c>
      <c r="J128">
        <v>-26.365555560000001</v>
      </c>
      <c r="K128">
        <v>135.79</v>
      </c>
      <c r="L128" t="s">
        <v>419</v>
      </c>
      <c r="M128" s="33" t="s">
        <v>1979</v>
      </c>
      <c r="N128" s="32">
        <v>6.9999999999999999E-4</v>
      </c>
      <c r="O128" s="32">
        <v>1.252</v>
      </c>
      <c r="P128" s="35">
        <v>6.2809999999999997</v>
      </c>
      <c r="Q128" t="s">
        <v>890</v>
      </c>
    </row>
    <row r="129" spans="1:19">
      <c r="A129" t="s">
        <v>660</v>
      </c>
      <c r="B129" t="s">
        <v>592</v>
      </c>
      <c r="D129">
        <v>6</v>
      </c>
      <c r="E129" s="1">
        <v>42816</v>
      </c>
      <c r="F129" s="1">
        <v>43017</v>
      </c>
      <c r="G129">
        <f t="shared" si="3"/>
        <v>201</v>
      </c>
      <c r="H129" t="s">
        <v>417</v>
      </c>
      <c r="I129" t="s">
        <v>593</v>
      </c>
      <c r="J129">
        <v>-26.365555560000001</v>
      </c>
      <c r="K129">
        <v>135.79</v>
      </c>
      <c r="L129" t="s">
        <v>419</v>
      </c>
      <c r="M129" s="33" t="s">
        <v>1980</v>
      </c>
      <c r="N129" s="32">
        <v>2.5999999999999999E-3</v>
      </c>
      <c r="O129" s="32">
        <v>2.169</v>
      </c>
      <c r="P129" s="35">
        <v>9.2370000000000001</v>
      </c>
      <c r="Q129" t="s">
        <v>890</v>
      </c>
    </row>
    <row r="130" spans="1:19">
      <c r="A130" t="s">
        <v>661</v>
      </c>
      <c r="B130" t="s">
        <v>592</v>
      </c>
      <c r="D130">
        <v>6</v>
      </c>
      <c r="E130" s="1">
        <v>42816</v>
      </c>
      <c r="F130" s="1">
        <v>43017</v>
      </c>
      <c r="G130">
        <f t="shared" ref="G130:G137" si="4">F130-E130</f>
        <v>201</v>
      </c>
      <c r="H130" t="s">
        <v>417</v>
      </c>
      <c r="I130" t="s">
        <v>593</v>
      </c>
      <c r="J130">
        <v>-26.365555560000001</v>
      </c>
      <c r="K130">
        <v>135.79</v>
      </c>
      <c r="L130" t="s">
        <v>419</v>
      </c>
      <c r="M130" s="33" t="s">
        <v>1981</v>
      </c>
      <c r="N130" s="32">
        <v>1.1000000000000001E-3</v>
      </c>
      <c r="O130" s="32">
        <v>1.6639999999999999</v>
      </c>
      <c r="P130" s="35">
        <v>6.9630000000000001</v>
      </c>
      <c r="Q130" t="s">
        <v>890</v>
      </c>
    </row>
    <row r="131" spans="1:19">
      <c r="A131" t="s">
        <v>662</v>
      </c>
      <c r="B131" t="s">
        <v>592</v>
      </c>
      <c r="D131">
        <v>6</v>
      </c>
      <c r="E131" s="1">
        <v>42816</v>
      </c>
      <c r="F131" s="1">
        <v>43017</v>
      </c>
      <c r="G131">
        <f t="shared" si="4"/>
        <v>201</v>
      </c>
      <c r="H131" t="s">
        <v>417</v>
      </c>
      <c r="I131" t="s">
        <v>593</v>
      </c>
      <c r="J131">
        <v>-26.365555560000001</v>
      </c>
      <c r="K131">
        <v>135.79</v>
      </c>
      <c r="L131" t="s">
        <v>419</v>
      </c>
      <c r="M131" s="33" t="s">
        <v>1982</v>
      </c>
      <c r="N131" s="32">
        <v>4.0000000000000002E-4</v>
      </c>
      <c r="O131" s="32">
        <v>1.262</v>
      </c>
      <c r="P131" s="35">
        <v>4.8769999999999998</v>
      </c>
      <c r="Q131" t="s">
        <v>890</v>
      </c>
    </row>
    <row r="132" spans="1:19">
      <c r="A132" t="s">
        <v>663</v>
      </c>
      <c r="B132" t="s">
        <v>592</v>
      </c>
      <c r="D132">
        <v>6</v>
      </c>
      <c r="E132" s="1">
        <v>42816</v>
      </c>
      <c r="F132" s="1">
        <v>43017</v>
      </c>
      <c r="G132">
        <f t="shared" si="4"/>
        <v>201</v>
      </c>
      <c r="H132" t="s">
        <v>417</v>
      </c>
      <c r="I132" t="s">
        <v>593</v>
      </c>
      <c r="J132">
        <v>-26.365555560000001</v>
      </c>
      <c r="K132">
        <v>135.79</v>
      </c>
      <c r="L132" t="s">
        <v>419</v>
      </c>
      <c r="M132" s="33" t="s">
        <v>1983</v>
      </c>
      <c r="N132" s="32">
        <v>5.9999999999999995E-4</v>
      </c>
      <c r="O132" s="32">
        <v>1.4870000000000001</v>
      </c>
      <c r="P132" s="35">
        <v>5.7350000000000003</v>
      </c>
      <c r="Q132" t="s">
        <v>890</v>
      </c>
    </row>
    <row r="133" spans="1:19">
      <c r="A133" t="s">
        <v>664</v>
      </c>
      <c r="B133" t="s">
        <v>592</v>
      </c>
      <c r="D133">
        <v>6</v>
      </c>
      <c r="E133" s="1">
        <v>42816</v>
      </c>
      <c r="F133" s="1">
        <v>43017</v>
      </c>
      <c r="G133">
        <f t="shared" si="4"/>
        <v>201</v>
      </c>
      <c r="H133" t="s">
        <v>417</v>
      </c>
      <c r="I133" t="s">
        <v>593</v>
      </c>
      <c r="J133">
        <v>-26.365555560000001</v>
      </c>
      <c r="K133">
        <v>135.79</v>
      </c>
      <c r="L133" t="s">
        <v>419</v>
      </c>
      <c r="M133" s="33" t="s">
        <v>1984</v>
      </c>
      <c r="N133" s="32">
        <v>6.9999999999999999E-4</v>
      </c>
      <c r="O133" s="32">
        <v>1.472</v>
      </c>
      <c r="P133" s="35">
        <v>6.6769999999999996</v>
      </c>
      <c r="Q133" t="s">
        <v>890</v>
      </c>
    </row>
    <row r="134" spans="1:19">
      <c r="A134" t="s">
        <v>665</v>
      </c>
      <c r="B134" t="s">
        <v>592</v>
      </c>
      <c r="D134">
        <v>6</v>
      </c>
      <c r="E134" s="1">
        <v>42816</v>
      </c>
      <c r="F134" s="1">
        <v>43017</v>
      </c>
      <c r="G134">
        <f t="shared" si="4"/>
        <v>201</v>
      </c>
      <c r="H134" t="s">
        <v>417</v>
      </c>
      <c r="I134" t="s">
        <v>593</v>
      </c>
      <c r="J134">
        <v>-26.365555560000001</v>
      </c>
      <c r="K134">
        <v>135.79</v>
      </c>
      <c r="L134" t="s">
        <v>419</v>
      </c>
      <c r="M134" s="33" t="s">
        <v>1985</v>
      </c>
      <c r="N134" s="32">
        <v>2.3999999999999998E-3</v>
      </c>
      <c r="O134" s="32">
        <v>2.0409999999999999</v>
      </c>
      <c r="P134" s="35">
        <v>8.923</v>
      </c>
      <c r="Q134" t="s">
        <v>890</v>
      </c>
    </row>
    <row r="135" spans="1:19">
      <c r="A135" t="s">
        <v>666</v>
      </c>
      <c r="B135" t="s">
        <v>592</v>
      </c>
      <c r="D135">
        <v>6</v>
      </c>
      <c r="E135" s="1">
        <v>42816</v>
      </c>
      <c r="F135" s="1">
        <v>43017</v>
      </c>
      <c r="G135">
        <f t="shared" si="4"/>
        <v>201</v>
      </c>
      <c r="H135" t="s">
        <v>417</v>
      </c>
      <c r="I135" t="s">
        <v>593</v>
      </c>
      <c r="J135">
        <v>-26.365555560000001</v>
      </c>
      <c r="K135">
        <v>135.79</v>
      </c>
      <c r="L135" t="s">
        <v>419</v>
      </c>
      <c r="M135" s="33" t="s">
        <v>1986</v>
      </c>
      <c r="N135" s="32">
        <v>8.0000000000000004E-4</v>
      </c>
      <c r="O135" s="35">
        <v>1.6659999999999999</v>
      </c>
      <c r="P135" s="32">
        <v>6.4279999999999999</v>
      </c>
      <c r="Q135" t="s">
        <v>890</v>
      </c>
    </row>
    <row r="136" spans="1:19">
      <c r="A136" t="s">
        <v>667</v>
      </c>
      <c r="B136" t="s">
        <v>592</v>
      </c>
      <c r="D136">
        <v>6</v>
      </c>
      <c r="E136" s="1">
        <v>42816</v>
      </c>
      <c r="F136" s="1">
        <v>43017</v>
      </c>
      <c r="G136">
        <f t="shared" si="4"/>
        <v>201</v>
      </c>
      <c r="H136" t="s">
        <v>417</v>
      </c>
      <c r="I136" t="s">
        <v>593</v>
      </c>
      <c r="J136">
        <v>-26.365555560000001</v>
      </c>
      <c r="K136">
        <v>135.79</v>
      </c>
      <c r="L136" t="s">
        <v>419</v>
      </c>
      <c r="M136" s="33" t="s">
        <v>1987</v>
      </c>
      <c r="N136" s="32">
        <v>2.8E-3</v>
      </c>
      <c r="O136" s="32">
        <v>2.0550000000000002</v>
      </c>
      <c r="P136" s="35">
        <v>9.4740000000000002</v>
      </c>
      <c r="Q136" t="s">
        <v>890</v>
      </c>
    </row>
    <row r="137" spans="1:19">
      <c r="A137" t="s">
        <v>668</v>
      </c>
      <c r="B137" t="s">
        <v>592</v>
      </c>
      <c r="D137">
        <v>6</v>
      </c>
      <c r="E137" s="1">
        <v>42816</v>
      </c>
      <c r="F137" s="1">
        <v>43017</v>
      </c>
      <c r="G137">
        <f t="shared" si="4"/>
        <v>201</v>
      </c>
      <c r="H137" t="s">
        <v>417</v>
      </c>
      <c r="I137" t="s">
        <v>593</v>
      </c>
      <c r="J137">
        <v>-26.365555560000001</v>
      </c>
      <c r="K137">
        <v>135.79</v>
      </c>
      <c r="L137" t="s">
        <v>419</v>
      </c>
      <c r="M137" s="33" t="s">
        <v>1988</v>
      </c>
      <c r="N137" s="32">
        <v>1.1999999999999999E-3</v>
      </c>
      <c r="O137" s="32">
        <v>1.645</v>
      </c>
      <c r="P137" s="35">
        <v>6.2080000000000002</v>
      </c>
      <c r="Q137" t="s">
        <v>890</v>
      </c>
    </row>
    <row r="138" spans="1:19">
      <c r="A138" s="2" t="s">
        <v>446</v>
      </c>
      <c r="B138" s="2"/>
      <c r="C138" s="2"/>
      <c r="D138" s="2"/>
      <c r="E138" s="2" t="s">
        <v>36</v>
      </c>
      <c r="F138" s="2" t="s">
        <v>36</v>
      </c>
      <c r="G138" s="2" t="s">
        <v>36</v>
      </c>
      <c r="H138" s="2" t="s">
        <v>36</v>
      </c>
      <c r="I138" t="s">
        <v>418</v>
      </c>
      <c r="J138">
        <v>-26.284722200000001</v>
      </c>
      <c r="K138">
        <v>136.09805556000001</v>
      </c>
      <c r="L138" t="s">
        <v>419</v>
      </c>
      <c r="M138" s="36" t="s">
        <v>1768</v>
      </c>
      <c r="N138" s="32">
        <v>2.3828000000000002E-2</v>
      </c>
      <c r="O138" s="32">
        <v>4.7939999999999996</v>
      </c>
      <c r="P138" s="32">
        <v>16.378</v>
      </c>
      <c r="Q138" s="20" t="s">
        <v>2094</v>
      </c>
    </row>
    <row r="139" spans="1:19">
      <c r="A139" t="s">
        <v>669</v>
      </c>
      <c r="B139" t="s">
        <v>592</v>
      </c>
      <c r="D139">
        <v>6</v>
      </c>
      <c r="E139" s="1">
        <v>42816</v>
      </c>
      <c r="F139" s="1">
        <v>43017</v>
      </c>
      <c r="G139">
        <f t="shared" ref="G139:G170" si="5">F139-E139</f>
        <v>201</v>
      </c>
      <c r="H139" t="s">
        <v>417</v>
      </c>
      <c r="I139" t="s">
        <v>593</v>
      </c>
      <c r="J139">
        <v>-26.365555560000001</v>
      </c>
      <c r="K139">
        <v>135.79</v>
      </c>
      <c r="L139" t="s">
        <v>419</v>
      </c>
      <c r="M139" s="33" t="s">
        <v>1989</v>
      </c>
      <c r="N139" s="32">
        <v>1.1000000000000001E-3</v>
      </c>
      <c r="O139" s="32">
        <v>1.52</v>
      </c>
      <c r="P139" s="35">
        <v>6.3739999999999997</v>
      </c>
      <c r="Q139" t="s">
        <v>890</v>
      </c>
    </row>
    <row r="140" spans="1:19">
      <c r="A140" s="9" t="s">
        <v>447</v>
      </c>
      <c r="B140" t="s">
        <v>416</v>
      </c>
      <c r="D140">
        <v>1</v>
      </c>
      <c r="E140" s="1">
        <v>42816</v>
      </c>
      <c r="F140" s="1">
        <v>43017</v>
      </c>
      <c r="G140">
        <f t="shared" si="5"/>
        <v>201</v>
      </c>
      <c r="H140" t="s">
        <v>417</v>
      </c>
      <c r="I140" t="s">
        <v>418</v>
      </c>
      <c r="J140">
        <v>-26.284722200000001</v>
      </c>
      <c r="K140">
        <v>136.09805556000001</v>
      </c>
      <c r="L140" t="s">
        <v>419</v>
      </c>
      <c r="M140" s="33" t="s">
        <v>1809</v>
      </c>
      <c r="N140" s="32">
        <v>4.1000000000000003E-3</v>
      </c>
      <c r="O140" s="32">
        <v>2.5019999999999998</v>
      </c>
      <c r="P140" s="35">
        <v>10.731</v>
      </c>
      <c r="Q140" t="s">
        <v>890</v>
      </c>
    </row>
    <row r="141" spans="1:19">
      <c r="A141" s="9" t="s">
        <v>448</v>
      </c>
      <c r="B141" t="s">
        <v>416</v>
      </c>
      <c r="D141">
        <v>1</v>
      </c>
      <c r="E141" s="1">
        <v>42816</v>
      </c>
      <c r="F141" s="1">
        <v>43017</v>
      </c>
      <c r="G141">
        <f t="shared" si="5"/>
        <v>201</v>
      </c>
      <c r="H141" t="s">
        <v>417</v>
      </c>
      <c r="I141" t="s">
        <v>418</v>
      </c>
      <c r="J141">
        <v>-26.284722200000001</v>
      </c>
      <c r="K141">
        <v>136.09805556000001</v>
      </c>
      <c r="L141" t="s">
        <v>419</v>
      </c>
      <c r="M141" s="33" t="s">
        <v>1810</v>
      </c>
      <c r="N141" s="32">
        <v>5.0000000000000001E-4</v>
      </c>
      <c r="O141" s="32">
        <v>1.3660000000000001</v>
      </c>
      <c r="P141" s="35">
        <v>7.06</v>
      </c>
      <c r="Q141" t="s">
        <v>890</v>
      </c>
    </row>
    <row r="142" spans="1:19">
      <c r="A142" t="s">
        <v>670</v>
      </c>
      <c r="B142" t="s">
        <v>592</v>
      </c>
      <c r="D142">
        <v>6</v>
      </c>
      <c r="E142" s="1">
        <v>42816</v>
      </c>
      <c r="F142" s="1">
        <v>43017</v>
      </c>
      <c r="G142">
        <f t="shared" si="5"/>
        <v>201</v>
      </c>
      <c r="H142" t="s">
        <v>417</v>
      </c>
      <c r="I142" t="s">
        <v>593</v>
      </c>
      <c r="J142">
        <v>-26.365555560000001</v>
      </c>
      <c r="K142">
        <v>135.79</v>
      </c>
      <c r="L142" t="s">
        <v>419</v>
      </c>
      <c r="M142" s="33" t="s">
        <v>1990</v>
      </c>
      <c r="N142" s="32">
        <v>4.0000000000000002E-4</v>
      </c>
      <c r="O142" s="32">
        <v>1.298</v>
      </c>
      <c r="P142" s="35">
        <v>6.7060000000000004</v>
      </c>
      <c r="Q142" t="s">
        <v>890</v>
      </c>
    </row>
    <row r="143" spans="1:19">
      <c r="A143" t="s">
        <v>671</v>
      </c>
      <c r="B143" t="s">
        <v>592</v>
      </c>
      <c r="D143">
        <v>6</v>
      </c>
      <c r="E143" s="1">
        <v>42816</v>
      </c>
      <c r="F143" s="1">
        <v>43017</v>
      </c>
      <c r="G143">
        <f t="shared" si="5"/>
        <v>201</v>
      </c>
      <c r="H143" t="s">
        <v>417</v>
      </c>
      <c r="I143" t="s">
        <v>593</v>
      </c>
      <c r="J143">
        <v>-26.365555560000001</v>
      </c>
      <c r="K143">
        <v>135.79</v>
      </c>
      <c r="L143" t="s">
        <v>419</v>
      </c>
      <c r="M143" s="33" t="s">
        <v>1991</v>
      </c>
      <c r="N143" s="32">
        <v>1.1999999999999999E-3</v>
      </c>
      <c r="O143" s="32">
        <v>1.3540000000000001</v>
      </c>
      <c r="P143" s="35">
        <v>6.8609999999999998</v>
      </c>
      <c r="Q143" t="s">
        <v>890</v>
      </c>
    </row>
    <row r="144" spans="1:19" s="43" customFormat="1">
      <c r="A144" t="s">
        <v>672</v>
      </c>
      <c r="B144" t="s">
        <v>592</v>
      </c>
      <c r="C144"/>
      <c r="D144">
        <v>6</v>
      </c>
      <c r="E144" s="1">
        <v>42816</v>
      </c>
      <c r="F144" s="1">
        <v>43017</v>
      </c>
      <c r="G144">
        <f t="shared" si="5"/>
        <v>201</v>
      </c>
      <c r="H144" t="s">
        <v>417</v>
      </c>
      <c r="I144" t="s">
        <v>593</v>
      </c>
      <c r="J144">
        <v>-26.365555560000001</v>
      </c>
      <c r="K144">
        <v>135.79</v>
      </c>
      <c r="L144" t="s">
        <v>419</v>
      </c>
      <c r="M144" s="33" t="s">
        <v>1992</v>
      </c>
      <c r="N144" s="32">
        <v>6.9999999999999999E-4</v>
      </c>
      <c r="O144" s="32">
        <v>1.476</v>
      </c>
      <c r="P144" s="35">
        <v>4.8319999999999999</v>
      </c>
      <c r="Q144" t="s">
        <v>890</v>
      </c>
      <c r="R144"/>
      <c r="S144"/>
    </row>
    <row r="145" spans="1:19">
      <c r="A145" t="s">
        <v>673</v>
      </c>
      <c r="B145" t="s">
        <v>592</v>
      </c>
      <c r="D145">
        <v>6</v>
      </c>
      <c r="E145" s="1">
        <v>42816</v>
      </c>
      <c r="F145" s="1">
        <v>43017</v>
      </c>
      <c r="G145">
        <f t="shared" si="5"/>
        <v>201</v>
      </c>
      <c r="H145" t="s">
        <v>417</v>
      </c>
      <c r="I145" t="s">
        <v>593</v>
      </c>
      <c r="J145">
        <v>-26.365555560000001</v>
      </c>
      <c r="K145">
        <v>135.79</v>
      </c>
      <c r="L145" t="s">
        <v>419</v>
      </c>
      <c r="M145" s="33" t="s">
        <v>1993</v>
      </c>
      <c r="N145" s="32">
        <v>8.9999999999999998E-4</v>
      </c>
      <c r="O145" s="32">
        <v>1.575</v>
      </c>
      <c r="P145" s="35">
        <v>5.8239999999999998</v>
      </c>
      <c r="Q145" t="s">
        <v>890</v>
      </c>
    </row>
    <row r="146" spans="1:19">
      <c r="A146" t="s">
        <v>674</v>
      </c>
      <c r="B146" t="s">
        <v>592</v>
      </c>
      <c r="D146">
        <v>6</v>
      </c>
      <c r="E146" s="1">
        <v>42816</v>
      </c>
      <c r="F146" s="1">
        <v>43017</v>
      </c>
      <c r="G146">
        <f t="shared" si="5"/>
        <v>201</v>
      </c>
      <c r="H146" t="s">
        <v>417</v>
      </c>
      <c r="I146" t="s">
        <v>593</v>
      </c>
      <c r="J146">
        <v>-26.365555560000001</v>
      </c>
      <c r="K146">
        <v>135.79</v>
      </c>
      <c r="L146" t="s">
        <v>419</v>
      </c>
      <c r="M146" s="33" t="s">
        <v>1994</v>
      </c>
      <c r="N146" s="32">
        <v>5.0000000000000001E-4</v>
      </c>
      <c r="O146" s="32">
        <v>1.232</v>
      </c>
      <c r="P146" s="35">
        <v>5.1879999999999997</v>
      </c>
      <c r="Q146" t="s">
        <v>890</v>
      </c>
    </row>
    <row r="147" spans="1:19">
      <c r="A147" t="s">
        <v>675</v>
      </c>
      <c r="B147" t="s">
        <v>592</v>
      </c>
      <c r="D147">
        <v>6</v>
      </c>
      <c r="E147" s="1">
        <v>42816</v>
      </c>
      <c r="F147" s="1">
        <v>43017</v>
      </c>
      <c r="G147">
        <f t="shared" si="5"/>
        <v>201</v>
      </c>
      <c r="H147" t="s">
        <v>417</v>
      </c>
      <c r="I147" t="s">
        <v>593</v>
      </c>
      <c r="J147">
        <v>-26.365555560000001</v>
      </c>
      <c r="K147">
        <v>135.79</v>
      </c>
      <c r="L147" t="s">
        <v>419</v>
      </c>
      <c r="M147" s="33" t="s">
        <v>1995</v>
      </c>
      <c r="N147" s="32">
        <v>5.9999999999999995E-4</v>
      </c>
      <c r="O147" s="32">
        <v>1.494</v>
      </c>
      <c r="P147" s="35">
        <v>6.5279999999999996</v>
      </c>
      <c r="Q147" t="s">
        <v>890</v>
      </c>
    </row>
    <row r="148" spans="1:19">
      <c r="A148" t="s">
        <v>676</v>
      </c>
      <c r="B148" t="s">
        <v>592</v>
      </c>
      <c r="D148">
        <v>6</v>
      </c>
      <c r="E148" s="1">
        <v>42816</v>
      </c>
      <c r="F148" s="1">
        <v>43017</v>
      </c>
      <c r="G148">
        <f t="shared" si="5"/>
        <v>201</v>
      </c>
      <c r="H148" t="s">
        <v>417</v>
      </c>
      <c r="I148" t="s">
        <v>593</v>
      </c>
      <c r="J148">
        <v>-26.365555560000001</v>
      </c>
      <c r="K148">
        <v>135.79</v>
      </c>
      <c r="L148" t="s">
        <v>419</v>
      </c>
      <c r="M148" s="33" t="s">
        <v>2141</v>
      </c>
      <c r="N148" s="32">
        <v>8.0000000000000004E-4</v>
      </c>
      <c r="O148" s="35">
        <v>1.607</v>
      </c>
      <c r="P148" s="35">
        <f>3.118+0.81+1.045+1.461</f>
        <v>6.4340000000000002</v>
      </c>
      <c r="Q148" t="s">
        <v>890</v>
      </c>
      <c r="R148" t="s">
        <v>917</v>
      </c>
      <c r="S148" t="s">
        <v>20</v>
      </c>
    </row>
    <row r="149" spans="1:19">
      <c r="A149" t="s">
        <v>677</v>
      </c>
      <c r="B149" t="s">
        <v>592</v>
      </c>
      <c r="D149">
        <v>6</v>
      </c>
      <c r="E149" s="1">
        <v>42816</v>
      </c>
      <c r="F149" s="1">
        <v>43017</v>
      </c>
      <c r="G149">
        <f t="shared" si="5"/>
        <v>201</v>
      </c>
      <c r="H149" t="s">
        <v>417</v>
      </c>
      <c r="I149" t="s">
        <v>593</v>
      </c>
      <c r="J149">
        <v>-26.365555560000001</v>
      </c>
      <c r="K149">
        <v>135.79</v>
      </c>
      <c r="L149" t="s">
        <v>419</v>
      </c>
      <c r="M149" s="33" t="s">
        <v>2142</v>
      </c>
      <c r="N149" s="32">
        <v>2.9999999999999997E-4</v>
      </c>
      <c r="O149" s="35">
        <v>1.319</v>
      </c>
      <c r="P149" s="35">
        <f>2.677+0.553+0.998+0.953+0.525</f>
        <v>5.7060000000000004</v>
      </c>
      <c r="Q149" t="s">
        <v>890</v>
      </c>
      <c r="R149" t="s">
        <v>946</v>
      </c>
      <c r="S149" t="s">
        <v>20</v>
      </c>
    </row>
    <row r="150" spans="1:19">
      <c r="A150" t="s">
        <v>678</v>
      </c>
      <c r="B150" t="s">
        <v>592</v>
      </c>
      <c r="D150">
        <v>6</v>
      </c>
      <c r="E150" s="1">
        <v>42816</v>
      </c>
      <c r="F150" s="1">
        <v>43017</v>
      </c>
      <c r="G150">
        <f t="shared" si="5"/>
        <v>201</v>
      </c>
      <c r="H150" t="s">
        <v>417</v>
      </c>
      <c r="I150" t="s">
        <v>593</v>
      </c>
      <c r="J150">
        <v>-26.365555560000001</v>
      </c>
      <c r="K150">
        <v>135.79</v>
      </c>
      <c r="L150" t="s">
        <v>419</v>
      </c>
      <c r="M150" s="33" t="s">
        <v>2143</v>
      </c>
      <c r="N150" s="32">
        <v>1.2999999999999999E-3</v>
      </c>
      <c r="O150" s="46">
        <v>1.77</v>
      </c>
      <c r="P150" s="35">
        <f>3.255+1.542+2.285</f>
        <v>7.0819999999999999</v>
      </c>
      <c r="Q150" t="s">
        <v>890</v>
      </c>
      <c r="R150" t="s">
        <v>917</v>
      </c>
      <c r="S150" t="s">
        <v>20</v>
      </c>
    </row>
    <row r="151" spans="1:19">
      <c r="A151" t="s">
        <v>679</v>
      </c>
      <c r="B151" t="s">
        <v>592</v>
      </c>
      <c r="D151">
        <v>6</v>
      </c>
      <c r="E151" s="1">
        <v>42816</v>
      </c>
      <c r="F151" s="1">
        <v>43017</v>
      </c>
      <c r="G151">
        <f t="shared" si="5"/>
        <v>201</v>
      </c>
      <c r="H151" t="s">
        <v>417</v>
      </c>
      <c r="I151" t="s">
        <v>593</v>
      </c>
      <c r="J151">
        <v>-26.365555560000001</v>
      </c>
      <c r="K151">
        <v>135.79</v>
      </c>
      <c r="L151" t="s">
        <v>419</v>
      </c>
      <c r="M151" s="33" t="s">
        <v>2144</v>
      </c>
      <c r="N151" s="32">
        <v>8.0000000000000004E-4</v>
      </c>
      <c r="O151" s="35">
        <v>1.6</v>
      </c>
      <c r="P151" s="35">
        <f>3.141+1.95+1.31</f>
        <v>6.4009999999999998</v>
      </c>
      <c r="Q151" t="s">
        <v>890</v>
      </c>
      <c r="R151" t="s">
        <v>917</v>
      </c>
      <c r="S151" s="33" t="s">
        <v>20</v>
      </c>
    </row>
    <row r="152" spans="1:19">
      <c r="A152" s="9" t="s">
        <v>449</v>
      </c>
      <c r="B152" t="s">
        <v>416</v>
      </c>
      <c r="D152">
        <v>1</v>
      </c>
      <c r="E152" s="1">
        <v>42816</v>
      </c>
      <c r="F152" s="1">
        <v>43017</v>
      </c>
      <c r="G152">
        <f t="shared" si="5"/>
        <v>201</v>
      </c>
      <c r="H152" t="s">
        <v>417</v>
      </c>
      <c r="I152" t="s">
        <v>418</v>
      </c>
      <c r="J152">
        <v>-26.284722200000001</v>
      </c>
      <c r="K152">
        <v>136.09805556000001</v>
      </c>
      <c r="L152" t="s">
        <v>419</v>
      </c>
      <c r="M152" s="33" t="s">
        <v>1811</v>
      </c>
      <c r="N152" s="32">
        <v>2.3E-3</v>
      </c>
      <c r="O152" s="32">
        <v>2.052</v>
      </c>
      <c r="P152" s="35">
        <v>8.4420000000000002</v>
      </c>
      <c r="Q152" t="s">
        <v>890</v>
      </c>
    </row>
    <row r="153" spans="1:19">
      <c r="A153" t="s">
        <v>680</v>
      </c>
      <c r="B153" t="s">
        <v>592</v>
      </c>
      <c r="D153">
        <v>6</v>
      </c>
      <c r="E153" s="1">
        <v>42816</v>
      </c>
      <c r="F153" s="1">
        <v>43017</v>
      </c>
      <c r="G153">
        <f t="shared" si="5"/>
        <v>201</v>
      </c>
      <c r="H153" t="s">
        <v>417</v>
      </c>
      <c r="I153" t="s">
        <v>593</v>
      </c>
      <c r="J153">
        <v>-26.365555560000001</v>
      </c>
      <c r="K153">
        <v>135.79</v>
      </c>
      <c r="L153" t="s">
        <v>419</v>
      </c>
      <c r="M153" s="33" t="s">
        <v>2145</v>
      </c>
      <c r="N153" s="32">
        <v>8.0000000000000004E-4</v>
      </c>
      <c r="O153" s="35">
        <f>0.84*2</f>
        <v>1.68</v>
      </c>
      <c r="P153" s="35">
        <f>3.023+0.74+0.937+1.647</f>
        <v>6.3470000000000004</v>
      </c>
      <c r="Q153" t="s">
        <v>890</v>
      </c>
      <c r="R153" t="s">
        <v>917</v>
      </c>
      <c r="S153" t="s">
        <v>20</v>
      </c>
    </row>
    <row r="154" spans="1:19">
      <c r="A154" t="s">
        <v>681</v>
      </c>
      <c r="B154" t="s">
        <v>592</v>
      </c>
      <c r="D154">
        <v>6</v>
      </c>
      <c r="E154" s="1">
        <v>42816</v>
      </c>
      <c r="F154" s="1">
        <v>43017</v>
      </c>
      <c r="G154">
        <f t="shared" si="5"/>
        <v>201</v>
      </c>
      <c r="H154" t="s">
        <v>417</v>
      </c>
      <c r="I154" t="s">
        <v>593</v>
      </c>
      <c r="J154">
        <v>-26.365555560000001</v>
      </c>
      <c r="K154">
        <v>135.79</v>
      </c>
      <c r="L154" t="s">
        <v>419</v>
      </c>
      <c r="M154" s="33" t="s">
        <v>2146</v>
      </c>
      <c r="N154" s="32">
        <v>4.0000000000000002E-4</v>
      </c>
      <c r="O154" s="35">
        <v>1.2470000000000001</v>
      </c>
      <c r="P154" s="35">
        <f>2.684+0.59+1.867</f>
        <v>5.141</v>
      </c>
      <c r="Q154" t="s">
        <v>890</v>
      </c>
      <c r="R154" t="s">
        <v>946</v>
      </c>
      <c r="S154" t="s">
        <v>20</v>
      </c>
    </row>
    <row r="155" spans="1:19">
      <c r="A155" t="s">
        <v>682</v>
      </c>
      <c r="B155" t="s">
        <v>592</v>
      </c>
      <c r="D155">
        <v>6</v>
      </c>
      <c r="E155" s="1">
        <v>42816</v>
      </c>
      <c r="F155" s="1">
        <v>43017</v>
      </c>
      <c r="G155">
        <f t="shared" si="5"/>
        <v>201</v>
      </c>
      <c r="H155" t="s">
        <v>417</v>
      </c>
      <c r="I155" t="s">
        <v>593</v>
      </c>
      <c r="J155">
        <v>-26.365555560000001</v>
      </c>
      <c r="K155">
        <v>135.79</v>
      </c>
      <c r="L155" t="s">
        <v>419</v>
      </c>
      <c r="M155" s="33" t="s">
        <v>2147</v>
      </c>
      <c r="N155" s="34">
        <v>5.0000000000000001E-4</v>
      </c>
      <c r="O155" s="35">
        <v>1.4930000000000001</v>
      </c>
      <c r="P155" s="35">
        <f>2.779+0.75+1.026+1.323</f>
        <v>5.8780000000000001</v>
      </c>
      <c r="Q155" s="73" t="s">
        <v>890</v>
      </c>
      <c r="S155" t="s">
        <v>20</v>
      </c>
    </row>
    <row r="156" spans="1:19">
      <c r="A156" t="s">
        <v>683</v>
      </c>
      <c r="B156" t="s">
        <v>592</v>
      </c>
      <c r="D156">
        <v>6</v>
      </c>
      <c r="E156" s="1">
        <v>42816</v>
      </c>
      <c r="F156" s="1">
        <v>43017</v>
      </c>
      <c r="G156">
        <f t="shared" si="5"/>
        <v>201</v>
      </c>
      <c r="H156" t="s">
        <v>417</v>
      </c>
      <c r="I156" t="s">
        <v>593</v>
      </c>
      <c r="J156">
        <v>-26.365555560000001</v>
      </c>
      <c r="K156">
        <v>135.79</v>
      </c>
      <c r="L156" t="s">
        <v>419</v>
      </c>
      <c r="M156" s="33" t="s">
        <v>2148</v>
      </c>
      <c r="N156" s="34">
        <v>5.9999999999999995E-4</v>
      </c>
      <c r="O156" s="35">
        <v>1.444</v>
      </c>
      <c r="P156" s="35">
        <f>2.931+1.433+0.635+0.609</f>
        <v>5.6079999999999997</v>
      </c>
      <c r="Q156" s="73" t="s">
        <v>890</v>
      </c>
      <c r="R156" t="s">
        <v>917</v>
      </c>
      <c r="S156" t="s">
        <v>20</v>
      </c>
    </row>
    <row r="157" spans="1:19">
      <c r="A157" t="s">
        <v>685</v>
      </c>
      <c r="B157" t="s">
        <v>592</v>
      </c>
      <c r="D157">
        <v>6</v>
      </c>
      <c r="E157" s="1">
        <v>42816</v>
      </c>
      <c r="F157" s="1">
        <v>43017</v>
      </c>
      <c r="G157">
        <f t="shared" si="5"/>
        <v>201</v>
      </c>
      <c r="H157" t="s">
        <v>417</v>
      </c>
      <c r="I157" t="s">
        <v>593</v>
      </c>
      <c r="J157">
        <v>-26.365555560000001</v>
      </c>
      <c r="K157">
        <v>135.79</v>
      </c>
      <c r="L157" t="s">
        <v>419</v>
      </c>
      <c r="M157" s="33" t="s">
        <v>2149</v>
      </c>
      <c r="N157" s="34">
        <v>5.9999999999999995E-4</v>
      </c>
      <c r="O157" s="35">
        <v>1.4139999999999999</v>
      </c>
      <c r="P157" s="35">
        <f>3.024+1.229+1.903</f>
        <v>6.1560000000000006</v>
      </c>
      <c r="Q157" s="73" t="s">
        <v>890</v>
      </c>
      <c r="R157" t="s">
        <v>917</v>
      </c>
      <c r="S157" t="s">
        <v>20</v>
      </c>
    </row>
    <row r="158" spans="1:19">
      <c r="A158" t="s">
        <v>686</v>
      </c>
      <c r="B158" t="s">
        <v>592</v>
      </c>
      <c r="D158">
        <v>6</v>
      </c>
      <c r="E158" s="1">
        <v>42816</v>
      </c>
      <c r="F158" s="1">
        <v>43017</v>
      </c>
      <c r="G158">
        <f t="shared" si="5"/>
        <v>201</v>
      </c>
      <c r="H158" t="s">
        <v>417</v>
      </c>
      <c r="I158" t="s">
        <v>593</v>
      </c>
      <c r="J158">
        <v>-26.365555560000001</v>
      </c>
      <c r="K158">
        <v>135.79</v>
      </c>
      <c r="L158" t="s">
        <v>419</v>
      </c>
      <c r="M158" s="33" t="s">
        <v>2150</v>
      </c>
      <c r="N158" s="34">
        <v>6.9999999999999999E-4</v>
      </c>
      <c r="O158" s="35">
        <v>1.514</v>
      </c>
      <c r="P158" s="35">
        <f>2.855+1.237+1.996</f>
        <v>6.088000000000001</v>
      </c>
      <c r="Q158" s="73" t="s">
        <v>890</v>
      </c>
      <c r="R158" t="s">
        <v>917</v>
      </c>
      <c r="S158" t="s">
        <v>20</v>
      </c>
    </row>
    <row r="159" spans="1:19">
      <c r="A159" t="s">
        <v>687</v>
      </c>
      <c r="B159" t="s">
        <v>592</v>
      </c>
      <c r="D159">
        <v>6</v>
      </c>
      <c r="E159" s="1">
        <v>42816</v>
      </c>
      <c r="F159" s="1">
        <v>43017</v>
      </c>
      <c r="G159">
        <f t="shared" si="5"/>
        <v>201</v>
      </c>
      <c r="H159" t="s">
        <v>417</v>
      </c>
      <c r="I159" t="s">
        <v>593</v>
      </c>
      <c r="J159">
        <v>-26.365555560000001</v>
      </c>
      <c r="K159">
        <v>135.79</v>
      </c>
      <c r="L159" t="s">
        <v>419</v>
      </c>
      <c r="M159" s="33" t="s">
        <v>2151</v>
      </c>
      <c r="N159" s="34">
        <v>1E-3</v>
      </c>
      <c r="O159" s="35">
        <v>1.6259999999999999</v>
      </c>
      <c r="P159" s="35">
        <f>3.224+1.003+0.904+0.927</f>
        <v>6.0579999999999998</v>
      </c>
      <c r="Q159" s="73" t="s">
        <v>890</v>
      </c>
      <c r="R159" t="s">
        <v>917</v>
      </c>
      <c r="S159" t="s">
        <v>20</v>
      </c>
    </row>
    <row r="160" spans="1:19">
      <c r="A160" t="s">
        <v>688</v>
      </c>
      <c r="B160" t="s">
        <v>592</v>
      </c>
      <c r="D160">
        <v>6</v>
      </c>
      <c r="E160" s="1">
        <v>42816</v>
      </c>
      <c r="F160" s="1">
        <v>43017</v>
      </c>
      <c r="G160">
        <f t="shared" si="5"/>
        <v>201</v>
      </c>
      <c r="H160" t="s">
        <v>417</v>
      </c>
      <c r="I160" t="s">
        <v>593</v>
      </c>
      <c r="J160">
        <v>-26.365555560000001</v>
      </c>
      <c r="K160">
        <v>135.79</v>
      </c>
      <c r="L160" t="s">
        <v>419</v>
      </c>
      <c r="M160" s="33" t="s">
        <v>2152</v>
      </c>
      <c r="N160" s="34">
        <v>6.9999999999999999E-4</v>
      </c>
      <c r="O160" s="35">
        <v>1.583</v>
      </c>
      <c r="P160" s="35">
        <f>3.032+1.162+0.636+0.871</f>
        <v>5.7010000000000005</v>
      </c>
      <c r="Q160" s="73" t="s">
        <v>890</v>
      </c>
      <c r="R160" t="s">
        <v>917</v>
      </c>
      <c r="S160" t="s">
        <v>20</v>
      </c>
    </row>
    <row r="161" spans="1:19">
      <c r="A161" t="s">
        <v>689</v>
      </c>
      <c r="B161" t="s">
        <v>592</v>
      </c>
      <c r="D161">
        <v>6</v>
      </c>
      <c r="E161" s="1">
        <v>42816</v>
      </c>
      <c r="F161" s="1">
        <v>43017</v>
      </c>
      <c r="G161">
        <f t="shared" si="5"/>
        <v>201</v>
      </c>
      <c r="H161" t="s">
        <v>417</v>
      </c>
      <c r="I161" t="s">
        <v>593</v>
      </c>
      <c r="J161">
        <v>-26.365555560000001</v>
      </c>
      <c r="K161">
        <v>135.79</v>
      </c>
      <c r="L161" t="s">
        <v>419</v>
      </c>
      <c r="M161" s="33" t="s">
        <v>2153</v>
      </c>
      <c r="N161" s="34">
        <v>1E-3</v>
      </c>
      <c r="O161" s="35">
        <v>1.57</v>
      </c>
      <c r="P161" s="35">
        <f>3.081+1.266+1.723+1.314</f>
        <v>7.3839999999999995</v>
      </c>
      <c r="Q161" s="73" t="s">
        <v>890</v>
      </c>
      <c r="R161" t="s">
        <v>917</v>
      </c>
      <c r="S161" t="s">
        <v>20</v>
      </c>
    </row>
    <row r="162" spans="1:19">
      <c r="A162" s="9" t="s">
        <v>450</v>
      </c>
      <c r="B162" t="s">
        <v>416</v>
      </c>
      <c r="D162">
        <v>1</v>
      </c>
      <c r="E162" s="1">
        <v>42816</v>
      </c>
      <c r="F162" s="1">
        <v>43017</v>
      </c>
      <c r="G162">
        <f t="shared" si="5"/>
        <v>201</v>
      </c>
      <c r="H162" t="s">
        <v>417</v>
      </c>
      <c r="I162" t="s">
        <v>418</v>
      </c>
      <c r="J162">
        <v>-26.284722200000001</v>
      </c>
      <c r="K162">
        <v>136.09805556000001</v>
      </c>
      <c r="L162" t="s">
        <v>419</v>
      </c>
      <c r="M162" s="33" t="s">
        <v>1812</v>
      </c>
      <c r="N162" s="34">
        <v>1.2999999999999999E-3</v>
      </c>
      <c r="O162" s="32">
        <v>1.6319999999999999</v>
      </c>
      <c r="P162" s="35">
        <v>8.3640000000000008</v>
      </c>
      <c r="Q162" s="73" t="s">
        <v>890</v>
      </c>
    </row>
    <row r="163" spans="1:19">
      <c r="A163" t="s">
        <v>690</v>
      </c>
      <c r="B163" t="s">
        <v>592</v>
      </c>
      <c r="D163">
        <v>6</v>
      </c>
      <c r="E163" s="1">
        <v>42816</v>
      </c>
      <c r="F163" s="1">
        <v>43017</v>
      </c>
      <c r="G163">
        <f t="shared" si="5"/>
        <v>201</v>
      </c>
      <c r="H163" t="s">
        <v>417</v>
      </c>
      <c r="I163" t="s">
        <v>593</v>
      </c>
      <c r="J163">
        <v>-26.365555560000001</v>
      </c>
      <c r="K163">
        <v>135.79</v>
      </c>
      <c r="L163" t="s">
        <v>419</v>
      </c>
      <c r="M163" s="33" t="s">
        <v>2154</v>
      </c>
      <c r="N163" s="34">
        <v>1E-3</v>
      </c>
      <c r="O163" s="35">
        <v>1.645</v>
      </c>
      <c r="P163" s="35">
        <f>2.536+1.077+2.991</f>
        <v>6.6040000000000001</v>
      </c>
      <c r="Q163" s="73" t="s">
        <v>890</v>
      </c>
      <c r="R163" t="s">
        <v>917</v>
      </c>
      <c r="S163" t="s">
        <v>20</v>
      </c>
    </row>
    <row r="164" spans="1:19">
      <c r="A164" t="s">
        <v>691</v>
      </c>
      <c r="B164" t="s">
        <v>592</v>
      </c>
      <c r="D164">
        <v>6</v>
      </c>
      <c r="E164" s="1">
        <v>42816</v>
      </c>
      <c r="F164" s="1">
        <v>43017</v>
      </c>
      <c r="G164">
        <f t="shared" si="5"/>
        <v>201</v>
      </c>
      <c r="H164" t="s">
        <v>417</v>
      </c>
      <c r="I164" t="s">
        <v>593</v>
      </c>
      <c r="J164">
        <v>-26.365555560000001</v>
      </c>
      <c r="K164">
        <v>135.79</v>
      </c>
      <c r="L164" t="s">
        <v>419</v>
      </c>
      <c r="M164" s="33" t="s">
        <v>2155</v>
      </c>
      <c r="N164" s="32">
        <v>2.9999999999999997E-4</v>
      </c>
      <c r="O164" s="35">
        <v>1.21</v>
      </c>
      <c r="P164" s="35">
        <f>2.48+0.562+1.322+0.637</f>
        <v>5.0009999999999994</v>
      </c>
      <c r="Q164" t="s">
        <v>890</v>
      </c>
      <c r="R164" t="s">
        <v>946</v>
      </c>
      <c r="S164" t="s">
        <v>20</v>
      </c>
    </row>
    <row r="165" spans="1:19">
      <c r="A165" t="s">
        <v>692</v>
      </c>
      <c r="B165" t="s">
        <v>592</v>
      </c>
      <c r="D165">
        <v>6</v>
      </c>
      <c r="E165" s="1">
        <v>42816</v>
      </c>
      <c r="F165" s="1">
        <v>43017</v>
      </c>
      <c r="G165">
        <f t="shared" si="5"/>
        <v>201</v>
      </c>
      <c r="H165" t="s">
        <v>417</v>
      </c>
      <c r="I165" t="s">
        <v>593</v>
      </c>
      <c r="J165">
        <v>-26.365555560000001</v>
      </c>
      <c r="K165">
        <v>135.79</v>
      </c>
      <c r="L165" t="s">
        <v>419</v>
      </c>
      <c r="M165" s="33" t="s">
        <v>2156</v>
      </c>
      <c r="N165" s="32">
        <v>5.9999999999999995E-4</v>
      </c>
      <c r="O165" s="35">
        <v>1.3280000000000001</v>
      </c>
      <c r="P165" s="35">
        <f>1.672+1.403+2.893</f>
        <v>5.968</v>
      </c>
      <c r="Q165" t="s">
        <v>890</v>
      </c>
      <c r="R165" t="s">
        <v>946</v>
      </c>
      <c r="S165" t="s">
        <v>20</v>
      </c>
    </row>
    <row r="166" spans="1:19">
      <c r="A166" t="s">
        <v>693</v>
      </c>
      <c r="B166" t="s">
        <v>592</v>
      </c>
      <c r="D166">
        <v>6</v>
      </c>
      <c r="E166" s="1">
        <v>42816</v>
      </c>
      <c r="F166" s="1">
        <v>43017</v>
      </c>
      <c r="G166">
        <f t="shared" si="5"/>
        <v>201</v>
      </c>
      <c r="H166" t="s">
        <v>417</v>
      </c>
      <c r="I166" t="s">
        <v>593</v>
      </c>
      <c r="J166">
        <v>-26.365555560000001</v>
      </c>
      <c r="K166">
        <v>135.79</v>
      </c>
      <c r="L166" t="s">
        <v>419</v>
      </c>
      <c r="M166" s="33" t="s">
        <v>2157</v>
      </c>
      <c r="N166" s="32">
        <v>1E-3</v>
      </c>
      <c r="O166" s="35">
        <v>1.6859999999999999</v>
      </c>
      <c r="P166" s="35">
        <f>3.212+1.108+2.719</f>
        <v>7.0389999999999997</v>
      </c>
      <c r="Q166" t="s">
        <v>890</v>
      </c>
      <c r="R166" t="s">
        <v>917</v>
      </c>
      <c r="S166" t="s">
        <v>20</v>
      </c>
    </row>
    <row r="167" spans="1:19">
      <c r="A167" t="s">
        <v>694</v>
      </c>
      <c r="B167" t="s">
        <v>592</v>
      </c>
      <c r="D167">
        <v>6</v>
      </c>
      <c r="E167" s="1">
        <v>42816</v>
      </c>
      <c r="F167" s="1">
        <v>43017</v>
      </c>
      <c r="G167">
        <f t="shared" si="5"/>
        <v>201</v>
      </c>
      <c r="H167" t="s">
        <v>417</v>
      </c>
      <c r="I167" t="s">
        <v>593</v>
      </c>
      <c r="J167">
        <v>-26.365555560000001</v>
      </c>
      <c r="K167">
        <v>135.79</v>
      </c>
      <c r="L167" t="s">
        <v>419</v>
      </c>
      <c r="M167" s="33" t="s">
        <v>2158</v>
      </c>
      <c r="N167" s="32">
        <v>5.9999999999999995E-4</v>
      </c>
      <c r="O167" s="35">
        <v>1.4490000000000001</v>
      </c>
      <c r="P167" s="35">
        <f>3.666+2.668</f>
        <v>6.3339999999999996</v>
      </c>
      <c r="Q167" t="s">
        <v>890</v>
      </c>
      <c r="R167" t="s">
        <v>917</v>
      </c>
      <c r="S167" t="s">
        <v>20</v>
      </c>
    </row>
    <row r="168" spans="1:19">
      <c r="A168" t="s">
        <v>695</v>
      </c>
      <c r="B168" t="s">
        <v>592</v>
      </c>
      <c r="D168">
        <v>6</v>
      </c>
      <c r="E168" s="1">
        <v>42816</v>
      </c>
      <c r="F168" s="1">
        <v>43017</v>
      </c>
      <c r="G168">
        <f t="shared" si="5"/>
        <v>201</v>
      </c>
      <c r="H168" t="s">
        <v>417</v>
      </c>
      <c r="I168" t="s">
        <v>593</v>
      </c>
      <c r="J168">
        <v>-26.365555560000001</v>
      </c>
      <c r="K168">
        <v>135.79</v>
      </c>
      <c r="L168" t="s">
        <v>419</v>
      </c>
      <c r="M168" s="33" t="s">
        <v>2159</v>
      </c>
      <c r="N168" s="32">
        <v>5.0000000000000001E-4</v>
      </c>
      <c r="O168" s="35">
        <v>1.56</v>
      </c>
      <c r="P168" s="35">
        <f>2.572+0.759+2.32</f>
        <v>5.6509999999999998</v>
      </c>
      <c r="Q168" t="s">
        <v>890</v>
      </c>
      <c r="R168" t="s">
        <v>917</v>
      </c>
      <c r="S168" t="s">
        <v>20</v>
      </c>
    </row>
    <row r="169" spans="1:19">
      <c r="A169" t="s">
        <v>696</v>
      </c>
      <c r="B169" t="s">
        <v>592</v>
      </c>
      <c r="D169">
        <v>6</v>
      </c>
      <c r="E169" s="1">
        <v>42816</v>
      </c>
      <c r="F169" s="1">
        <v>43017</v>
      </c>
      <c r="G169">
        <f t="shared" si="5"/>
        <v>201</v>
      </c>
      <c r="H169" t="s">
        <v>417</v>
      </c>
      <c r="I169" t="s">
        <v>593</v>
      </c>
      <c r="J169">
        <v>-26.365555560000001</v>
      </c>
      <c r="K169">
        <v>135.79</v>
      </c>
      <c r="L169" t="s">
        <v>419</v>
      </c>
      <c r="M169" s="33" t="s">
        <v>2160</v>
      </c>
      <c r="N169" s="32">
        <v>8.9999999999999998E-4</v>
      </c>
      <c r="O169" s="35">
        <v>1.7070000000000001</v>
      </c>
      <c r="P169" s="35">
        <f>4.087+1.329+1.101</f>
        <v>6.5169999999999995</v>
      </c>
      <c r="Q169" t="s">
        <v>890</v>
      </c>
      <c r="R169" t="s">
        <v>917</v>
      </c>
      <c r="S169" t="s">
        <v>20</v>
      </c>
    </row>
    <row r="170" spans="1:19">
      <c r="A170" t="s">
        <v>697</v>
      </c>
      <c r="B170" t="s">
        <v>592</v>
      </c>
      <c r="D170">
        <v>6</v>
      </c>
      <c r="E170" s="1">
        <v>42816</v>
      </c>
      <c r="F170" s="1">
        <v>43017</v>
      </c>
      <c r="G170">
        <f t="shared" si="5"/>
        <v>201</v>
      </c>
      <c r="H170" t="s">
        <v>417</v>
      </c>
      <c r="I170" t="s">
        <v>593</v>
      </c>
      <c r="J170">
        <v>-26.365555560000001</v>
      </c>
      <c r="K170">
        <v>135.79</v>
      </c>
      <c r="L170" t="s">
        <v>419</v>
      </c>
      <c r="M170" s="33" t="s">
        <v>2161</v>
      </c>
      <c r="N170" s="32">
        <v>6.9999999999999999E-4</v>
      </c>
      <c r="O170" s="35">
        <v>1.5269999999999999</v>
      </c>
      <c r="P170" s="35">
        <f>3.088+0.799+1.342+0.994</f>
        <v>6.2229999999999999</v>
      </c>
      <c r="Q170" t="s">
        <v>890</v>
      </c>
      <c r="R170" t="s">
        <v>917</v>
      </c>
      <c r="S170" t="s">
        <v>20</v>
      </c>
    </row>
    <row r="171" spans="1:19">
      <c r="A171" t="s">
        <v>698</v>
      </c>
      <c r="B171" t="s">
        <v>592</v>
      </c>
      <c r="D171">
        <v>6</v>
      </c>
      <c r="E171" s="1">
        <v>42816</v>
      </c>
      <c r="F171" s="1">
        <v>43017</v>
      </c>
      <c r="G171">
        <f t="shared" ref="G171:G201" si="6">F171-E171</f>
        <v>201</v>
      </c>
      <c r="H171" t="s">
        <v>417</v>
      </c>
      <c r="I171" t="s">
        <v>593</v>
      </c>
      <c r="J171">
        <v>-26.365555560000001</v>
      </c>
      <c r="K171">
        <v>135.79</v>
      </c>
      <c r="L171" t="s">
        <v>419</v>
      </c>
      <c r="M171" s="33" t="s">
        <v>2162</v>
      </c>
      <c r="N171" s="32">
        <v>8.9999999999999998E-4</v>
      </c>
      <c r="O171" s="35">
        <v>1.5580000000000001</v>
      </c>
      <c r="P171" s="35">
        <f>3.008+1.183+1.832+1.036</f>
        <v>7.0589999999999993</v>
      </c>
      <c r="Q171" t="s">
        <v>890</v>
      </c>
      <c r="R171" t="s">
        <v>917</v>
      </c>
      <c r="S171" t="s">
        <v>20</v>
      </c>
    </row>
    <row r="172" spans="1:19">
      <c r="A172" t="s">
        <v>699</v>
      </c>
      <c r="B172" t="s">
        <v>592</v>
      </c>
      <c r="D172">
        <v>6</v>
      </c>
      <c r="E172" s="1">
        <v>42816</v>
      </c>
      <c r="F172" s="1">
        <v>43017</v>
      </c>
      <c r="G172">
        <f t="shared" si="6"/>
        <v>201</v>
      </c>
      <c r="H172" t="s">
        <v>417</v>
      </c>
      <c r="I172" t="s">
        <v>593</v>
      </c>
      <c r="J172">
        <v>-26.365555560000001</v>
      </c>
      <c r="K172">
        <v>135.79</v>
      </c>
      <c r="L172" t="s">
        <v>419</v>
      </c>
      <c r="M172" s="33" t="s">
        <v>2163</v>
      </c>
      <c r="N172" s="32">
        <v>8.0000000000000004E-4</v>
      </c>
      <c r="O172" s="35">
        <v>1.6180000000000001</v>
      </c>
      <c r="P172" s="35">
        <f>2.224+0.726+2.886</f>
        <v>5.8360000000000003</v>
      </c>
      <c r="Q172" t="s">
        <v>890</v>
      </c>
      <c r="R172" t="s">
        <v>917</v>
      </c>
      <c r="S172" t="s">
        <v>20</v>
      </c>
    </row>
    <row r="173" spans="1:19">
      <c r="A173" s="9" t="s">
        <v>451</v>
      </c>
      <c r="B173" t="s">
        <v>416</v>
      </c>
      <c r="D173">
        <v>1</v>
      </c>
      <c r="E173" s="1">
        <v>42816</v>
      </c>
      <c r="F173" s="1">
        <v>43017</v>
      </c>
      <c r="G173">
        <f t="shared" si="6"/>
        <v>201</v>
      </c>
      <c r="H173" t="s">
        <v>417</v>
      </c>
      <c r="I173" t="s">
        <v>418</v>
      </c>
      <c r="J173">
        <v>-26.284722200000001</v>
      </c>
      <c r="K173">
        <v>136.09805556000001</v>
      </c>
      <c r="L173" t="s">
        <v>419</v>
      </c>
      <c r="M173" s="33" t="s">
        <v>1813</v>
      </c>
      <c r="N173" s="32">
        <v>3.0000000000000001E-3</v>
      </c>
      <c r="O173" s="32">
        <v>2.2770000000000001</v>
      </c>
      <c r="P173" s="35">
        <v>8.9209999999999994</v>
      </c>
      <c r="Q173" t="s">
        <v>890</v>
      </c>
    </row>
    <row r="174" spans="1:19">
      <c r="A174" t="s">
        <v>700</v>
      </c>
      <c r="B174" t="s">
        <v>592</v>
      </c>
      <c r="D174">
        <v>6</v>
      </c>
      <c r="E174" s="1">
        <v>42816</v>
      </c>
      <c r="F174" s="1">
        <v>43017</v>
      </c>
      <c r="G174">
        <f t="shared" si="6"/>
        <v>201</v>
      </c>
      <c r="H174" t="s">
        <v>417</v>
      </c>
      <c r="I174" t="s">
        <v>593</v>
      </c>
      <c r="J174">
        <v>-26.365555560000001</v>
      </c>
      <c r="K174">
        <v>135.79</v>
      </c>
      <c r="L174" t="s">
        <v>419</v>
      </c>
      <c r="M174" s="33" t="s">
        <v>2164</v>
      </c>
      <c r="N174" s="32">
        <v>6.9999999999999999E-4</v>
      </c>
      <c r="O174" s="35">
        <v>1.4910000000000001</v>
      </c>
      <c r="P174" s="35">
        <f>2.764+0.979+2.271</f>
        <v>6.0139999999999993</v>
      </c>
      <c r="Q174" t="s">
        <v>890</v>
      </c>
      <c r="R174" t="s">
        <v>917</v>
      </c>
      <c r="S174" t="s">
        <v>20</v>
      </c>
    </row>
    <row r="175" spans="1:19">
      <c r="A175" t="s">
        <v>701</v>
      </c>
      <c r="B175" t="s">
        <v>592</v>
      </c>
      <c r="D175">
        <v>6</v>
      </c>
      <c r="E175" s="1">
        <v>42816</v>
      </c>
      <c r="F175" s="1">
        <v>43017</v>
      </c>
      <c r="G175">
        <f t="shared" si="6"/>
        <v>201</v>
      </c>
      <c r="H175" t="s">
        <v>417</v>
      </c>
      <c r="I175" t="s">
        <v>593</v>
      </c>
      <c r="J175">
        <v>-26.365555560000001</v>
      </c>
      <c r="K175">
        <v>135.79</v>
      </c>
      <c r="L175" t="s">
        <v>419</v>
      </c>
      <c r="M175" s="33" t="s">
        <v>2165</v>
      </c>
      <c r="N175" s="32">
        <v>8.9999999999999998E-4</v>
      </c>
      <c r="O175" s="35">
        <v>1.488</v>
      </c>
      <c r="P175" s="35">
        <f>2.855+0.971+0.948+1.51</f>
        <v>6.2839999999999998</v>
      </c>
      <c r="Q175" t="s">
        <v>890</v>
      </c>
      <c r="R175" t="s">
        <v>917</v>
      </c>
      <c r="S175" t="s">
        <v>20</v>
      </c>
    </row>
    <row r="176" spans="1:19">
      <c r="A176" t="s">
        <v>702</v>
      </c>
      <c r="B176" t="s">
        <v>592</v>
      </c>
      <c r="D176">
        <v>6</v>
      </c>
      <c r="E176" s="1">
        <v>42816</v>
      </c>
      <c r="F176" s="1">
        <v>43017</v>
      </c>
      <c r="G176">
        <f t="shared" si="6"/>
        <v>201</v>
      </c>
      <c r="H176" t="s">
        <v>417</v>
      </c>
      <c r="I176" t="s">
        <v>593</v>
      </c>
      <c r="J176">
        <v>-26.365555560000001</v>
      </c>
      <c r="K176">
        <v>135.79</v>
      </c>
      <c r="L176" t="s">
        <v>419</v>
      </c>
      <c r="M176" s="33" t="s">
        <v>2166</v>
      </c>
      <c r="N176" s="32">
        <v>6.9999999999999999E-4</v>
      </c>
      <c r="O176" s="35">
        <v>1.4690000000000001</v>
      </c>
      <c r="P176" s="35">
        <f>2.797+0.794+0.763+1.848</f>
        <v>6.202</v>
      </c>
      <c r="Q176" t="s">
        <v>890</v>
      </c>
      <c r="R176" t="s">
        <v>917</v>
      </c>
      <c r="S176" t="s">
        <v>20</v>
      </c>
    </row>
    <row r="177" spans="1:19">
      <c r="A177" t="s">
        <v>703</v>
      </c>
      <c r="B177" t="s">
        <v>592</v>
      </c>
      <c r="D177">
        <v>6</v>
      </c>
      <c r="E177" s="1">
        <v>42816</v>
      </c>
      <c r="F177" s="1">
        <v>43017</v>
      </c>
      <c r="G177">
        <f t="shared" si="6"/>
        <v>201</v>
      </c>
      <c r="H177" t="s">
        <v>417</v>
      </c>
      <c r="I177" t="s">
        <v>593</v>
      </c>
      <c r="J177">
        <v>-26.365555560000001</v>
      </c>
      <c r="K177">
        <v>135.79</v>
      </c>
      <c r="L177" t="s">
        <v>419</v>
      </c>
      <c r="M177" s="33" t="s">
        <v>2167</v>
      </c>
      <c r="N177" s="32">
        <v>8.0000000000000004E-4</v>
      </c>
      <c r="O177" s="35">
        <v>1.49</v>
      </c>
      <c r="P177" s="35">
        <f>1.307+0.961+0.713+2.848</f>
        <v>5.8289999999999997</v>
      </c>
      <c r="Q177" t="s">
        <v>890</v>
      </c>
      <c r="R177" t="s">
        <v>917</v>
      </c>
      <c r="S177" t="s">
        <v>20</v>
      </c>
    </row>
    <row r="178" spans="1:19">
      <c r="A178" t="s">
        <v>704</v>
      </c>
      <c r="B178" t="s">
        <v>592</v>
      </c>
      <c r="D178">
        <v>6</v>
      </c>
      <c r="E178" s="1">
        <v>42816</v>
      </c>
      <c r="F178" s="1">
        <v>43017</v>
      </c>
      <c r="G178">
        <f t="shared" si="6"/>
        <v>201</v>
      </c>
      <c r="H178" t="s">
        <v>417</v>
      </c>
      <c r="I178" t="s">
        <v>593</v>
      </c>
      <c r="J178">
        <v>-26.365555560000001</v>
      </c>
      <c r="K178">
        <v>135.79</v>
      </c>
      <c r="L178" t="s">
        <v>419</v>
      </c>
      <c r="M178" s="33" t="s">
        <v>2168</v>
      </c>
      <c r="N178" s="32">
        <v>6.9999999999999999E-4</v>
      </c>
      <c r="O178" s="35">
        <v>1.4910000000000001</v>
      </c>
      <c r="P178" s="35">
        <f>3.009+0.88+1.347+1.245</f>
        <v>6.4809999999999999</v>
      </c>
      <c r="Q178" t="s">
        <v>890</v>
      </c>
      <c r="R178" t="s">
        <v>917</v>
      </c>
      <c r="S178" t="s">
        <v>20</v>
      </c>
    </row>
    <row r="179" spans="1:19">
      <c r="A179" t="s">
        <v>705</v>
      </c>
      <c r="B179" t="s">
        <v>592</v>
      </c>
      <c r="D179">
        <v>6</v>
      </c>
      <c r="E179" s="1">
        <v>42816</v>
      </c>
      <c r="F179" s="1">
        <v>43017</v>
      </c>
      <c r="G179">
        <f t="shared" si="6"/>
        <v>201</v>
      </c>
      <c r="H179" t="s">
        <v>417</v>
      </c>
      <c r="I179" t="s">
        <v>593</v>
      </c>
      <c r="J179">
        <v>-26.365555560000001</v>
      </c>
      <c r="K179">
        <v>135.79</v>
      </c>
      <c r="L179" t="s">
        <v>419</v>
      </c>
      <c r="M179" s="33" t="s">
        <v>2169</v>
      </c>
      <c r="N179" s="32">
        <v>4.0000000000000002E-4</v>
      </c>
      <c r="O179" s="35">
        <v>1.2989999999999999</v>
      </c>
      <c r="P179" s="35">
        <f>2.539+0.873+1.455</f>
        <v>4.867</v>
      </c>
      <c r="Q179" t="s">
        <v>890</v>
      </c>
      <c r="R179" t="s">
        <v>946</v>
      </c>
      <c r="S179" t="s">
        <v>20</v>
      </c>
    </row>
    <row r="180" spans="1:19">
      <c r="A180" t="s">
        <v>706</v>
      </c>
      <c r="B180" t="s">
        <v>592</v>
      </c>
      <c r="D180">
        <v>6</v>
      </c>
      <c r="E180" s="1">
        <v>42816</v>
      </c>
      <c r="F180" s="1">
        <v>43017</v>
      </c>
      <c r="G180">
        <f t="shared" si="6"/>
        <v>201</v>
      </c>
      <c r="H180" t="s">
        <v>417</v>
      </c>
      <c r="I180" t="s">
        <v>593</v>
      </c>
      <c r="J180">
        <v>-26.365555560000001</v>
      </c>
      <c r="K180">
        <v>135.79</v>
      </c>
      <c r="L180" t="s">
        <v>419</v>
      </c>
      <c r="M180" s="33" t="s">
        <v>2170</v>
      </c>
      <c r="N180" s="32">
        <v>5.0000000000000001E-4</v>
      </c>
      <c r="O180" s="35">
        <v>1.2370000000000001</v>
      </c>
      <c r="P180" s="35">
        <f>2.472+3.513</f>
        <v>5.9849999999999994</v>
      </c>
      <c r="Q180" t="s">
        <v>890</v>
      </c>
      <c r="R180" t="s">
        <v>917</v>
      </c>
      <c r="S180" t="s">
        <v>2215</v>
      </c>
    </row>
    <row r="181" spans="1:19">
      <c r="A181" t="s">
        <v>707</v>
      </c>
      <c r="B181" t="s">
        <v>592</v>
      </c>
      <c r="D181">
        <v>6</v>
      </c>
      <c r="E181" s="1">
        <v>42816</v>
      </c>
      <c r="F181" s="1">
        <v>43017</v>
      </c>
      <c r="G181">
        <f t="shared" si="6"/>
        <v>201</v>
      </c>
      <c r="H181" t="s">
        <v>417</v>
      </c>
      <c r="I181" t="s">
        <v>593</v>
      </c>
      <c r="J181">
        <v>-26.365555560000001</v>
      </c>
      <c r="K181">
        <v>135.79</v>
      </c>
      <c r="L181" t="s">
        <v>419</v>
      </c>
      <c r="M181" s="33" t="s">
        <v>2171</v>
      </c>
      <c r="N181" s="32">
        <v>8.9999999999999998E-4</v>
      </c>
      <c r="O181" s="35">
        <v>1.5980000000000001</v>
      </c>
      <c r="P181" s="35">
        <f>3.084+0.73+2.601</f>
        <v>6.415</v>
      </c>
      <c r="Q181" t="s">
        <v>890</v>
      </c>
      <c r="R181" t="s">
        <v>917</v>
      </c>
      <c r="S181" t="s">
        <v>20</v>
      </c>
    </row>
    <row r="182" spans="1:19">
      <c r="A182" t="s">
        <v>708</v>
      </c>
      <c r="B182" t="s">
        <v>592</v>
      </c>
      <c r="D182">
        <v>6</v>
      </c>
      <c r="E182" s="1">
        <v>42816</v>
      </c>
      <c r="F182" s="1">
        <v>43017</v>
      </c>
      <c r="G182">
        <f t="shared" si="6"/>
        <v>201</v>
      </c>
      <c r="H182" t="s">
        <v>417</v>
      </c>
      <c r="I182" t="s">
        <v>593</v>
      </c>
      <c r="J182">
        <v>-26.365555560000001</v>
      </c>
      <c r="K182">
        <v>135.79</v>
      </c>
      <c r="L182" t="s">
        <v>419</v>
      </c>
      <c r="M182" s="33" t="s">
        <v>2172</v>
      </c>
      <c r="N182" s="32">
        <v>5.9999999999999995E-4</v>
      </c>
      <c r="O182" s="35">
        <v>1.538</v>
      </c>
      <c r="P182" s="35">
        <f>2.9+1.448+1.801</f>
        <v>6.149</v>
      </c>
      <c r="Q182" t="s">
        <v>890</v>
      </c>
      <c r="R182" t="s">
        <v>917</v>
      </c>
      <c r="S182" t="s">
        <v>20</v>
      </c>
    </row>
    <row r="183" spans="1:19">
      <c r="A183" t="s">
        <v>709</v>
      </c>
      <c r="B183" t="s">
        <v>592</v>
      </c>
      <c r="D183">
        <v>6</v>
      </c>
      <c r="E183" s="1">
        <v>42816</v>
      </c>
      <c r="F183" s="1">
        <v>43017</v>
      </c>
      <c r="G183">
        <f t="shared" si="6"/>
        <v>201</v>
      </c>
      <c r="H183" t="s">
        <v>417</v>
      </c>
      <c r="I183" t="s">
        <v>593</v>
      </c>
      <c r="J183">
        <v>-26.365555560000001</v>
      </c>
      <c r="K183">
        <v>135.79</v>
      </c>
      <c r="L183" t="s">
        <v>419</v>
      </c>
      <c r="M183" s="33" t="s">
        <v>2173</v>
      </c>
      <c r="N183" s="32">
        <v>6.9999999999999999E-4</v>
      </c>
      <c r="O183" s="35">
        <v>1.5880000000000001</v>
      </c>
      <c r="P183" s="35">
        <f>3.231+1.481+0.763+1.43</f>
        <v>6.9049999999999994</v>
      </c>
      <c r="Q183" t="s">
        <v>890</v>
      </c>
      <c r="R183" t="s">
        <v>917</v>
      </c>
      <c r="S183" t="s">
        <v>20</v>
      </c>
    </row>
    <row r="184" spans="1:19">
      <c r="A184" s="9" t="s">
        <v>452</v>
      </c>
      <c r="B184" t="s">
        <v>416</v>
      </c>
      <c r="D184">
        <v>1</v>
      </c>
      <c r="E184" s="1">
        <v>42816</v>
      </c>
      <c r="F184" s="1">
        <v>43017</v>
      </c>
      <c r="G184">
        <f t="shared" si="6"/>
        <v>201</v>
      </c>
      <c r="H184" t="s">
        <v>417</v>
      </c>
      <c r="I184" t="s">
        <v>418</v>
      </c>
      <c r="J184">
        <v>-26.284722200000001</v>
      </c>
      <c r="K184">
        <v>136.09805556000001</v>
      </c>
      <c r="L184" t="s">
        <v>419</v>
      </c>
      <c r="M184" s="33" t="s">
        <v>1814</v>
      </c>
      <c r="N184" s="32">
        <v>5.8999999999999999E-3</v>
      </c>
      <c r="O184" s="32">
        <v>2.8439999999999999</v>
      </c>
      <c r="P184" s="35">
        <v>11.071999999999999</v>
      </c>
      <c r="Q184" t="s">
        <v>890</v>
      </c>
    </row>
    <row r="185" spans="1:19">
      <c r="A185" t="s">
        <v>711</v>
      </c>
      <c r="B185" t="s">
        <v>592</v>
      </c>
      <c r="D185">
        <v>6</v>
      </c>
      <c r="E185" s="1">
        <v>42816</v>
      </c>
      <c r="F185" s="1">
        <v>43017</v>
      </c>
      <c r="G185">
        <f t="shared" si="6"/>
        <v>201</v>
      </c>
      <c r="H185" t="s">
        <v>417</v>
      </c>
      <c r="I185" t="s">
        <v>593</v>
      </c>
      <c r="J185">
        <v>-26.365555560000001</v>
      </c>
      <c r="K185">
        <v>135.79</v>
      </c>
      <c r="L185" t="s">
        <v>419</v>
      </c>
      <c r="M185" s="33" t="s">
        <v>2175</v>
      </c>
      <c r="N185" s="32">
        <v>1.1999999999999999E-3</v>
      </c>
      <c r="O185" s="35">
        <v>1.623</v>
      </c>
      <c r="P185" s="35">
        <f>3.088+1.286+1.236+1.53</f>
        <v>7.1400000000000006</v>
      </c>
      <c r="Q185" t="s">
        <v>890</v>
      </c>
      <c r="R185" t="s">
        <v>917</v>
      </c>
      <c r="S185" t="s">
        <v>20</v>
      </c>
    </row>
    <row r="186" spans="1:19">
      <c r="A186" t="s">
        <v>712</v>
      </c>
      <c r="B186" t="s">
        <v>592</v>
      </c>
      <c r="D186">
        <v>6</v>
      </c>
      <c r="E186" s="1">
        <v>42816</v>
      </c>
      <c r="F186" s="1">
        <v>43017</v>
      </c>
      <c r="G186">
        <f t="shared" si="6"/>
        <v>201</v>
      </c>
      <c r="H186" t="s">
        <v>417</v>
      </c>
      <c r="I186" t="s">
        <v>593</v>
      </c>
      <c r="J186">
        <v>-26.365555560000001</v>
      </c>
      <c r="K186">
        <v>135.79</v>
      </c>
      <c r="L186" t="s">
        <v>419</v>
      </c>
      <c r="M186" s="33" t="s">
        <v>2176</v>
      </c>
      <c r="N186" s="32">
        <v>6.9999999999999999E-4</v>
      </c>
      <c r="O186" s="35">
        <v>1.508</v>
      </c>
      <c r="P186" s="35">
        <f>2.92+0.716+1.401+1.26</f>
        <v>6.2969999999999997</v>
      </c>
      <c r="Q186" t="s">
        <v>890</v>
      </c>
      <c r="R186" t="s">
        <v>917</v>
      </c>
      <c r="S186" t="s">
        <v>20</v>
      </c>
    </row>
    <row r="187" spans="1:19">
      <c r="A187" t="s">
        <v>713</v>
      </c>
      <c r="B187" t="s">
        <v>592</v>
      </c>
      <c r="D187">
        <v>6</v>
      </c>
      <c r="E187" s="1">
        <v>42816</v>
      </c>
      <c r="F187" s="1">
        <v>43017</v>
      </c>
      <c r="G187">
        <f t="shared" si="6"/>
        <v>201</v>
      </c>
      <c r="H187" t="s">
        <v>417</v>
      </c>
      <c r="I187" t="s">
        <v>593</v>
      </c>
      <c r="J187">
        <v>-26.365555560000001</v>
      </c>
      <c r="K187">
        <v>135.79</v>
      </c>
      <c r="L187" t="s">
        <v>419</v>
      </c>
      <c r="M187" s="33" t="s">
        <v>2177</v>
      </c>
      <c r="N187" s="32">
        <v>8.9999999999999998E-4</v>
      </c>
      <c r="O187" s="35">
        <v>1.5289999999999999</v>
      </c>
      <c r="P187" s="35">
        <f>2.863+1.243+0.626+1.285</f>
        <v>6.0170000000000003</v>
      </c>
      <c r="Q187" t="s">
        <v>890</v>
      </c>
      <c r="R187" t="s">
        <v>917</v>
      </c>
      <c r="S187" t="s">
        <v>20</v>
      </c>
    </row>
    <row r="188" spans="1:19">
      <c r="A188" t="s">
        <v>714</v>
      </c>
      <c r="B188" t="s">
        <v>592</v>
      </c>
      <c r="D188">
        <v>6</v>
      </c>
      <c r="E188" s="1">
        <v>42816</v>
      </c>
      <c r="F188" s="1">
        <v>43017</v>
      </c>
      <c r="G188">
        <f t="shared" si="6"/>
        <v>201</v>
      </c>
      <c r="H188" t="s">
        <v>417</v>
      </c>
      <c r="I188" t="s">
        <v>593</v>
      </c>
      <c r="J188">
        <v>-26.365555560000001</v>
      </c>
      <c r="K188">
        <v>135.79</v>
      </c>
      <c r="L188" t="s">
        <v>419</v>
      </c>
      <c r="M188" s="33" t="s">
        <v>2178</v>
      </c>
      <c r="N188" s="32">
        <v>6.9999999999999999E-4</v>
      </c>
      <c r="O188" s="35">
        <v>1.5629999999999999</v>
      </c>
      <c r="P188" s="35">
        <f>3.445+3.049</f>
        <v>6.4939999999999998</v>
      </c>
      <c r="Q188" t="s">
        <v>890</v>
      </c>
      <c r="R188" t="s">
        <v>917</v>
      </c>
      <c r="S188" t="s">
        <v>20</v>
      </c>
    </row>
    <row r="189" spans="1:19">
      <c r="A189" t="s">
        <v>715</v>
      </c>
      <c r="B189" t="s">
        <v>592</v>
      </c>
      <c r="D189">
        <v>6</v>
      </c>
      <c r="E189" s="1">
        <v>42816</v>
      </c>
      <c r="F189" s="1">
        <v>43017</v>
      </c>
      <c r="G189">
        <f t="shared" si="6"/>
        <v>201</v>
      </c>
      <c r="H189" t="s">
        <v>417</v>
      </c>
      <c r="I189" t="s">
        <v>593</v>
      </c>
      <c r="J189">
        <v>-26.365555560000001</v>
      </c>
      <c r="K189">
        <v>135.79</v>
      </c>
      <c r="L189" t="s">
        <v>419</v>
      </c>
      <c r="M189" s="33" t="s">
        <v>2179</v>
      </c>
      <c r="N189" s="32">
        <v>8.0000000000000004E-4</v>
      </c>
      <c r="O189" s="35">
        <v>1.575</v>
      </c>
      <c r="P189" s="35">
        <f>0.958+1.104+1.198+3.035</f>
        <v>6.2949999999999999</v>
      </c>
      <c r="Q189" t="s">
        <v>890</v>
      </c>
      <c r="R189" t="s">
        <v>917</v>
      </c>
      <c r="S189" t="s">
        <v>20</v>
      </c>
    </row>
    <row r="190" spans="1:19">
      <c r="A190" t="s">
        <v>716</v>
      </c>
      <c r="B190" t="s">
        <v>592</v>
      </c>
      <c r="D190">
        <v>6</v>
      </c>
      <c r="E190" s="1">
        <v>42816</v>
      </c>
      <c r="F190" s="1">
        <v>43017</v>
      </c>
      <c r="G190">
        <f t="shared" si="6"/>
        <v>201</v>
      </c>
      <c r="H190" t="s">
        <v>417</v>
      </c>
      <c r="I190" t="s">
        <v>593</v>
      </c>
      <c r="J190">
        <v>-26.365555560000001</v>
      </c>
      <c r="K190">
        <v>135.79</v>
      </c>
      <c r="L190" t="s">
        <v>419</v>
      </c>
      <c r="M190" s="33" t="s">
        <v>2180</v>
      </c>
      <c r="N190" s="32">
        <v>8.9999999999999998E-4</v>
      </c>
      <c r="O190" s="35">
        <v>1.706</v>
      </c>
      <c r="P190" s="35">
        <f>3.293+1.975+0.979+1.021</f>
        <v>7.2680000000000007</v>
      </c>
      <c r="Q190" t="s">
        <v>890</v>
      </c>
      <c r="R190" t="s">
        <v>917</v>
      </c>
      <c r="S190" t="s">
        <v>20</v>
      </c>
    </row>
    <row r="191" spans="1:19">
      <c r="A191" t="s">
        <v>717</v>
      </c>
      <c r="B191" t="s">
        <v>592</v>
      </c>
      <c r="D191">
        <v>6</v>
      </c>
      <c r="E191" s="1">
        <v>42816</v>
      </c>
      <c r="F191" s="1">
        <v>43017</v>
      </c>
      <c r="G191">
        <f t="shared" si="6"/>
        <v>201</v>
      </c>
      <c r="H191" t="s">
        <v>417</v>
      </c>
      <c r="I191" t="s">
        <v>593</v>
      </c>
      <c r="J191">
        <v>-26.365555560000001</v>
      </c>
      <c r="K191">
        <v>135.79</v>
      </c>
      <c r="L191" t="s">
        <v>419</v>
      </c>
      <c r="M191" s="33" t="s">
        <v>2181</v>
      </c>
      <c r="N191" s="32">
        <v>6.9999999999999999E-4</v>
      </c>
      <c r="O191" s="35">
        <v>1.488</v>
      </c>
      <c r="P191" s="35">
        <f>1.239+1.336+1.136+2.869</f>
        <v>6.58</v>
      </c>
      <c r="Q191" t="s">
        <v>890</v>
      </c>
      <c r="R191" t="s">
        <v>917</v>
      </c>
      <c r="S191" t="s">
        <v>20</v>
      </c>
    </row>
    <row r="192" spans="1:19">
      <c r="A192" t="s">
        <v>718</v>
      </c>
      <c r="B192" t="s">
        <v>592</v>
      </c>
      <c r="D192">
        <v>6</v>
      </c>
      <c r="E192" s="1">
        <v>42816</v>
      </c>
      <c r="F192" s="1">
        <v>43017</v>
      </c>
      <c r="G192">
        <f t="shared" si="6"/>
        <v>201</v>
      </c>
      <c r="H192" t="s">
        <v>417</v>
      </c>
      <c r="I192" t="s">
        <v>593</v>
      </c>
      <c r="J192">
        <v>-26.365555560000001</v>
      </c>
      <c r="K192">
        <v>135.79</v>
      </c>
      <c r="L192" t="s">
        <v>419</v>
      </c>
      <c r="M192" s="33" t="s">
        <v>2182</v>
      </c>
      <c r="N192" s="32">
        <v>6.9999999999999999E-4</v>
      </c>
      <c r="O192" s="35">
        <v>1.6279999999999999</v>
      </c>
      <c r="P192" s="35">
        <f>2.814+0.91+2.202</f>
        <v>5.9260000000000002</v>
      </c>
      <c r="Q192" t="s">
        <v>890</v>
      </c>
      <c r="R192" t="s">
        <v>917</v>
      </c>
      <c r="S192" t="s">
        <v>20</v>
      </c>
    </row>
    <row r="193" spans="1:19">
      <c r="A193" t="s">
        <v>719</v>
      </c>
      <c r="B193" t="s">
        <v>592</v>
      </c>
      <c r="D193">
        <v>6</v>
      </c>
      <c r="E193" s="1">
        <v>42816</v>
      </c>
      <c r="F193" s="1">
        <v>43017</v>
      </c>
      <c r="G193">
        <f t="shared" si="6"/>
        <v>201</v>
      </c>
      <c r="H193" t="s">
        <v>417</v>
      </c>
      <c r="I193" t="s">
        <v>593</v>
      </c>
      <c r="J193">
        <v>-26.365555560000001</v>
      </c>
      <c r="K193">
        <v>135.79</v>
      </c>
      <c r="L193" t="s">
        <v>419</v>
      </c>
      <c r="M193" s="33" t="s">
        <v>2183</v>
      </c>
      <c r="N193" s="32">
        <v>1.1000000000000001E-3</v>
      </c>
      <c r="O193" s="35">
        <v>1.587</v>
      </c>
      <c r="P193" s="35">
        <f>3.107+0.86+1.413+1.043</f>
        <v>6.423</v>
      </c>
      <c r="Q193" t="s">
        <v>890</v>
      </c>
      <c r="R193" t="s">
        <v>917</v>
      </c>
      <c r="S193" t="s">
        <v>20</v>
      </c>
    </row>
    <row r="194" spans="1:19">
      <c r="A194" s="9" t="s">
        <v>423</v>
      </c>
      <c r="B194" t="s">
        <v>421</v>
      </c>
      <c r="C194" t="s">
        <v>422</v>
      </c>
      <c r="D194">
        <v>1</v>
      </c>
      <c r="E194" s="1">
        <v>42816</v>
      </c>
      <c r="F194" s="1">
        <v>43017</v>
      </c>
      <c r="G194">
        <f t="shared" si="6"/>
        <v>201</v>
      </c>
      <c r="H194" t="s">
        <v>417</v>
      </c>
      <c r="I194" t="s">
        <v>418</v>
      </c>
      <c r="J194">
        <v>-26.284722200000001</v>
      </c>
      <c r="K194">
        <v>136.09805556000001</v>
      </c>
      <c r="L194" t="s">
        <v>419</v>
      </c>
      <c r="M194" s="36" t="s">
        <v>1752</v>
      </c>
      <c r="N194" s="32">
        <v>3.0280000000000029E-3</v>
      </c>
      <c r="O194" s="35">
        <v>2.1949999999999998</v>
      </c>
      <c r="P194" s="35">
        <v>9.6440000000000001</v>
      </c>
      <c r="Q194" s="20" t="s">
        <v>2094</v>
      </c>
    </row>
    <row r="195" spans="1:19">
      <c r="A195" s="9" t="s">
        <v>453</v>
      </c>
      <c r="B195" t="s">
        <v>416</v>
      </c>
      <c r="D195">
        <v>1</v>
      </c>
      <c r="E195" s="1">
        <v>42816</v>
      </c>
      <c r="F195" s="1">
        <v>43017</v>
      </c>
      <c r="G195">
        <f t="shared" si="6"/>
        <v>201</v>
      </c>
      <c r="H195" t="s">
        <v>417</v>
      </c>
      <c r="I195" t="s">
        <v>418</v>
      </c>
      <c r="J195">
        <v>-26.284722200000001</v>
      </c>
      <c r="K195">
        <v>136.09805556000001</v>
      </c>
      <c r="L195" t="s">
        <v>419</v>
      </c>
      <c r="M195" s="33" t="s">
        <v>1815</v>
      </c>
      <c r="N195" s="32">
        <v>5.9999999999999995E-4</v>
      </c>
      <c r="O195" s="32">
        <v>1.244</v>
      </c>
      <c r="P195" s="35">
        <v>5.17</v>
      </c>
      <c r="Q195" t="s">
        <v>890</v>
      </c>
    </row>
    <row r="196" spans="1:19" s="43" customFormat="1">
      <c r="A196" t="s">
        <v>720</v>
      </c>
      <c r="B196" t="s">
        <v>592</v>
      </c>
      <c r="C196"/>
      <c r="D196">
        <v>6</v>
      </c>
      <c r="E196" s="1">
        <v>42816</v>
      </c>
      <c r="F196" s="1">
        <v>43017</v>
      </c>
      <c r="G196">
        <f t="shared" si="6"/>
        <v>201</v>
      </c>
      <c r="H196" t="s">
        <v>417</v>
      </c>
      <c r="I196" t="s">
        <v>593</v>
      </c>
      <c r="J196">
        <v>-26.365555560000001</v>
      </c>
      <c r="K196">
        <v>135.79</v>
      </c>
      <c r="L196" t="s">
        <v>419</v>
      </c>
      <c r="M196" s="33" t="s">
        <v>2184</v>
      </c>
      <c r="N196" s="32">
        <v>8.9999999999999998E-4</v>
      </c>
      <c r="O196" s="35">
        <v>1.6020000000000001</v>
      </c>
      <c r="P196" s="35">
        <f>2.757+0.895+2.629</f>
        <v>6.2810000000000006</v>
      </c>
      <c r="Q196" t="s">
        <v>890</v>
      </c>
      <c r="R196" t="s">
        <v>917</v>
      </c>
      <c r="S196" t="s">
        <v>20</v>
      </c>
    </row>
    <row r="197" spans="1:19">
      <c r="A197" t="s">
        <v>721</v>
      </c>
      <c r="B197" t="s">
        <v>592</v>
      </c>
      <c r="D197">
        <v>6</v>
      </c>
      <c r="E197" s="1">
        <v>42816</v>
      </c>
      <c r="F197" s="1">
        <v>43017</v>
      </c>
      <c r="G197">
        <f t="shared" si="6"/>
        <v>201</v>
      </c>
      <c r="H197" t="s">
        <v>417</v>
      </c>
      <c r="I197" t="s">
        <v>593</v>
      </c>
      <c r="J197">
        <v>-26.365555560000001</v>
      </c>
      <c r="K197">
        <v>135.79</v>
      </c>
      <c r="L197" t="s">
        <v>419</v>
      </c>
      <c r="M197" s="33" t="s">
        <v>2185</v>
      </c>
      <c r="N197" s="32">
        <v>8.0000000000000004E-4</v>
      </c>
      <c r="O197" s="35">
        <v>1.5740000000000001</v>
      </c>
      <c r="P197" s="35">
        <f>3.057+1.059+2.265</f>
        <v>6.3810000000000002</v>
      </c>
      <c r="Q197" t="s">
        <v>890</v>
      </c>
      <c r="R197" t="s">
        <v>917</v>
      </c>
      <c r="S197" t="s">
        <v>20</v>
      </c>
    </row>
    <row r="198" spans="1:19">
      <c r="A198" t="s">
        <v>722</v>
      </c>
      <c r="B198" t="s">
        <v>592</v>
      </c>
      <c r="D198">
        <v>6</v>
      </c>
      <c r="E198" s="1">
        <v>42816</v>
      </c>
      <c r="F198" s="1">
        <v>43017</v>
      </c>
      <c r="G198">
        <f t="shared" si="6"/>
        <v>201</v>
      </c>
      <c r="H198" t="s">
        <v>417</v>
      </c>
      <c r="I198" t="s">
        <v>593</v>
      </c>
      <c r="J198">
        <v>-26.365555560000001</v>
      </c>
      <c r="K198">
        <v>135.79</v>
      </c>
      <c r="L198" t="s">
        <v>419</v>
      </c>
      <c r="M198" s="33" t="s">
        <v>2186</v>
      </c>
      <c r="N198" s="32">
        <v>4.0000000000000002E-4</v>
      </c>
      <c r="O198" s="35">
        <v>1.3440000000000001</v>
      </c>
      <c r="P198" s="35">
        <f>2.691+1.105+0.652+0.869</f>
        <v>5.3169999999999993</v>
      </c>
      <c r="Q198" t="s">
        <v>890</v>
      </c>
      <c r="R198" t="s">
        <v>946</v>
      </c>
      <c r="S198" t="s">
        <v>2216</v>
      </c>
    </row>
    <row r="199" spans="1:19">
      <c r="A199" t="s">
        <v>723</v>
      </c>
      <c r="B199" t="s">
        <v>592</v>
      </c>
      <c r="D199">
        <v>6</v>
      </c>
      <c r="E199" s="1">
        <v>42816</v>
      </c>
      <c r="F199" s="1">
        <v>43017</v>
      </c>
      <c r="G199">
        <f t="shared" si="6"/>
        <v>201</v>
      </c>
      <c r="H199" t="s">
        <v>417</v>
      </c>
      <c r="I199" t="s">
        <v>593</v>
      </c>
      <c r="J199">
        <v>-26.365555560000001</v>
      </c>
      <c r="K199">
        <v>135.79</v>
      </c>
      <c r="L199" t="s">
        <v>419</v>
      </c>
      <c r="M199" s="33" t="s">
        <v>2187</v>
      </c>
      <c r="N199" s="32">
        <v>8.0000000000000004E-4</v>
      </c>
      <c r="O199" s="35">
        <v>1.66</v>
      </c>
      <c r="P199" s="35">
        <f>2.86+0.887+0.814+2.13</f>
        <v>6.6909999999999998</v>
      </c>
      <c r="Q199" t="s">
        <v>890</v>
      </c>
      <c r="R199" t="s">
        <v>917</v>
      </c>
      <c r="S199" t="s">
        <v>20</v>
      </c>
    </row>
    <row r="200" spans="1:19">
      <c r="A200" t="s">
        <v>724</v>
      </c>
      <c r="B200" t="s">
        <v>592</v>
      </c>
      <c r="D200">
        <v>6</v>
      </c>
      <c r="E200" s="1">
        <v>42816</v>
      </c>
      <c r="F200" s="1">
        <v>43017</v>
      </c>
      <c r="G200">
        <f t="shared" si="6"/>
        <v>201</v>
      </c>
      <c r="H200" t="s">
        <v>417</v>
      </c>
      <c r="I200" t="s">
        <v>593</v>
      </c>
      <c r="J200">
        <v>-26.365555560000001</v>
      </c>
      <c r="K200">
        <v>135.79</v>
      </c>
      <c r="L200" t="s">
        <v>419</v>
      </c>
      <c r="M200" s="33" t="s">
        <v>2188</v>
      </c>
      <c r="N200" s="32">
        <v>2.9999999999999997E-4</v>
      </c>
      <c r="O200" s="35">
        <v>1.071</v>
      </c>
      <c r="P200" s="35">
        <f>2.224+1.348+0.633+0.734</f>
        <v>4.9390000000000001</v>
      </c>
      <c r="Q200" t="s">
        <v>890</v>
      </c>
      <c r="R200" t="s">
        <v>946</v>
      </c>
      <c r="S200" t="s">
        <v>20</v>
      </c>
    </row>
    <row r="201" spans="1:19">
      <c r="A201" t="s">
        <v>725</v>
      </c>
      <c r="B201" t="s">
        <v>592</v>
      </c>
      <c r="D201">
        <v>6</v>
      </c>
      <c r="E201" s="1">
        <v>42816</v>
      </c>
      <c r="F201" s="1">
        <v>43017</v>
      </c>
      <c r="G201">
        <f t="shared" si="6"/>
        <v>201</v>
      </c>
      <c r="H201" t="s">
        <v>417</v>
      </c>
      <c r="I201" t="s">
        <v>593</v>
      </c>
      <c r="J201">
        <v>-26.365555560000001</v>
      </c>
      <c r="K201">
        <v>135.79</v>
      </c>
      <c r="L201" t="s">
        <v>419</v>
      </c>
      <c r="M201" s="33" t="s">
        <v>2189</v>
      </c>
      <c r="N201" s="32">
        <v>8.0000000000000004E-4</v>
      </c>
      <c r="O201" s="35">
        <f>0.848*2</f>
        <v>1.696</v>
      </c>
      <c r="P201" s="35">
        <f>3.064+0.982+2.562</f>
        <v>6.6080000000000005</v>
      </c>
      <c r="Q201" t="s">
        <v>890</v>
      </c>
      <c r="R201" t="s">
        <v>917</v>
      </c>
      <c r="S201" t="s">
        <v>20</v>
      </c>
    </row>
    <row r="202" spans="1:19">
      <c r="A202" t="s">
        <v>726</v>
      </c>
      <c r="B202" t="s">
        <v>592</v>
      </c>
      <c r="D202">
        <v>6</v>
      </c>
      <c r="E202" s="1">
        <v>42816</v>
      </c>
      <c r="F202" s="1">
        <v>43017</v>
      </c>
      <c r="G202">
        <f t="shared" ref="G202:G265" si="7">F202-E202</f>
        <v>201</v>
      </c>
      <c r="H202" t="s">
        <v>417</v>
      </c>
      <c r="I202" t="s">
        <v>593</v>
      </c>
      <c r="J202">
        <v>-26.365555560000001</v>
      </c>
      <c r="K202">
        <v>135.79</v>
      </c>
      <c r="L202" t="s">
        <v>419</v>
      </c>
      <c r="M202" s="33" t="s">
        <v>2190</v>
      </c>
      <c r="N202" s="32">
        <v>8.0000000000000004E-4</v>
      </c>
      <c r="O202" s="35">
        <v>1.5840000000000001</v>
      </c>
      <c r="P202" s="35">
        <f>3.306+0.704+2.444</f>
        <v>6.4539999999999997</v>
      </c>
      <c r="Q202" t="s">
        <v>890</v>
      </c>
      <c r="R202" t="s">
        <v>917</v>
      </c>
      <c r="S202" t="s">
        <v>20</v>
      </c>
    </row>
    <row r="203" spans="1:19">
      <c r="A203" t="s">
        <v>727</v>
      </c>
      <c r="B203" t="s">
        <v>592</v>
      </c>
      <c r="D203">
        <v>6</v>
      </c>
      <c r="E203" s="1">
        <v>42816</v>
      </c>
      <c r="F203" s="1">
        <v>43017</v>
      </c>
      <c r="G203">
        <f t="shared" si="7"/>
        <v>201</v>
      </c>
      <c r="H203" t="s">
        <v>417</v>
      </c>
      <c r="I203" t="s">
        <v>593</v>
      </c>
      <c r="J203">
        <v>-26.365555560000001</v>
      </c>
      <c r="K203">
        <v>135.79</v>
      </c>
      <c r="L203" t="s">
        <v>419</v>
      </c>
      <c r="M203" s="33" t="s">
        <v>2191</v>
      </c>
      <c r="N203" s="32">
        <v>8.9999999999999998E-4</v>
      </c>
      <c r="O203" s="35">
        <v>1.627</v>
      </c>
      <c r="P203" s="35">
        <f>1.476+2.142+2.952</f>
        <v>6.57</v>
      </c>
      <c r="Q203" t="s">
        <v>890</v>
      </c>
      <c r="R203" t="s">
        <v>917</v>
      </c>
      <c r="S203" t="s">
        <v>20</v>
      </c>
    </row>
    <row r="204" spans="1:19">
      <c r="A204" t="s">
        <v>728</v>
      </c>
      <c r="B204" t="s">
        <v>592</v>
      </c>
      <c r="D204">
        <v>6</v>
      </c>
      <c r="E204" s="1">
        <v>42816</v>
      </c>
      <c r="F204" s="1">
        <v>43017</v>
      </c>
      <c r="G204">
        <f t="shared" si="7"/>
        <v>201</v>
      </c>
      <c r="H204" t="s">
        <v>417</v>
      </c>
      <c r="I204" t="s">
        <v>593</v>
      </c>
      <c r="J204">
        <v>-26.365555560000001</v>
      </c>
      <c r="K204">
        <v>135.79</v>
      </c>
      <c r="L204" t="s">
        <v>419</v>
      </c>
      <c r="M204" s="33" t="s">
        <v>2192</v>
      </c>
      <c r="N204" s="32">
        <v>8.9999999999999998E-4</v>
      </c>
      <c r="O204" s="35">
        <v>1.6020000000000001</v>
      </c>
      <c r="P204" s="35">
        <f>3.041+2.724+0.678</f>
        <v>6.4430000000000005</v>
      </c>
      <c r="Q204" t="s">
        <v>890</v>
      </c>
      <c r="R204" t="s">
        <v>917</v>
      </c>
      <c r="S204" t="s">
        <v>20</v>
      </c>
    </row>
    <row r="205" spans="1:19">
      <c r="A205" t="s">
        <v>729</v>
      </c>
      <c r="B205" t="s">
        <v>592</v>
      </c>
      <c r="D205">
        <v>6</v>
      </c>
      <c r="E205" s="1">
        <v>42816</v>
      </c>
      <c r="F205" s="1">
        <v>43017</v>
      </c>
      <c r="G205">
        <f t="shared" si="7"/>
        <v>201</v>
      </c>
      <c r="H205" t="s">
        <v>417</v>
      </c>
      <c r="I205" t="s">
        <v>593</v>
      </c>
      <c r="J205">
        <v>-26.365555560000001</v>
      </c>
      <c r="K205">
        <v>135.79</v>
      </c>
      <c r="L205" t="s">
        <v>419</v>
      </c>
      <c r="M205" s="33" t="s">
        <v>2193</v>
      </c>
      <c r="N205" s="32">
        <v>5.9999999999999995E-4</v>
      </c>
      <c r="O205" s="35">
        <v>1.3839999999999999</v>
      </c>
      <c r="P205" s="35">
        <f>2.918+0.923+1.009+1.207</f>
        <v>6.0569999999999995</v>
      </c>
      <c r="Q205" t="s">
        <v>890</v>
      </c>
      <c r="R205" t="s">
        <v>946</v>
      </c>
      <c r="S205" t="s">
        <v>20</v>
      </c>
    </row>
    <row r="206" spans="1:19">
      <c r="A206" s="9" t="s">
        <v>454</v>
      </c>
      <c r="B206" t="s">
        <v>416</v>
      </c>
      <c r="D206">
        <v>1</v>
      </c>
      <c r="E206" s="1">
        <v>42816</v>
      </c>
      <c r="F206" s="1">
        <v>43017</v>
      </c>
      <c r="G206">
        <f t="shared" si="7"/>
        <v>201</v>
      </c>
      <c r="H206" t="s">
        <v>417</v>
      </c>
      <c r="I206" t="s">
        <v>418</v>
      </c>
      <c r="J206">
        <v>-26.284722200000001</v>
      </c>
      <c r="K206">
        <v>136.09805556000001</v>
      </c>
      <c r="L206" t="s">
        <v>419</v>
      </c>
      <c r="M206" s="33" t="s">
        <v>1816</v>
      </c>
      <c r="N206" s="32">
        <v>5.9999999999999995E-4</v>
      </c>
      <c r="O206" s="32">
        <v>1.268</v>
      </c>
      <c r="P206" s="35">
        <v>5.4459999999999997</v>
      </c>
      <c r="Q206" t="s">
        <v>890</v>
      </c>
    </row>
    <row r="207" spans="1:19">
      <c r="A207" t="s">
        <v>731</v>
      </c>
      <c r="B207" t="s">
        <v>592</v>
      </c>
      <c r="D207">
        <v>6</v>
      </c>
      <c r="E207" s="1">
        <v>42816</v>
      </c>
      <c r="F207" s="1">
        <v>43017</v>
      </c>
      <c r="G207">
        <f t="shared" si="7"/>
        <v>201</v>
      </c>
      <c r="H207" t="s">
        <v>417</v>
      </c>
      <c r="I207" t="s">
        <v>593</v>
      </c>
      <c r="J207">
        <v>-26.365555560000001</v>
      </c>
      <c r="K207">
        <v>135.79</v>
      </c>
      <c r="L207" t="s">
        <v>419</v>
      </c>
      <c r="M207" s="33" t="s">
        <v>2195</v>
      </c>
      <c r="N207" s="32">
        <v>4.0000000000000002E-4</v>
      </c>
      <c r="O207" s="35">
        <v>1.2470000000000001</v>
      </c>
      <c r="P207" s="35">
        <f>2.253+0.666+0.622+0.622+0.835</f>
        <v>4.9980000000000002</v>
      </c>
      <c r="Q207" t="s">
        <v>890</v>
      </c>
      <c r="R207" t="s">
        <v>917</v>
      </c>
      <c r="S207" t="s">
        <v>20</v>
      </c>
    </row>
    <row r="208" spans="1:19">
      <c r="A208" t="s">
        <v>732</v>
      </c>
      <c r="B208" t="s">
        <v>592</v>
      </c>
      <c r="D208">
        <v>6</v>
      </c>
      <c r="E208" s="1">
        <v>42816</v>
      </c>
      <c r="F208" s="1">
        <v>43017</v>
      </c>
      <c r="G208">
        <f t="shared" si="7"/>
        <v>201</v>
      </c>
      <c r="H208" t="s">
        <v>417</v>
      </c>
      <c r="I208" t="s">
        <v>593</v>
      </c>
      <c r="J208">
        <v>-26.365555560000001</v>
      </c>
      <c r="K208">
        <v>135.79</v>
      </c>
      <c r="L208" t="s">
        <v>419</v>
      </c>
      <c r="M208" s="33" t="s">
        <v>2196</v>
      </c>
      <c r="N208" s="32">
        <v>8.0000000000000004E-4</v>
      </c>
      <c r="O208" s="35">
        <v>1.605</v>
      </c>
      <c r="P208" s="35">
        <f>2.86+1.703+1.085+0.695</f>
        <v>6.343</v>
      </c>
      <c r="Q208" t="s">
        <v>890</v>
      </c>
      <c r="R208" t="s">
        <v>917</v>
      </c>
      <c r="S208" t="s">
        <v>20</v>
      </c>
    </row>
    <row r="209" spans="1:19">
      <c r="A209" t="s">
        <v>733</v>
      </c>
      <c r="B209" t="s">
        <v>592</v>
      </c>
      <c r="D209">
        <v>6</v>
      </c>
      <c r="E209" s="1">
        <v>42816</v>
      </c>
      <c r="F209" s="1">
        <v>43017</v>
      </c>
      <c r="G209">
        <f t="shared" si="7"/>
        <v>201</v>
      </c>
      <c r="H209" t="s">
        <v>417</v>
      </c>
      <c r="I209" t="s">
        <v>593</v>
      </c>
      <c r="J209">
        <v>-26.365555560000001</v>
      </c>
      <c r="K209">
        <v>135.79</v>
      </c>
      <c r="L209" t="s">
        <v>419</v>
      </c>
      <c r="M209" s="33" t="s">
        <v>2197</v>
      </c>
      <c r="N209" s="32">
        <v>2.9999999999999997E-4</v>
      </c>
      <c r="O209" s="35">
        <v>1.0880000000000001</v>
      </c>
      <c r="P209" s="35">
        <f>2.179+0.594+1.181+0.552</f>
        <v>4.5060000000000002</v>
      </c>
      <c r="Q209" t="s">
        <v>890</v>
      </c>
      <c r="R209" t="s">
        <v>946</v>
      </c>
      <c r="S209" t="s">
        <v>20</v>
      </c>
    </row>
    <row r="210" spans="1:19">
      <c r="A210" t="s">
        <v>734</v>
      </c>
      <c r="B210" t="s">
        <v>592</v>
      </c>
      <c r="D210">
        <v>6</v>
      </c>
      <c r="E210" s="1">
        <v>42816</v>
      </c>
      <c r="F210" s="1">
        <v>43017</v>
      </c>
      <c r="G210">
        <f t="shared" si="7"/>
        <v>201</v>
      </c>
      <c r="H210" t="s">
        <v>417</v>
      </c>
      <c r="I210" t="s">
        <v>593</v>
      </c>
      <c r="J210">
        <v>-26.365555560000001</v>
      </c>
      <c r="K210">
        <v>135.79</v>
      </c>
      <c r="L210" t="s">
        <v>419</v>
      </c>
      <c r="M210" s="33" t="s">
        <v>2198</v>
      </c>
      <c r="N210" s="32">
        <v>5.0000000000000001E-4</v>
      </c>
      <c r="O210" s="35">
        <v>1.464</v>
      </c>
      <c r="P210" s="35">
        <f>2.796+0.64+0.711+1.55</f>
        <v>5.6970000000000001</v>
      </c>
      <c r="Q210" t="s">
        <v>890</v>
      </c>
      <c r="R210" t="s">
        <v>917</v>
      </c>
      <c r="S210" t="s">
        <v>20</v>
      </c>
    </row>
    <row r="211" spans="1:19">
      <c r="A211" t="s">
        <v>735</v>
      </c>
      <c r="B211" t="s">
        <v>592</v>
      </c>
      <c r="D211">
        <v>6</v>
      </c>
      <c r="E211" s="1">
        <v>42816</v>
      </c>
      <c r="F211" s="1">
        <v>43017</v>
      </c>
      <c r="G211">
        <f t="shared" si="7"/>
        <v>201</v>
      </c>
      <c r="H211" t="s">
        <v>417</v>
      </c>
      <c r="I211" t="s">
        <v>593</v>
      </c>
      <c r="J211">
        <v>-26.365555560000001</v>
      </c>
      <c r="K211">
        <v>135.79</v>
      </c>
      <c r="L211" t="s">
        <v>419</v>
      </c>
      <c r="M211" s="33" t="s">
        <v>2199</v>
      </c>
      <c r="N211" s="32">
        <v>8.0000000000000004E-4</v>
      </c>
      <c r="O211" s="35">
        <v>1.6020000000000001</v>
      </c>
      <c r="P211" s="35">
        <f>3.09+1.041+0.885+1.047</f>
        <v>6.0629999999999997</v>
      </c>
      <c r="Q211" t="s">
        <v>890</v>
      </c>
      <c r="R211" t="s">
        <v>917</v>
      </c>
      <c r="S211" t="s">
        <v>20</v>
      </c>
    </row>
    <row r="212" spans="1:19">
      <c r="A212" t="s">
        <v>736</v>
      </c>
      <c r="B212" t="s">
        <v>592</v>
      </c>
      <c r="D212">
        <v>6</v>
      </c>
      <c r="E212" s="1">
        <v>42816</v>
      </c>
      <c r="F212" s="1">
        <v>43017</v>
      </c>
      <c r="G212">
        <f t="shared" si="7"/>
        <v>201</v>
      </c>
      <c r="H212" t="s">
        <v>417</v>
      </c>
      <c r="I212" t="s">
        <v>593</v>
      </c>
      <c r="J212">
        <v>-26.365555560000001</v>
      </c>
      <c r="K212">
        <v>135.79</v>
      </c>
      <c r="L212" t="s">
        <v>419</v>
      </c>
      <c r="M212" s="33" t="s">
        <v>2200</v>
      </c>
      <c r="N212" s="32">
        <v>1E-3</v>
      </c>
      <c r="O212" s="35">
        <v>1.6850000000000001</v>
      </c>
      <c r="P212" s="35">
        <f>3.151+0.897+1.318+1.43</f>
        <v>6.7959999999999994</v>
      </c>
      <c r="Q212" t="s">
        <v>890</v>
      </c>
      <c r="R212" t="s">
        <v>917</v>
      </c>
      <c r="S212" t="s">
        <v>20</v>
      </c>
    </row>
    <row r="213" spans="1:19">
      <c r="A213" t="s">
        <v>737</v>
      </c>
      <c r="B213" t="s">
        <v>592</v>
      </c>
      <c r="D213">
        <v>6</v>
      </c>
      <c r="E213" s="1">
        <v>42816</v>
      </c>
      <c r="F213" s="1">
        <v>43017</v>
      </c>
      <c r="G213">
        <f t="shared" si="7"/>
        <v>201</v>
      </c>
      <c r="H213" t="s">
        <v>417</v>
      </c>
      <c r="I213" t="s">
        <v>593</v>
      </c>
      <c r="J213">
        <v>-26.365555560000001</v>
      </c>
      <c r="K213">
        <v>135.79</v>
      </c>
      <c r="L213" t="s">
        <v>419</v>
      </c>
      <c r="M213" s="33" t="s">
        <v>2201</v>
      </c>
      <c r="N213" s="32">
        <v>4.0000000000000002E-4</v>
      </c>
      <c r="O213" s="35">
        <v>1.175</v>
      </c>
      <c r="P213" s="35">
        <f>2.58+0.806+1.667</f>
        <v>5.0529999999999999</v>
      </c>
      <c r="Q213" t="s">
        <v>890</v>
      </c>
      <c r="R213" t="s">
        <v>946</v>
      </c>
      <c r="S213" t="s">
        <v>20</v>
      </c>
    </row>
    <row r="214" spans="1:19">
      <c r="A214" t="s">
        <v>738</v>
      </c>
      <c r="B214" t="s">
        <v>592</v>
      </c>
      <c r="D214">
        <v>6</v>
      </c>
      <c r="E214" s="1">
        <v>42816</v>
      </c>
      <c r="F214" s="1">
        <v>43017</v>
      </c>
      <c r="G214">
        <f t="shared" si="7"/>
        <v>201</v>
      </c>
      <c r="H214" t="s">
        <v>417</v>
      </c>
      <c r="I214" t="s">
        <v>593</v>
      </c>
      <c r="J214">
        <v>-26.365555560000001</v>
      </c>
      <c r="K214">
        <v>135.79</v>
      </c>
      <c r="L214" t="s">
        <v>419</v>
      </c>
      <c r="M214" s="33" t="s">
        <v>2202</v>
      </c>
      <c r="N214" s="32">
        <v>8.0000000000000004E-4</v>
      </c>
      <c r="O214" s="35">
        <v>1.5309999999999999</v>
      </c>
      <c r="P214" s="35">
        <f>2.163+0.934+0.833+3.059</f>
        <v>6.9889999999999999</v>
      </c>
      <c r="Q214" t="s">
        <v>890</v>
      </c>
      <c r="R214" t="s">
        <v>917</v>
      </c>
      <c r="S214" t="s">
        <v>20</v>
      </c>
    </row>
    <row r="215" spans="1:19">
      <c r="A215" t="s">
        <v>739</v>
      </c>
      <c r="B215" t="s">
        <v>592</v>
      </c>
      <c r="D215">
        <v>6</v>
      </c>
      <c r="E215" s="1">
        <v>42816</v>
      </c>
      <c r="F215" s="1">
        <v>43017</v>
      </c>
      <c r="G215">
        <f t="shared" si="7"/>
        <v>201</v>
      </c>
      <c r="H215" t="s">
        <v>417</v>
      </c>
      <c r="I215" t="s">
        <v>593</v>
      </c>
      <c r="J215">
        <v>-26.365555560000001</v>
      </c>
      <c r="K215">
        <v>135.79</v>
      </c>
      <c r="L215" t="s">
        <v>419</v>
      </c>
      <c r="M215" s="33" t="s">
        <v>2203</v>
      </c>
      <c r="N215" s="32">
        <v>8.0000000000000004E-4</v>
      </c>
      <c r="O215" s="35">
        <v>1.577</v>
      </c>
      <c r="P215" s="35">
        <f>2.916+1.454+2.286</f>
        <v>6.6560000000000006</v>
      </c>
      <c r="Q215" t="s">
        <v>890</v>
      </c>
      <c r="R215" t="s">
        <v>917</v>
      </c>
      <c r="S215" t="s">
        <v>20</v>
      </c>
    </row>
    <row r="216" spans="1:19">
      <c r="A216" s="9" t="s">
        <v>455</v>
      </c>
      <c r="B216" t="s">
        <v>416</v>
      </c>
      <c r="D216">
        <v>1</v>
      </c>
      <c r="E216" s="1">
        <v>42816</v>
      </c>
      <c r="F216" s="1">
        <v>43017</v>
      </c>
      <c r="G216">
        <f t="shared" si="7"/>
        <v>201</v>
      </c>
      <c r="H216" t="s">
        <v>417</v>
      </c>
      <c r="I216" t="s">
        <v>418</v>
      </c>
      <c r="J216">
        <v>-26.284722200000001</v>
      </c>
      <c r="K216">
        <v>136.09805556000001</v>
      </c>
      <c r="L216" t="s">
        <v>419</v>
      </c>
      <c r="M216" s="33" t="s">
        <v>1817</v>
      </c>
      <c r="N216" s="32">
        <v>3.3E-3</v>
      </c>
      <c r="O216" s="32">
        <v>2.4710000000000001</v>
      </c>
      <c r="P216" s="35">
        <v>8.0830000000000002</v>
      </c>
      <c r="Q216" t="s">
        <v>890</v>
      </c>
    </row>
    <row r="217" spans="1:19">
      <c r="A217" t="s">
        <v>740</v>
      </c>
      <c r="B217" t="s">
        <v>592</v>
      </c>
      <c r="D217">
        <v>6</v>
      </c>
      <c r="E217" s="1">
        <v>42816</v>
      </c>
      <c r="F217" s="1">
        <v>43017</v>
      </c>
      <c r="G217">
        <f t="shared" si="7"/>
        <v>201</v>
      </c>
      <c r="H217" t="s">
        <v>417</v>
      </c>
      <c r="I217" t="s">
        <v>593</v>
      </c>
      <c r="J217">
        <v>-26.365555560000001</v>
      </c>
      <c r="K217">
        <v>135.79</v>
      </c>
      <c r="L217" t="s">
        <v>419</v>
      </c>
      <c r="M217" s="33" t="s">
        <v>2204</v>
      </c>
      <c r="N217" s="32">
        <v>6.9999999999999999E-4</v>
      </c>
      <c r="O217" s="35">
        <v>1.583</v>
      </c>
      <c r="P217" s="35">
        <f>2.942+0.935+2.205</f>
        <v>6.0820000000000007</v>
      </c>
      <c r="Q217" t="s">
        <v>890</v>
      </c>
      <c r="R217" t="s">
        <v>917</v>
      </c>
      <c r="S217" t="s">
        <v>20</v>
      </c>
    </row>
    <row r="218" spans="1:19">
      <c r="A218" t="s">
        <v>741</v>
      </c>
      <c r="B218" t="s">
        <v>592</v>
      </c>
      <c r="D218">
        <v>6</v>
      </c>
      <c r="E218" s="1">
        <v>42816</v>
      </c>
      <c r="F218" s="1">
        <v>43017</v>
      </c>
      <c r="G218">
        <f t="shared" si="7"/>
        <v>201</v>
      </c>
      <c r="H218" t="s">
        <v>417</v>
      </c>
      <c r="I218" t="s">
        <v>593</v>
      </c>
      <c r="J218">
        <v>-26.365555560000001</v>
      </c>
      <c r="K218">
        <v>135.79</v>
      </c>
      <c r="L218" t="s">
        <v>419</v>
      </c>
      <c r="M218" s="33" t="s">
        <v>2205</v>
      </c>
      <c r="N218" s="32">
        <v>8.9999999999999998E-4</v>
      </c>
      <c r="O218" s="35">
        <v>1.607</v>
      </c>
      <c r="P218" s="35">
        <f>3.125+1.053+1.403+1.3767</f>
        <v>6.9576999999999991</v>
      </c>
      <c r="Q218" t="s">
        <v>890</v>
      </c>
      <c r="R218" t="s">
        <v>917</v>
      </c>
      <c r="S218" t="s">
        <v>20</v>
      </c>
    </row>
    <row r="219" spans="1:19">
      <c r="A219" t="s">
        <v>742</v>
      </c>
      <c r="B219" t="s">
        <v>592</v>
      </c>
      <c r="D219">
        <v>6</v>
      </c>
      <c r="E219" s="1">
        <v>42816</v>
      </c>
      <c r="F219" s="1">
        <v>43017</v>
      </c>
      <c r="G219">
        <f t="shared" si="7"/>
        <v>201</v>
      </c>
      <c r="H219" t="s">
        <v>417</v>
      </c>
      <c r="I219" t="s">
        <v>593</v>
      </c>
      <c r="J219">
        <v>-26.365555560000001</v>
      </c>
      <c r="K219">
        <v>135.79</v>
      </c>
      <c r="L219" t="s">
        <v>419</v>
      </c>
      <c r="M219" s="33" t="s">
        <v>2206</v>
      </c>
      <c r="N219" s="32">
        <v>1E-3</v>
      </c>
      <c r="O219" s="35">
        <v>1.696</v>
      </c>
      <c r="P219" s="33">
        <f>2.926+1.779+0.989+1.101</f>
        <v>6.7949999999999999</v>
      </c>
      <c r="Q219" t="s">
        <v>890</v>
      </c>
      <c r="R219" t="s">
        <v>917</v>
      </c>
      <c r="S219" t="s">
        <v>20</v>
      </c>
    </row>
    <row r="220" spans="1:19">
      <c r="A220" t="s">
        <v>743</v>
      </c>
      <c r="B220" t="s">
        <v>592</v>
      </c>
      <c r="D220">
        <v>6</v>
      </c>
      <c r="E220" s="1">
        <v>42816</v>
      </c>
      <c r="F220" s="1">
        <v>43017</v>
      </c>
      <c r="G220">
        <f t="shared" si="7"/>
        <v>201</v>
      </c>
      <c r="H220" t="s">
        <v>417</v>
      </c>
      <c r="I220" t="s">
        <v>593</v>
      </c>
      <c r="J220">
        <v>-26.365555560000001</v>
      </c>
      <c r="K220">
        <v>135.79</v>
      </c>
      <c r="L220" t="s">
        <v>419</v>
      </c>
      <c r="M220" s="33" t="s">
        <v>2207</v>
      </c>
      <c r="N220" s="32">
        <v>5.9999999999999995E-4</v>
      </c>
      <c r="O220" s="35">
        <v>1.331</v>
      </c>
      <c r="P220" s="35">
        <f>2.847+0.935+1.55+1.034</f>
        <v>6.3659999999999997</v>
      </c>
      <c r="Q220" t="s">
        <v>890</v>
      </c>
      <c r="R220" t="s">
        <v>946</v>
      </c>
      <c r="S220" t="s">
        <v>2215</v>
      </c>
    </row>
    <row r="221" spans="1:19">
      <c r="A221" t="s">
        <v>744</v>
      </c>
      <c r="B221" t="s">
        <v>592</v>
      </c>
      <c r="D221">
        <v>6</v>
      </c>
      <c r="E221" s="1">
        <v>42816</v>
      </c>
      <c r="F221" s="1">
        <v>43017</v>
      </c>
      <c r="G221">
        <f t="shared" si="7"/>
        <v>201</v>
      </c>
      <c r="H221" t="s">
        <v>417</v>
      </c>
      <c r="I221" t="s">
        <v>593</v>
      </c>
      <c r="J221">
        <v>-26.365555560000001</v>
      </c>
      <c r="K221">
        <v>135.79</v>
      </c>
      <c r="L221" t="s">
        <v>419</v>
      </c>
      <c r="M221" s="33" t="s">
        <v>2208</v>
      </c>
      <c r="N221" s="32">
        <v>8.9999999999999998E-4</v>
      </c>
      <c r="O221" s="35">
        <v>1.554</v>
      </c>
      <c r="P221" s="35">
        <f>3.002+1.208+1.066+1.177</f>
        <v>6.4529999999999994</v>
      </c>
      <c r="Q221" t="s">
        <v>890</v>
      </c>
      <c r="R221" t="s">
        <v>917</v>
      </c>
      <c r="S221" t="s">
        <v>20</v>
      </c>
    </row>
    <row r="222" spans="1:19">
      <c r="A222" t="s">
        <v>745</v>
      </c>
      <c r="B222" t="s">
        <v>592</v>
      </c>
      <c r="D222">
        <v>6</v>
      </c>
      <c r="E222" s="1">
        <v>42816</v>
      </c>
      <c r="F222" s="1">
        <v>43017</v>
      </c>
      <c r="G222">
        <f t="shared" si="7"/>
        <v>201</v>
      </c>
      <c r="H222" t="s">
        <v>417</v>
      </c>
      <c r="I222" t="s">
        <v>593</v>
      </c>
      <c r="J222">
        <v>-26.365555560000001</v>
      </c>
      <c r="K222">
        <v>135.79</v>
      </c>
      <c r="L222" t="s">
        <v>419</v>
      </c>
      <c r="M222" s="33" t="s">
        <v>2209</v>
      </c>
      <c r="N222" s="32">
        <v>5.9999999999999995E-4</v>
      </c>
      <c r="O222" s="35">
        <v>1.47</v>
      </c>
      <c r="P222" s="35">
        <f>2.863+1.06+1.07+1.201</f>
        <v>6.1940000000000008</v>
      </c>
      <c r="Q222" t="s">
        <v>890</v>
      </c>
      <c r="R222" t="s">
        <v>917</v>
      </c>
      <c r="S222" t="s">
        <v>20</v>
      </c>
    </row>
    <row r="223" spans="1:19">
      <c r="A223" t="s">
        <v>746</v>
      </c>
      <c r="B223" t="s">
        <v>592</v>
      </c>
      <c r="D223">
        <v>6</v>
      </c>
      <c r="E223" s="1">
        <v>42816</v>
      </c>
      <c r="F223" s="1">
        <v>43017</v>
      </c>
      <c r="G223">
        <f t="shared" si="7"/>
        <v>201</v>
      </c>
      <c r="H223" t="s">
        <v>417</v>
      </c>
      <c r="I223" t="s">
        <v>593</v>
      </c>
      <c r="J223">
        <v>-26.365555560000001</v>
      </c>
      <c r="K223">
        <v>135.79</v>
      </c>
      <c r="L223" t="s">
        <v>419</v>
      </c>
      <c r="M223" s="33" t="s">
        <v>2210</v>
      </c>
      <c r="N223" s="32">
        <v>5.9999999999999995E-4</v>
      </c>
      <c r="O223" s="35">
        <v>1.3740000000000001</v>
      </c>
      <c r="P223" s="35">
        <f>2.945+0.999+2.54</f>
        <v>6.484</v>
      </c>
      <c r="Q223" t="s">
        <v>890</v>
      </c>
      <c r="R223" t="s">
        <v>917</v>
      </c>
      <c r="S223" t="s">
        <v>20</v>
      </c>
    </row>
    <row r="224" spans="1:19">
      <c r="A224" t="s">
        <v>747</v>
      </c>
      <c r="B224" t="s">
        <v>592</v>
      </c>
      <c r="D224">
        <v>6</v>
      </c>
      <c r="E224" s="1">
        <v>42816</v>
      </c>
      <c r="F224" s="1">
        <v>43017</v>
      </c>
      <c r="G224">
        <f t="shared" si="7"/>
        <v>201</v>
      </c>
      <c r="H224" t="s">
        <v>417</v>
      </c>
      <c r="I224" t="s">
        <v>593</v>
      </c>
      <c r="J224">
        <v>-26.365555560000001</v>
      </c>
      <c r="K224">
        <v>135.79</v>
      </c>
      <c r="L224" t="s">
        <v>419</v>
      </c>
      <c r="M224" s="33" t="s">
        <v>2211</v>
      </c>
      <c r="N224" s="32">
        <v>5.0000000000000001E-4</v>
      </c>
      <c r="O224" s="35">
        <v>1.345</v>
      </c>
      <c r="P224" s="35">
        <f>2.749+1.348+1.133</f>
        <v>5.23</v>
      </c>
      <c r="Q224" t="s">
        <v>890</v>
      </c>
      <c r="R224" t="s">
        <v>946</v>
      </c>
      <c r="S224" t="s">
        <v>20</v>
      </c>
    </row>
    <row r="225" spans="1:19">
      <c r="A225" t="s">
        <v>748</v>
      </c>
      <c r="B225" t="s">
        <v>592</v>
      </c>
      <c r="D225">
        <v>6</v>
      </c>
      <c r="E225" s="1">
        <v>42816</v>
      </c>
      <c r="F225" s="1">
        <v>43017</v>
      </c>
      <c r="G225">
        <f t="shared" si="7"/>
        <v>201</v>
      </c>
      <c r="H225" t="s">
        <v>417</v>
      </c>
      <c r="I225" t="s">
        <v>593</v>
      </c>
      <c r="J225">
        <v>-26.365555560000001</v>
      </c>
      <c r="K225">
        <v>135.79</v>
      </c>
      <c r="L225" t="s">
        <v>419</v>
      </c>
      <c r="M225" s="33" t="s">
        <v>2212</v>
      </c>
      <c r="N225" s="32">
        <v>4.0000000000000002E-4</v>
      </c>
      <c r="O225" s="35">
        <v>1.2410000000000001</v>
      </c>
      <c r="P225" s="35">
        <f>2.526+0.951+0.874+0.976</f>
        <v>5.327</v>
      </c>
      <c r="Q225" t="s">
        <v>890</v>
      </c>
      <c r="R225" t="s">
        <v>946</v>
      </c>
      <c r="S225" t="s">
        <v>20</v>
      </c>
    </row>
    <row r="226" spans="1:19">
      <c r="A226" t="s">
        <v>749</v>
      </c>
      <c r="B226" t="s">
        <v>592</v>
      </c>
      <c r="D226">
        <v>6</v>
      </c>
      <c r="E226" s="1">
        <v>42816</v>
      </c>
      <c r="F226" s="1">
        <v>43017</v>
      </c>
      <c r="G226">
        <f t="shared" si="7"/>
        <v>201</v>
      </c>
      <c r="H226" t="s">
        <v>417</v>
      </c>
      <c r="I226" t="s">
        <v>593</v>
      </c>
      <c r="J226">
        <v>-26.365555560000001</v>
      </c>
      <c r="K226">
        <v>135.79</v>
      </c>
      <c r="L226" t="s">
        <v>419</v>
      </c>
      <c r="M226" s="33" t="s">
        <v>2128</v>
      </c>
      <c r="N226" s="32">
        <v>4.0000000000000002E-4</v>
      </c>
      <c r="O226" s="35">
        <v>1.2430000000000001</v>
      </c>
      <c r="P226" s="35">
        <f>2.354+1.246+1.239</f>
        <v>4.8390000000000004</v>
      </c>
      <c r="Q226" t="s">
        <v>890</v>
      </c>
      <c r="R226" t="s">
        <v>946</v>
      </c>
      <c r="S226" t="s">
        <v>20</v>
      </c>
    </row>
    <row r="227" spans="1:19">
      <c r="A227" s="9" t="s">
        <v>456</v>
      </c>
      <c r="B227" t="s">
        <v>416</v>
      </c>
      <c r="D227">
        <v>1</v>
      </c>
      <c r="E227" s="1">
        <v>42816</v>
      </c>
      <c r="F227" s="1">
        <v>43017</v>
      </c>
      <c r="G227">
        <f t="shared" si="7"/>
        <v>201</v>
      </c>
      <c r="H227" t="s">
        <v>417</v>
      </c>
      <c r="I227" t="s">
        <v>418</v>
      </c>
      <c r="J227">
        <v>-26.284722200000001</v>
      </c>
      <c r="K227">
        <v>136.09805556000001</v>
      </c>
      <c r="L227" t="s">
        <v>419</v>
      </c>
      <c r="M227" s="33" t="s">
        <v>1818</v>
      </c>
      <c r="N227" s="32">
        <v>3.0999999999999999E-3</v>
      </c>
      <c r="O227" s="32">
        <v>2.1680000000000001</v>
      </c>
      <c r="P227" s="35">
        <v>8.4830000000000005</v>
      </c>
      <c r="Q227" t="s">
        <v>890</v>
      </c>
    </row>
    <row r="228" spans="1:19">
      <c r="A228" t="s">
        <v>750</v>
      </c>
      <c r="B228" t="s">
        <v>592</v>
      </c>
      <c r="D228">
        <v>6</v>
      </c>
      <c r="E228" s="1">
        <v>42816</v>
      </c>
      <c r="F228" s="1">
        <v>43017</v>
      </c>
      <c r="G228">
        <f t="shared" si="7"/>
        <v>201</v>
      </c>
      <c r="H228" t="s">
        <v>417</v>
      </c>
      <c r="I228" t="s">
        <v>593</v>
      </c>
      <c r="J228">
        <v>-26.365555560000001</v>
      </c>
      <c r="K228">
        <v>135.79</v>
      </c>
      <c r="L228" t="s">
        <v>419</v>
      </c>
      <c r="M228" s="33" t="s">
        <v>2129</v>
      </c>
      <c r="N228" s="32">
        <v>5.9999999999999995E-4</v>
      </c>
      <c r="O228" s="35">
        <v>1.4339999999999999</v>
      </c>
      <c r="P228" s="35">
        <f>3.058+0.83+2.856</f>
        <v>6.7439999999999998</v>
      </c>
      <c r="Q228" t="s">
        <v>890</v>
      </c>
      <c r="R228" t="s">
        <v>917</v>
      </c>
      <c r="S228" t="s">
        <v>20</v>
      </c>
    </row>
    <row r="229" spans="1:19">
      <c r="A229" t="s">
        <v>751</v>
      </c>
      <c r="B229" t="s">
        <v>592</v>
      </c>
      <c r="D229">
        <v>6</v>
      </c>
      <c r="E229" s="1">
        <v>42816</v>
      </c>
      <c r="F229" s="1">
        <v>43017</v>
      </c>
      <c r="G229">
        <f t="shared" si="7"/>
        <v>201</v>
      </c>
      <c r="H229" t="s">
        <v>417</v>
      </c>
      <c r="I229" t="s">
        <v>593</v>
      </c>
      <c r="J229">
        <v>-26.365555560000001</v>
      </c>
      <c r="K229">
        <v>135.79</v>
      </c>
      <c r="L229" t="s">
        <v>419</v>
      </c>
      <c r="M229" s="33" t="s">
        <v>2130</v>
      </c>
      <c r="N229" s="32">
        <v>4.0000000000000002E-4</v>
      </c>
      <c r="O229" s="35">
        <v>1.3520000000000001</v>
      </c>
      <c r="P229" s="35">
        <f>2.745+0.967+0.928+1.544</f>
        <v>6.1840000000000011</v>
      </c>
      <c r="Q229" t="s">
        <v>890</v>
      </c>
      <c r="R229" t="s">
        <v>946</v>
      </c>
      <c r="S229" t="s">
        <v>2224</v>
      </c>
    </row>
    <row r="230" spans="1:19">
      <c r="A230" t="s">
        <v>752</v>
      </c>
      <c r="B230" t="s">
        <v>592</v>
      </c>
      <c r="D230">
        <v>6</v>
      </c>
      <c r="E230" s="1">
        <v>42816</v>
      </c>
      <c r="F230" s="1">
        <v>43017</v>
      </c>
      <c r="G230">
        <f t="shared" si="7"/>
        <v>201</v>
      </c>
      <c r="H230" t="s">
        <v>417</v>
      </c>
      <c r="I230" t="s">
        <v>593</v>
      </c>
      <c r="J230">
        <v>-26.365555560000001</v>
      </c>
      <c r="K230">
        <v>135.79</v>
      </c>
      <c r="L230" t="s">
        <v>419</v>
      </c>
      <c r="M230" s="33" t="s">
        <v>2131</v>
      </c>
      <c r="N230" s="32">
        <v>8.9999999999999998E-4</v>
      </c>
      <c r="O230" s="35">
        <v>1.5589999999999999</v>
      </c>
      <c r="P230" s="35">
        <f>2.949+0.741+2.968</f>
        <v>6.6579999999999995</v>
      </c>
      <c r="Q230" t="s">
        <v>890</v>
      </c>
      <c r="R230" t="s">
        <v>917</v>
      </c>
      <c r="S230" t="s">
        <v>20</v>
      </c>
    </row>
    <row r="231" spans="1:19">
      <c r="A231" t="s">
        <v>753</v>
      </c>
      <c r="B231" t="s">
        <v>592</v>
      </c>
      <c r="D231">
        <v>6</v>
      </c>
      <c r="E231" s="1">
        <v>42816</v>
      </c>
      <c r="F231" s="1">
        <v>43017</v>
      </c>
      <c r="G231">
        <f t="shared" si="7"/>
        <v>201</v>
      </c>
      <c r="H231" t="s">
        <v>417</v>
      </c>
      <c r="I231" t="s">
        <v>593</v>
      </c>
      <c r="J231">
        <v>-26.365555560000001</v>
      </c>
      <c r="K231">
        <v>135.79</v>
      </c>
      <c r="L231" t="s">
        <v>419</v>
      </c>
      <c r="M231" s="33" t="s">
        <v>2132</v>
      </c>
      <c r="N231" s="32">
        <v>8.0000000000000004E-4</v>
      </c>
      <c r="O231" s="35">
        <v>1.667</v>
      </c>
      <c r="P231" s="35">
        <f>2.88+1.325+2.476</f>
        <v>6.681</v>
      </c>
      <c r="Q231" t="s">
        <v>890</v>
      </c>
      <c r="R231" t="s">
        <v>917</v>
      </c>
      <c r="S231" t="s">
        <v>20</v>
      </c>
    </row>
    <row r="232" spans="1:19">
      <c r="A232" t="s">
        <v>754</v>
      </c>
      <c r="B232" t="s">
        <v>592</v>
      </c>
      <c r="D232">
        <v>6</v>
      </c>
      <c r="E232" s="1">
        <v>42816</v>
      </c>
      <c r="F232" s="1">
        <v>43017</v>
      </c>
      <c r="G232">
        <f t="shared" si="7"/>
        <v>201</v>
      </c>
      <c r="H232" t="s">
        <v>417</v>
      </c>
      <c r="I232" t="s">
        <v>593</v>
      </c>
      <c r="J232">
        <v>-26.365555560000001</v>
      </c>
      <c r="K232">
        <v>135.79</v>
      </c>
      <c r="L232" t="s">
        <v>419</v>
      </c>
      <c r="M232" s="33" t="s">
        <v>2133</v>
      </c>
      <c r="N232" s="32">
        <v>8.0000000000000004E-4</v>
      </c>
      <c r="O232" s="35">
        <v>1.5840000000000001</v>
      </c>
      <c r="P232" s="35">
        <f>3.051+1.345+0.887+0.992</f>
        <v>6.2749999999999995</v>
      </c>
      <c r="Q232" t="s">
        <v>890</v>
      </c>
      <c r="R232" t="s">
        <v>917</v>
      </c>
      <c r="S232" t="s">
        <v>20</v>
      </c>
    </row>
    <row r="233" spans="1:19">
      <c r="A233" t="s">
        <v>755</v>
      </c>
      <c r="B233" t="s">
        <v>592</v>
      </c>
      <c r="D233">
        <v>6</v>
      </c>
      <c r="E233" s="1">
        <v>42816</v>
      </c>
      <c r="F233" s="1">
        <v>43017</v>
      </c>
      <c r="G233">
        <f t="shared" si="7"/>
        <v>201</v>
      </c>
      <c r="H233" t="s">
        <v>417</v>
      </c>
      <c r="I233" t="s">
        <v>593</v>
      </c>
      <c r="J233">
        <v>-26.365555560000001</v>
      </c>
      <c r="K233">
        <v>135.79</v>
      </c>
      <c r="L233" t="s">
        <v>419</v>
      </c>
      <c r="M233" s="33" t="s">
        <v>2134</v>
      </c>
      <c r="N233" s="32">
        <v>2.9999999999999997E-4</v>
      </c>
      <c r="O233" s="35">
        <v>1.22</v>
      </c>
      <c r="P233" s="35">
        <f>2.68+0.625+1.87</f>
        <v>5.1750000000000007</v>
      </c>
      <c r="Q233" t="s">
        <v>890</v>
      </c>
      <c r="R233" t="s">
        <v>946</v>
      </c>
      <c r="S233" t="s">
        <v>20</v>
      </c>
    </row>
    <row r="234" spans="1:19">
      <c r="A234" t="s">
        <v>756</v>
      </c>
      <c r="B234" t="s">
        <v>592</v>
      </c>
      <c r="D234">
        <v>6</v>
      </c>
      <c r="E234" s="1">
        <v>42816</v>
      </c>
      <c r="F234" s="1">
        <v>43017</v>
      </c>
      <c r="G234">
        <f t="shared" si="7"/>
        <v>201</v>
      </c>
      <c r="H234" t="s">
        <v>417</v>
      </c>
      <c r="I234" t="s">
        <v>593</v>
      </c>
      <c r="J234">
        <v>-26.365555560000001</v>
      </c>
      <c r="K234">
        <v>135.79</v>
      </c>
      <c r="L234" t="s">
        <v>419</v>
      </c>
      <c r="M234" s="33" t="s">
        <v>2135</v>
      </c>
      <c r="N234" s="32">
        <v>5.9999999999999995E-4</v>
      </c>
      <c r="O234" s="35">
        <v>1.4339999999999999</v>
      </c>
      <c r="P234" s="35">
        <f>2.756+1.095+2.159</f>
        <v>6.01</v>
      </c>
      <c r="Q234" t="s">
        <v>890</v>
      </c>
      <c r="R234" t="s">
        <v>917</v>
      </c>
      <c r="S234" t="s">
        <v>20</v>
      </c>
    </row>
    <row r="235" spans="1:19">
      <c r="A235" t="s">
        <v>757</v>
      </c>
      <c r="B235" t="s">
        <v>592</v>
      </c>
      <c r="D235">
        <v>6</v>
      </c>
      <c r="E235" s="1">
        <v>42816</v>
      </c>
      <c r="F235" s="1">
        <v>43017</v>
      </c>
      <c r="G235">
        <f t="shared" si="7"/>
        <v>201</v>
      </c>
      <c r="H235" t="s">
        <v>417</v>
      </c>
      <c r="I235" t="s">
        <v>593</v>
      </c>
      <c r="J235">
        <v>-26.365555560000001</v>
      </c>
      <c r="K235">
        <v>135.79</v>
      </c>
      <c r="L235" t="s">
        <v>419</v>
      </c>
      <c r="M235" s="33" t="s">
        <v>2136</v>
      </c>
      <c r="N235" s="32">
        <v>6.9999999999999999E-4</v>
      </c>
      <c r="O235" s="35">
        <v>1.4319999999999999</v>
      </c>
      <c r="P235" s="35">
        <f>2.742+1.041+2.664</f>
        <v>6.4470000000000001</v>
      </c>
      <c r="Q235" t="s">
        <v>890</v>
      </c>
      <c r="R235" t="s">
        <v>917</v>
      </c>
      <c r="S235" t="s">
        <v>20</v>
      </c>
    </row>
    <row r="236" spans="1:19">
      <c r="A236" t="s">
        <v>758</v>
      </c>
      <c r="B236" t="s">
        <v>592</v>
      </c>
      <c r="D236">
        <v>6</v>
      </c>
      <c r="E236" s="1">
        <v>42816</v>
      </c>
      <c r="F236" s="1">
        <v>43017</v>
      </c>
      <c r="G236">
        <f t="shared" si="7"/>
        <v>201</v>
      </c>
      <c r="H236" t="s">
        <v>417</v>
      </c>
      <c r="I236" t="s">
        <v>593</v>
      </c>
      <c r="J236">
        <v>-26.365555560000001</v>
      </c>
      <c r="K236">
        <v>135.79</v>
      </c>
      <c r="L236" t="s">
        <v>419</v>
      </c>
      <c r="M236" s="33" t="s">
        <v>2137</v>
      </c>
      <c r="N236" s="32">
        <v>8.9999999999999998E-4</v>
      </c>
      <c r="O236" s="35">
        <v>1.6020000000000001</v>
      </c>
      <c r="P236" s="35">
        <f>2.906+1.445+1.588</f>
        <v>5.9390000000000001</v>
      </c>
      <c r="Q236" t="s">
        <v>890</v>
      </c>
      <c r="R236" t="s">
        <v>917</v>
      </c>
      <c r="S236" t="s">
        <v>20</v>
      </c>
    </row>
    <row r="237" spans="1:19">
      <c r="A237" s="9" t="s">
        <v>457</v>
      </c>
      <c r="B237" t="s">
        <v>458</v>
      </c>
      <c r="D237">
        <v>9</v>
      </c>
      <c r="E237" s="1">
        <v>42809</v>
      </c>
      <c r="F237" s="1">
        <v>43017</v>
      </c>
      <c r="G237">
        <f t="shared" si="7"/>
        <v>208</v>
      </c>
      <c r="H237" t="s">
        <v>417</v>
      </c>
      <c r="I237" t="s">
        <v>459</v>
      </c>
      <c r="J237">
        <v>-26.12194444</v>
      </c>
      <c r="K237">
        <v>135.20888889</v>
      </c>
      <c r="L237" t="s">
        <v>419</v>
      </c>
      <c r="M237" s="36" t="s">
        <v>1769</v>
      </c>
      <c r="N237" s="32">
        <v>8.6280000000000037E-3</v>
      </c>
      <c r="O237" s="35">
        <v>3.1040000000000001</v>
      </c>
      <c r="P237" s="35">
        <v>14.101000000000001</v>
      </c>
      <c r="Q237" s="20" t="s">
        <v>2094</v>
      </c>
    </row>
    <row r="238" spans="1:19">
      <c r="A238" t="s">
        <v>759</v>
      </c>
      <c r="B238" t="s">
        <v>592</v>
      </c>
      <c r="D238">
        <v>6</v>
      </c>
      <c r="E238" s="1">
        <v>42816</v>
      </c>
      <c r="F238" s="1">
        <v>43017</v>
      </c>
      <c r="G238">
        <f t="shared" si="7"/>
        <v>201</v>
      </c>
      <c r="H238" t="s">
        <v>417</v>
      </c>
      <c r="I238" t="s">
        <v>593</v>
      </c>
      <c r="J238">
        <v>-26.365555560000001</v>
      </c>
      <c r="K238">
        <v>135.79</v>
      </c>
      <c r="L238" t="s">
        <v>419</v>
      </c>
      <c r="M238" s="33" t="s">
        <v>2138</v>
      </c>
      <c r="N238" s="32">
        <v>1.1000000000000001E-3</v>
      </c>
      <c r="O238" s="35">
        <v>1.625</v>
      </c>
      <c r="P238" s="35">
        <f>1.061+0.695+1.188+2.785</f>
        <v>5.7290000000000001</v>
      </c>
      <c r="Q238" t="s">
        <v>890</v>
      </c>
      <c r="R238" t="s">
        <v>917</v>
      </c>
      <c r="S238" t="s">
        <v>20</v>
      </c>
    </row>
    <row r="239" spans="1:19">
      <c r="A239" t="s">
        <v>760</v>
      </c>
      <c r="B239" t="s">
        <v>592</v>
      </c>
      <c r="D239">
        <v>6</v>
      </c>
      <c r="E239" s="1">
        <v>42816</v>
      </c>
      <c r="F239" s="1">
        <v>43017</v>
      </c>
      <c r="G239">
        <f t="shared" si="7"/>
        <v>201</v>
      </c>
      <c r="H239" t="s">
        <v>417</v>
      </c>
      <c r="I239" t="s">
        <v>593</v>
      </c>
      <c r="J239">
        <v>-26.365555560000001</v>
      </c>
      <c r="K239">
        <v>135.79</v>
      </c>
      <c r="L239" t="s">
        <v>419</v>
      </c>
      <c r="M239" s="33" t="s">
        <v>2139</v>
      </c>
      <c r="N239" s="32">
        <v>5.9999999999999995E-4</v>
      </c>
      <c r="O239" s="35">
        <v>1.46</v>
      </c>
      <c r="P239" s="35">
        <f>2.727+1.033+2.727</f>
        <v>6.4870000000000001</v>
      </c>
      <c r="Q239" t="s">
        <v>890</v>
      </c>
      <c r="R239" t="s">
        <v>917</v>
      </c>
      <c r="S239" t="s">
        <v>20</v>
      </c>
    </row>
    <row r="240" spans="1:19">
      <c r="A240" t="s">
        <v>761</v>
      </c>
      <c r="B240" t="s">
        <v>592</v>
      </c>
      <c r="D240">
        <v>6</v>
      </c>
      <c r="E240" s="1">
        <v>42816</v>
      </c>
      <c r="F240" s="1">
        <v>43017</v>
      </c>
      <c r="G240">
        <f t="shared" si="7"/>
        <v>201</v>
      </c>
      <c r="H240" t="s">
        <v>417</v>
      </c>
      <c r="I240" t="s">
        <v>593</v>
      </c>
      <c r="J240">
        <v>-26.365555560000001</v>
      </c>
      <c r="K240">
        <v>135.79</v>
      </c>
      <c r="L240" t="s">
        <v>419</v>
      </c>
      <c r="M240" s="33" t="s">
        <v>2140</v>
      </c>
      <c r="N240" s="32">
        <v>4.0000000000000002E-4</v>
      </c>
      <c r="O240" s="35">
        <v>1.3979999999999999</v>
      </c>
      <c r="P240" s="35">
        <f>2.521+0.821+1.724</f>
        <v>5.0659999999999998</v>
      </c>
      <c r="Q240" t="s">
        <v>890</v>
      </c>
      <c r="R240" t="s">
        <v>917</v>
      </c>
      <c r="S240" t="s">
        <v>20</v>
      </c>
    </row>
    <row r="241" spans="1:19">
      <c r="A241" t="s">
        <v>764</v>
      </c>
      <c r="B241" t="s">
        <v>592</v>
      </c>
      <c r="D241">
        <v>6</v>
      </c>
      <c r="E241" s="1">
        <v>42816</v>
      </c>
      <c r="F241" s="1">
        <v>43017</v>
      </c>
      <c r="G241">
        <f t="shared" si="7"/>
        <v>201</v>
      </c>
      <c r="H241" t="s">
        <v>417</v>
      </c>
      <c r="I241" t="s">
        <v>593</v>
      </c>
      <c r="J241">
        <v>-26.365555560000001</v>
      </c>
      <c r="K241">
        <v>135.79</v>
      </c>
      <c r="L241" t="s">
        <v>419</v>
      </c>
      <c r="M241" s="33" t="s">
        <v>2121</v>
      </c>
      <c r="N241" s="32">
        <v>8.0000000000000004E-4</v>
      </c>
      <c r="O241" s="35">
        <v>1.474</v>
      </c>
      <c r="P241" s="35">
        <f>1.515+1.949+2.845</f>
        <v>6.3090000000000002</v>
      </c>
      <c r="Q241" t="s">
        <v>890</v>
      </c>
      <c r="R241" t="s">
        <v>946</v>
      </c>
      <c r="S241" t="s">
        <v>2224</v>
      </c>
    </row>
    <row r="242" spans="1:19">
      <c r="A242" t="s">
        <v>765</v>
      </c>
      <c r="B242" t="s">
        <v>592</v>
      </c>
      <c r="D242">
        <v>6</v>
      </c>
      <c r="E242" s="1">
        <v>42816</v>
      </c>
      <c r="F242" s="1">
        <v>43017</v>
      </c>
      <c r="G242">
        <f t="shared" si="7"/>
        <v>201</v>
      </c>
      <c r="H242" t="s">
        <v>417</v>
      </c>
      <c r="I242" t="s">
        <v>593</v>
      </c>
      <c r="J242">
        <v>-26.365555560000001</v>
      </c>
      <c r="K242">
        <v>135.79</v>
      </c>
      <c r="L242" t="s">
        <v>419</v>
      </c>
      <c r="M242" s="33" t="s">
        <v>2122</v>
      </c>
      <c r="N242" s="32">
        <v>5.9999999999999995E-4</v>
      </c>
      <c r="O242" s="35">
        <v>1.335</v>
      </c>
      <c r="P242" s="35">
        <f>2.852+0.431+2.462</f>
        <v>5.7450000000000001</v>
      </c>
      <c r="Q242" t="s">
        <v>890</v>
      </c>
      <c r="R242" t="s">
        <v>946</v>
      </c>
      <c r="S242" t="s">
        <v>20</v>
      </c>
    </row>
    <row r="243" spans="1:19">
      <c r="A243" t="s">
        <v>766</v>
      </c>
      <c r="B243" t="s">
        <v>592</v>
      </c>
      <c r="D243">
        <v>6</v>
      </c>
      <c r="E243" s="1">
        <v>42816</v>
      </c>
      <c r="F243" s="1">
        <v>43017</v>
      </c>
      <c r="G243">
        <f t="shared" si="7"/>
        <v>201</v>
      </c>
      <c r="H243" t="s">
        <v>417</v>
      </c>
      <c r="I243" t="s">
        <v>593</v>
      </c>
      <c r="J243">
        <v>-26.365555560000001</v>
      </c>
      <c r="K243">
        <v>135.79</v>
      </c>
      <c r="L243" t="s">
        <v>419</v>
      </c>
      <c r="M243" s="33" t="s">
        <v>2123</v>
      </c>
      <c r="N243" s="32">
        <v>6.9999999999999999E-4</v>
      </c>
      <c r="O243" s="35">
        <v>1.381</v>
      </c>
      <c r="P243" s="35">
        <f>2.242+0.676+2.883</f>
        <v>5.8010000000000002</v>
      </c>
      <c r="Q243" t="s">
        <v>890</v>
      </c>
      <c r="R243" t="s">
        <v>946</v>
      </c>
      <c r="S243" t="s">
        <v>20</v>
      </c>
    </row>
    <row r="244" spans="1:19">
      <c r="A244" t="s">
        <v>767</v>
      </c>
      <c r="B244" t="s">
        <v>592</v>
      </c>
      <c r="D244">
        <v>6</v>
      </c>
      <c r="E244" s="1">
        <v>42816</v>
      </c>
      <c r="F244" s="1">
        <v>43017</v>
      </c>
      <c r="G244">
        <f t="shared" si="7"/>
        <v>201</v>
      </c>
      <c r="H244" t="s">
        <v>417</v>
      </c>
      <c r="I244" t="s">
        <v>593</v>
      </c>
      <c r="J244">
        <v>-26.365555560000001</v>
      </c>
      <c r="K244">
        <v>135.79</v>
      </c>
      <c r="L244" t="s">
        <v>419</v>
      </c>
      <c r="M244" s="33" t="s">
        <v>2124</v>
      </c>
      <c r="N244" s="32">
        <v>4.0000000000000002E-4</v>
      </c>
      <c r="O244" s="35">
        <v>1.248</v>
      </c>
      <c r="P244" s="35">
        <f>2.605+0.774+1.8781</f>
        <v>5.2571000000000003</v>
      </c>
      <c r="Q244" t="s">
        <v>890</v>
      </c>
      <c r="R244" t="s">
        <v>946</v>
      </c>
      <c r="S244" t="s">
        <v>20</v>
      </c>
    </row>
    <row r="245" spans="1:19">
      <c r="A245" t="s">
        <v>768</v>
      </c>
      <c r="B245" t="s">
        <v>592</v>
      </c>
      <c r="D245">
        <v>6</v>
      </c>
      <c r="E245" s="1">
        <v>42816</v>
      </c>
      <c r="F245" s="1">
        <v>43017</v>
      </c>
      <c r="G245">
        <f t="shared" si="7"/>
        <v>201</v>
      </c>
      <c r="H245" t="s">
        <v>417</v>
      </c>
      <c r="I245" t="s">
        <v>593</v>
      </c>
      <c r="J245">
        <v>-26.365555560000001</v>
      </c>
      <c r="K245">
        <v>135.79</v>
      </c>
      <c r="L245" t="s">
        <v>419</v>
      </c>
      <c r="M245" s="33" t="s">
        <v>2125</v>
      </c>
      <c r="N245" s="32">
        <v>1E-3</v>
      </c>
      <c r="O245" s="35">
        <v>1.5649999999999999</v>
      </c>
      <c r="P245" s="35">
        <f>2.829+1.62+1.752</f>
        <v>6.2009999999999996</v>
      </c>
      <c r="Q245" t="s">
        <v>890</v>
      </c>
      <c r="R245" t="s">
        <v>946</v>
      </c>
      <c r="S245" t="s">
        <v>20</v>
      </c>
    </row>
    <row r="246" spans="1:19">
      <c r="A246" s="9" t="s">
        <v>460</v>
      </c>
      <c r="B246" t="s">
        <v>461</v>
      </c>
      <c r="D246">
        <v>2</v>
      </c>
      <c r="E246" s="1">
        <v>42815</v>
      </c>
      <c r="F246" s="1">
        <v>43017</v>
      </c>
      <c r="G246">
        <f t="shared" si="7"/>
        <v>202</v>
      </c>
      <c r="H246" t="s">
        <v>462</v>
      </c>
      <c r="I246" t="s">
        <v>463</v>
      </c>
      <c r="J246">
        <v>-25.754722220000001</v>
      </c>
      <c r="K246">
        <v>135.26305556</v>
      </c>
      <c r="L246" t="s">
        <v>419</v>
      </c>
      <c r="M246" s="33" t="s">
        <v>1819</v>
      </c>
      <c r="N246" s="32">
        <v>4.4000000000000003E-3</v>
      </c>
      <c r="O246" s="32">
        <v>2.2669999999999999</v>
      </c>
      <c r="P246" s="35">
        <v>9.5879999999999992</v>
      </c>
      <c r="Q246" t="s">
        <v>890</v>
      </c>
    </row>
    <row r="247" spans="1:19">
      <c r="A247" t="s">
        <v>769</v>
      </c>
      <c r="B247" t="s">
        <v>592</v>
      </c>
      <c r="D247">
        <v>6</v>
      </c>
      <c r="E247" s="1">
        <v>42816</v>
      </c>
      <c r="F247" s="1">
        <v>43017</v>
      </c>
      <c r="G247">
        <f t="shared" si="7"/>
        <v>201</v>
      </c>
      <c r="H247" t="s">
        <v>417</v>
      </c>
      <c r="I247" t="s">
        <v>593</v>
      </c>
      <c r="J247">
        <v>-26.365555560000001</v>
      </c>
      <c r="K247">
        <v>135.79</v>
      </c>
      <c r="L247" t="s">
        <v>419</v>
      </c>
      <c r="M247" s="33" t="s">
        <v>2126</v>
      </c>
      <c r="N247" s="32">
        <v>6.9999999999999999E-4</v>
      </c>
      <c r="O247" s="35">
        <v>1.5349999999999999</v>
      </c>
      <c r="P247" s="35">
        <f>3.027+2.007+1.003</f>
        <v>6.0370000000000008</v>
      </c>
      <c r="Q247" t="s">
        <v>890</v>
      </c>
      <c r="R247" t="s">
        <v>917</v>
      </c>
      <c r="S247" t="s">
        <v>20</v>
      </c>
    </row>
    <row r="248" spans="1:19">
      <c r="A248" t="s">
        <v>770</v>
      </c>
      <c r="B248" t="s">
        <v>592</v>
      </c>
      <c r="D248">
        <v>6</v>
      </c>
      <c r="E248" s="1">
        <v>42816</v>
      </c>
      <c r="F248" s="1">
        <v>43017</v>
      </c>
      <c r="G248">
        <f t="shared" si="7"/>
        <v>201</v>
      </c>
      <c r="H248" t="s">
        <v>417</v>
      </c>
      <c r="I248" t="s">
        <v>593</v>
      </c>
      <c r="J248">
        <v>-26.365555560000001</v>
      </c>
      <c r="K248">
        <v>135.79</v>
      </c>
      <c r="L248" t="s">
        <v>419</v>
      </c>
      <c r="M248" s="33" t="s">
        <v>2127</v>
      </c>
      <c r="N248" s="32">
        <v>5.9999999999999995E-4</v>
      </c>
      <c r="O248" s="35">
        <v>1.1539999999999999</v>
      </c>
      <c r="P248" s="35">
        <f>2.42+1.215+1.11</f>
        <v>4.7450000000000001</v>
      </c>
      <c r="Q248" t="s">
        <v>890</v>
      </c>
      <c r="R248" t="s">
        <v>946</v>
      </c>
      <c r="S248" t="s">
        <v>2215</v>
      </c>
    </row>
    <row r="249" spans="1:19">
      <c r="A249" t="s">
        <v>771</v>
      </c>
      <c r="B249" t="s">
        <v>592</v>
      </c>
      <c r="D249">
        <v>6</v>
      </c>
      <c r="E249" s="1">
        <v>42816</v>
      </c>
      <c r="F249" s="1">
        <v>43017</v>
      </c>
      <c r="G249">
        <f t="shared" si="7"/>
        <v>201</v>
      </c>
      <c r="H249" t="s">
        <v>417</v>
      </c>
      <c r="I249" t="s">
        <v>593</v>
      </c>
      <c r="J249">
        <v>-26.365555560000001</v>
      </c>
      <c r="K249">
        <v>135.79</v>
      </c>
      <c r="L249" t="s">
        <v>419</v>
      </c>
      <c r="M249" s="33" t="s">
        <v>1999</v>
      </c>
      <c r="N249" s="32">
        <v>4.0000000000000002E-4</v>
      </c>
      <c r="O249" s="32">
        <v>1.2270000000000001</v>
      </c>
      <c r="P249" s="32">
        <v>5.2969999999999997</v>
      </c>
      <c r="Q249" t="s">
        <v>890</v>
      </c>
    </row>
    <row r="250" spans="1:19">
      <c r="A250" t="s">
        <v>772</v>
      </c>
      <c r="B250" t="s">
        <v>592</v>
      </c>
      <c r="D250">
        <v>6</v>
      </c>
      <c r="E250" s="1">
        <v>42816</v>
      </c>
      <c r="F250" s="1">
        <v>43017</v>
      </c>
      <c r="G250">
        <f t="shared" si="7"/>
        <v>201</v>
      </c>
      <c r="H250" t="s">
        <v>417</v>
      </c>
      <c r="I250" t="s">
        <v>593</v>
      </c>
      <c r="J250">
        <v>-26.365555560000001</v>
      </c>
      <c r="K250">
        <v>135.79</v>
      </c>
      <c r="L250" t="s">
        <v>419</v>
      </c>
      <c r="M250" s="33" t="s">
        <v>2000</v>
      </c>
      <c r="N250" s="32">
        <v>4.0000000000000002E-4</v>
      </c>
      <c r="O250" s="32">
        <v>1.2090000000000001</v>
      </c>
      <c r="P250" s="32">
        <v>6.0359999999999996</v>
      </c>
      <c r="Q250" t="s">
        <v>890</v>
      </c>
    </row>
    <row r="251" spans="1:19">
      <c r="A251" t="s">
        <v>774</v>
      </c>
      <c r="B251" t="s">
        <v>592</v>
      </c>
      <c r="D251">
        <v>6</v>
      </c>
      <c r="E251" s="1">
        <v>42816</v>
      </c>
      <c r="F251" s="1">
        <v>43017</v>
      </c>
      <c r="G251">
        <f t="shared" si="7"/>
        <v>201</v>
      </c>
      <c r="H251" t="s">
        <v>417</v>
      </c>
      <c r="I251" t="s">
        <v>593</v>
      </c>
      <c r="J251">
        <v>-26.365555560000001</v>
      </c>
      <c r="K251">
        <v>135.79</v>
      </c>
      <c r="L251" t="s">
        <v>419</v>
      </c>
      <c r="M251" s="33" t="s">
        <v>2002</v>
      </c>
      <c r="N251" s="32">
        <v>4.0000000000000002E-4</v>
      </c>
      <c r="O251" s="35">
        <v>1.286</v>
      </c>
      <c r="P251" s="32">
        <v>6.1710000000000003</v>
      </c>
      <c r="Q251" t="s">
        <v>890</v>
      </c>
    </row>
    <row r="252" spans="1:19">
      <c r="A252" t="s">
        <v>776</v>
      </c>
      <c r="B252" t="s">
        <v>592</v>
      </c>
      <c r="D252">
        <v>6</v>
      </c>
      <c r="E252" s="1">
        <v>42816</v>
      </c>
      <c r="F252" s="1">
        <v>43017</v>
      </c>
      <c r="G252">
        <f t="shared" si="7"/>
        <v>201</v>
      </c>
      <c r="H252" t="s">
        <v>417</v>
      </c>
      <c r="I252" t="s">
        <v>593</v>
      </c>
      <c r="J252">
        <v>-26.365555560000001</v>
      </c>
      <c r="K252">
        <v>135.79</v>
      </c>
      <c r="L252" t="s">
        <v>419</v>
      </c>
      <c r="M252" s="33" t="s">
        <v>2004</v>
      </c>
      <c r="N252" s="32">
        <v>8.9999999999999998E-4</v>
      </c>
      <c r="O252" s="35">
        <v>1.6439999999999999</v>
      </c>
      <c r="P252" s="32">
        <v>6.6879999999999997</v>
      </c>
      <c r="Q252" t="s">
        <v>890</v>
      </c>
    </row>
    <row r="253" spans="1:19">
      <c r="A253" t="s">
        <v>777</v>
      </c>
      <c r="B253" t="s">
        <v>592</v>
      </c>
      <c r="D253">
        <v>6</v>
      </c>
      <c r="E253" s="1">
        <v>42816</v>
      </c>
      <c r="F253" s="1">
        <v>43017</v>
      </c>
      <c r="G253">
        <f t="shared" si="7"/>
        <v>201</v>
      </c>
      <c r="H253" t="s">
        <v>417</v>
      </c>
      <c r="I253" t="s">
        <v>593</v>
      </c>
      <c r="J253">
        <v>-26.365555560000001</v>
      </c>
      <c r="K253">
        <v>135.79</v>
      </c>
      <c r="L253" t="s">
        <v>419</v>
      </c>
      <c r="M253" s="33" t="s">
        <v>2217</v>
      </c>
      <c r="N253" s="32">
        <v>5.0000000000000001E-4</v>
      </c>
      <c r="O253" s="35">
        <v>1.58</v>
      </c>
      <c r="P253" s="35">
        <f>1.62+0.964+1.036+2.779</f>
        <v>6.399</v>
      </c>
      <c r="Q253" t="s">
        <v>890</v>
      </c>
      <c r="R253" t="s">
        <v>917</v>
      </c>
      <c r="S253" t="s">
        <v>20</v>
      </c>
    </row>
    <row r="254" spans="1:19">
      <c r="A254" t="s">
        <v>778</v>
      </c>
      <c r="B254" t="s">
        <v>592</v>
      </c>
      <c r="D254">
        <v>6</v>
      </c>
      <c r="E254" s="1">
        <v>42816</v>
      </c>
      <c r="F254" s="1">
        <v>43017</v>
      </c>
      <c r="G254">
        <f t="shared" si="7"/>
        <v>201</v>
      </c>
      <c r="H254" t="s">
        <v>417</v>
      </c>
      <c r="I254" t="s">
        <v>593</v>
      </c>
      <c r="J254">
        <v>-26.365555560000001</v>
      </c>
      <c r="K254">
        <v>135.79</v>
      </c>
      <c r="L254" t="s">
        <v>419</v>
      </c>
      <c r="M254" s="33" t="s">
        <v>2218</v>
      </c>
      <c r="N254" s="32">
        <v>8.9999999999999998E-4</v>
      </c>
      <c r="O254" s="35">
        <v>1.6020000000000001</v>
      </c>
      <c r="P254" s="35">
        <f>3.119+3.065</f>
        <v>6.1840000000000002</v>
      </c>
      <c r="Q254" t="s">
        <v>890</v>
      </c>
      <c r="R254" t="s">
        <v>917</v>
      </c>
      <c r="S254" t="s">
        <v>20</v>
      </c>
    </row>
    <row r="255" spans="1:19">
      <c r="A255" s="9" t="s">
        <v>464</v>
      </c>
      <c r="B255" t="s">
        <v>465</v>
      </c>
      <c r="D255">
        <v>3</v>
      </c>
      <c r="E255" s="1">
        <v>42816</v>
      </c>
      <c r="F255" s="1">
        <v>43017</v>
      </c>
      <c r="G255">
        <f t="shared" si="7"/>
        <v>201</v>
      </c>
      <c r="H255" t="s">
        <v>417</v>
      </c>
      <c r="I255" t="s">
        <v>466</v>
      </c>
      <c r="J255">
        <v>-26.423333299999999</v>
      </c>
      <c r="K255">
        <v>135.51333299999999</v>
      </c>
      <c r="L255" t="s">
        <v>419</v>
      </c>
      <c r="M255" s="36" t="s">
        <v>1770</v>
      </c>
      <c r="N255" s="32">
        <v>1.7927999999999999E-2</v>
      </c>
      <c r="O255" s="32">
        <v>4.3289999999999997</v>
      </c>
      <c r="P255" s="32">
        <v>19.385999999999999</v>
      </c>
      <c r="Q255" s="20" t="s">
        <v>2094</v>
      </c>
    </row>
    <row r="256" spans="1:19">
      <c r="A256" t="s">
        <v>779</v>
      </c>
      <c r="B256" t="s">
        <v>592</v>
      </c>
      <c r="D256">
        <v>6</v>
      </c>
      <c r="E256" s="1">
        <v>42816</v>
      </c>
      <c r="F256" s="1">
        <v>43017</v>
      </c>
      <c r="G256">
        <f t="shared" si="7"/>
        <v>201</v>
      </c>
      <c r="H256" t="s">
        <v>417</v>
      </c>
      <c r="I256" t="s">
        <v>593</v>
      </c>
      <c r="J256">
        <v>-26.365555560000001</v>
      </c>
      <c r="K256">
        <v>135.79</v>
      </c>
      <c r="L256" t="s">
        <v>419</v>
      </c>
      <c r="M256" s="33" t="s">
        <v>2219</v>
      </c>
      <c r="N256" s="32">
        <v>5.0000000000000001E-4</v>
      </c>
      <c r="O256" s="35">
        <v>1.357</v>
      </c>
      <c r="P256" s="35">
        <f>2.574+2.556</f>
        <v>5.13</v>
      </c>
      <c r="Q256" t="s">
        <v>890</v>
      </c>
      <c r="R256" t="s">
        <v>946</v>
      </c>
      <c r="S256" t="s">
        <v>20</v>
      </c>
    </row>
    <row r="257" spans="1:19">
      <c r="A257" t="s">
        <v>780</v>
      </c>
      <c r="B257" t="s">
        <v>592</v>
      </c>
      <c r="D257">
        <v>6</v>
      </c>
      <c r="E257" s="1">
        <v>42816</v>
      </c>
      <c r="F257" s="1">
        <v>43017</v>
      </c>
      <c r="G257">
        <f t="shared" si="7"/>
        <v>201</v>
      </c>
      <c r="H257" t="s">
        <v>417</v>
      </c>
      <c r="I257" t="s">
        <v>593</v>
      </c>
      <c r="J257">
        <v>-26.365555560000001</v>
      </c>
      <c r="K257">
        <v>135.79</v>
      </c>
      <c r="L257" t="s">
        <v>419</v>
      </c>
      <c r="M257" s="33" t="s">
        <v>2220</v>
      </c>
      <c r="N257" s="32">
        <v>8.0000000000000004E-4</v>
      </c>
      <c r="O257" s="35">
        <v>1.6879999999999999</v>
      </c>
      <c r="P257" s="35">
        <f>2.975+1.18+2.427</f>
        <v>6.5820000000000007</v>
      </c>
      <c r="Q257" t="s">
        <v>890</v>
      </c>
      <c r="R257" t="s">
        <v>917</v>
      </c>
      <c r="S257" t="s">
        <v>20</v>
      </c>
    </row>
    <row r="258" spans="1:19">
      <c r="A258" t="s">
        <v>781</v>
      </c>
      <c r="B258" t="s">
        <v>592</v>
      </c>
      <c r="D258">
        <v>6</v>
      </c>
      <c r="E258" s="1">
        <v>42816</v>
      </c>
      <c r="F258" s="1">
        <v>43017</v>
      </c>
      <c r="G258">
        <f t="shared" si="7"/>
        <v>201</v>
      </c>
      <c r="H258" t="s">
        <v>417</v>
      </c>
      <c r="I258" t="s">
        <v>593</v>
      </c>
      <c r="J258">
        <v>-26.365555560000001</v>
      </c>
      <c r="K258">
        <v>135.79</v>
      </c>
      <c r="L258" t="s">
        <v>419</v>
      </c>
      <c r="M258" s="33" t="s">
        <v>2221</v>
      </c>
      <c r="N258" s="32">
        <v>5.0000000000000001E-4</v>
      </c>
      <c r="O258" s="35">
        <v>1.3180000000000001</v>
      </c>
      <c r="P258" s="35">
        <f>2.549+1.506+1.092</f>
        <v>5.1470000000000002</v>
      </c>
      <c r="Q258" t="s">
        <v>890</v>
      </c>
      <c r="R258" t="s">
        <v>946</v>
      </c>
      <c r="S258" t="s">
        <v>20</v>
      </c>
    </row>
    <row r="259" spans="1:19">
      <c r="A259" t="s">
        <v>782</v>
      </c>
      <c r="B259" t="s">
        <v>592</v>
      </c>
      <c r="D259">
        <v>6</v>
      </c>
      <c r="E259" s="1">
        <v>42816</v>
      </c>
      <c r="F259" s="1">
        <v>43017</v>
      </c>
      <c r="G259">
        <f t="shared" si="7"/>
        <v>201</v>
      </c>
      <c r="H259" t="s">
        <v>417</v>
      </c>
      <c r="I259" t="s">
        <v>593</v>
      </c>
      <c r="J259">
        <v>-26.365555560000001</v>
      </c>
      <c r="K259">
        <v>135.79</v>
      </c>
      <c r="L259" t="s">
        <v>419</v>
      </c>
      <c r="M259" s="33" t="s">
        <v>2222</v>
      </c>
      <c r="N259" s="32">
        <v>4.0000000000000002E-4</v>
      </c>
      <c r="O259" s="35">
        <v>1.173</v>
      </c>
      <c r="P259" s="35">
        <f>2.505+0.486+2.003</f>
        <v>4.9939999999999998</v>
      </c>
      <c r="Q259" t="s">
        <v>890</v>
      </c>
    </row>
    <row r="260" spans="1:19">
      <c r="A260" t="s">
        <v>783</v>
      </c>
      <c r="B260" t="s">
        <v>592</v>
      </c>
      <c r="D260">
        <v>6</v>
      </c>
      <c r="E260" s="1">
        <v>42816</v>
      </c>
      <c r="F260" s="1">
        <v>43017</v>
      </c>
      <c r="G260">
        <f t="shared" si="7"/>
        <v>201</v>
      </c>
      <c r="H260" t="s">
        <v>417</v>
      </c>
      <c r="I260" t="s">
        <v>593</v>
      </c>
      <c r="J260">
        <v>-26.365555560000001</v>
      </c>
      <c r="K260">
        <v>135.79</v>
      </c>
      <c r="L260" t="s">
        <v>419</v>
      </c>
      <c r="M260" s="33" t="s">
        <v>2223</v>
      </c>
      <c r="N260" s="32">
        <v>6.9999999999999999E-4</v>
      </c>
      <c r="O260" s="35">
        <v>1.456</v>
      </c>
      <c r="P260" s="35">
        <f>1.358+1.974+2.662</f>
        <v>5.9939999999999998</v>
      </c>
      <c r="Q260" t="s">
        <v>890</v>
      </c>
      <c r="R260" t="s">
        <v>917</v>
      </c>
      <c r="S260" t="s">
        <v>20</v>
      </c>
    </row>
    <row r="261" spans="1:19">
      <c r="A261" t="s">
        <v>784</v>
      </c>
      <c r="B261" t="s">
        <v>592</v>
      </c>
      <c r="D261">
        <v>6</v>
      </c>
      <c r="E261" s="1">
        <v>42816</v>
      </c>
      <c r="F261" s="1">
        <v>43017</v>
      </c>
      <c r="G261">
        <f t="shared" si="7"/>
        <v>201</v>
      </c>
      <c r="H261" t="s">
        <v>417</v>
      </c>
      <c r="I261" t="s">
        <v>593</v>
      </c>
      <c r="J261">
        <v>-26.365555560000001</v>
      </c>
      <c r="K261">
        <v>135.79</v>
      </c>
      <c r="L261" t="s">
        <v>419</v>
      </c>
      <c r="M261" s="33" t="s">
        <v>2005</v>
      </c>
      <c r="N261" s="32">
        <v>8.9999999999999998E-4</v>
      </c>
      <c r="O261" s="32">
        <v>1.5229999999999999</v>
      </c>
      <c r="P261" s="32">
        <v>5.8129999999999997</v>
      </c>
      <c r="Q261" t="s">
        <v>890</v>
      </c>
    </row>
    <row r="262" spans="1:19">
      <c r="A262" t="s">
        <v>785</v>
      </c>
      <c r="B262" t="s">
        <v>592</v>
      </c>
      <c r="D262">
        <v>6</v>
      </c>
      <c r="E262" s="1">
        <v>42816</v>
      </c>
      <c r="F262" s="1">
        <v>43017</v>
      </c>
      <c r="G262">
        <f t="shared" si="7"/>
        <v>201</v>
      </c>
      <c r="H262" t="s">
        <v>417</v>
      </c>
      <c r="I262" t="s">
        <v>593</v>
      </c>
      <c r="J262">
        <v>-26.365555560000001</v>
      </c>
      <c r="K262">
        <v>135.79</v>
      </c>
      <c r="L262" t="s">
        <v>419</v>
      </c>
      <c r="M262" s="33" t="s">
        <v>2006</v>
      </c>
      <c r="N262" s="32">
        <v>1E-3</v>
      </c>
      <c r="O262" s="32">
        <v>1.484</v>
      </c>
      <c r="P262" s="32">
        <v>5.9550000000000001</v>
      </c>
      <c r="Q262" t="s">
        <v>890</v>
      </c>
    </row>
    <row r="263" spans="1:19">
      <c r="A263" t="s">
        <v>786</v>
      </c>
      <c r="B263" t="s">
        <v>592</v>
      </c>
      <c r="D263">
        <v>6</v>
      </c>
      <c r="E263" s="1">
        <v>42816</v>
      </c>
      <c r="F263" s="1">
        <v>43017</v>
      </c>
      <c r="G263">
        <f t="shared" si="7"/>
        <v>201</v>
      </c>
      <c r="H263" t="s">
        <v>417</v>
      </c>
      <c r="I263" t="s">
        <v>593</v>
      </c>
      <c r="J263">
        <v>-26.365555560000001</v>
      </c>
      <c r="K263">
        <v>135.79</v>
      </c>
      <c r="L263" t="s">
        <v>419</v>
      </c>
      <c r="M263" s="33" t="s">
        <v>2007</v>
      </c>
      <c r="N263" s="32">
        <v>5.0000000000000001E-4</v>
      </c>
      <c r="O263" s="32">
        <v>1.4410000000000001</v>
      </c>
      <c r="P263" s="32">
        <v>6.6849999999999996</v>
      </c>
      <c r="Q263" t="s">
        <v>890</v>
      </c>
    </row>
    <row r="264" spans="1:19">
      <c r="A264" t="s">
        <v>787</v>
      </c>
      <c r="B264" t="s">
        <v>592</v>
      </c>
      <c r="D264">
        <v>6</v>
      </c>
      <c r="E264" s="1">
        <v>42816</v>
      </c>
      <c r="F264" s="1">
        <v>43017</v>
      </c>
      <c r="G264">
        <f t="shared" si="7"/>
        <v>201</v>
      </c>
      <c r="H264" t="s">
        <v>417</v>
      </c>
      <c r="I264" t="s">
        <v>593</v>
      </c>
      <c r="J264">
        <v>-26.365555560000001</v>
      </c>
      <c r="K264">
        <v>135.79</v>
      </c>
      <c r="L264" t="s">
        <v>419</v>
      </c>
      <c r="M264" s="33" t="s">
        <v>2008</v>
      </c>
      <c r="N264" s="32">
        <v>8.0000000000000004E-4</v>
      </c>
      <c r="O264" s="32">
        <v>1.5289999999999999</v>
      </c>
      <c r="P264" s="32">
        <v>6.2519999999999998</v>
      </c>
      <c r="Q264" t="s">
        <v>890</v>
      </c>
    </row>
    <row r="265" spans="1:19">
      <c r="A265" s="9" t="s">
        <v>467</v>
      </c>
      <c r="B265" t="s">
        <v>461</v>
      </c>
      <c r="D265">
        <v>2</v>
      </c>
      <c r="E265" s="1">
        <v>42815</v>
      </c>
      <c r="F265" s="1">
        <v>43017</v>
      </c>
      <c r="G265">
        <f t="shared" si="7"/>
        <v>202</v>
      </c>
      <c r="H265" t="s">
        <v>462</v>
      </c>
      <c r="I265" t="s">
        <v>463</v>
      </c>
      <c r="J265">
        <v>-25.754722220000001</v>
      </c>
      <c r="K265">
        <v>135.26305556</v>
      </c>
      <c r="L265" t="s">
        <v>419</v>
      </c>
      <c r="M265" s="36" t="s">
        <v>1771</v>
      </c>
      <c r="N265" s="32">
        <v>3.3728000000000008E-2</v>
      </c>
      <c r="O265" s="32">
        <v>4.4130000000000003</v>
      </c>
      <c r="P265" s="32">
        <v>19.138999999999999</v>
      </c>
      <c r="Q265" s="20" t="s">
        <v>2094</v>
      </c>
    </row>
    <row r="266" spans="1:19">
      <c r="A266" t="s">
        <v>789</v>
      </c>
      <c r="B266" t="s">
        <v>592</v>
      </c>
      <c r="D266">
        <v>6</v>
      </c>
      <c r="E266" s="1">
        <v>42816</v>
      </c>
      <c r="F266" s="1">
        <v>43017</v>
      </c>
      <c r="G266">
        <f t="shared" ref="G266:G329" si="8">F266-E266</f>
        <v>201</v>
      </c>
      <c r="H266" t="s">
        <v>417</v>
      </c>
      <c r="I266" t="s">
        <v>593</v>
      </c>
      <c r="J266">
        <v>-26.365555560000001</v>
      </c>
      <c r="K266">
        <v>135.79</v>
      </c>
      <c r="L266" t="s">
        <v>419</v>
      </c>
      <c r="M266" s="33" t="s">
        <v>2010</v>
      </c>
      <c r="N266" s="32">
        <v>6.9999999999999999E-4</v>
      </c>
      <c r="O266" s="32">
        <v>1.2989999999999999</v>
      </c>
      <c r="P266" s="32">
        <v>5.5949999999999998</v>
      </c>
      <c r="Q266" t="s">
        <v>890</v>
      </c>
    </row>
    <row r="267" spans="1:19">
      <c r="A267" t="s">
        <v>790</v>
      </c>
      <c r="B267" t="s">
        <v>592</v>
      </c>
      <c r="D267">
        <v>6</v>
      </c>
      <c r="E267" s="1">
        <v>42816</v>
      </c>
      <c r="F267" s="1">
        <v>43017</v>
      </c>
      <c r="G267">
        <f t="shared" si="8"/>
        <v>201</v>
      </c>
      <c r="H267" t="s">
        <v>417</v>
      </c>
      <c r="I267" t="s">
        <v>593</v>
      </c>
      <c r="J267">
        <v>-26.365555560000001</v>
      </c>
      <c r="K267">
        <v>135.79</v>
      </c>
      <c r="L267" t="s">
        <v>419</v>
      </c>
      <c r="M267" s="33" t="s">
        <v>2011</v>
      </c>
      <c r="N267" s="32">
        <v>2.9999999999999997E-4</v>
      </c>
      <c r="O267" s="35">
        <v>1.323</v>
      </c>
      <c r="P267" s="32">
        <v>5.4489999999999998</v>
      </c>
      <c r="Q267" t="s">
        <v>890</v>
      </c>
    </row>
    <row r="268" spans="1:19">
      <c r="A268" t="s">
        <v>791</v>
      </c>
      <c r="B268" t="s">
        <v>592</v>
      </c>
      <c r="D268">
        <v>6</v>
      </c>
      <c r="E268" s="1">
        <v>42816</v>
      </c>
      <c r="F268" s="1">
        <v>43017</v>
      </c>
      <c r="G268">
        <f t="shared" si="8"/>
        <v>201</v>
      </c>
      <c r="H268" t="s">
        <v>417</v>
      </c>
      <c r="I268" t="s">
        <v>593</v>
      </c>
      <c r="J268">
        <v>-26.365555560000001</v>
      </c>
      <c r="K268">
        <v>135.79</v>
      </c>
      <c r="L268" t="s">
        <v>419</v>
      </c>
      <c r="M268" s="33" t="s">
        <v>2012</v>
      </c>
      <c r="N268" s="32">
        <v>5.9999999999999995E-4</v>
      </c>
      <c r="O268" s="32">
        <v>1.4330000000000001</v>
      </c>
      <c r="P268" s="32">
        <v>5.726</v>
      </c>
      <c r="Q268" t="s">
        <v>890</v>
      </c>
    </row>
    <row r="269" spans="1:19">
      <c r="A269" t="s">
        <v>792</v>
      </c>
      <c r="B269" t="s">
        <v>592</v>
      </c>
      <c r="D269">
        <v>6</v>
      </c>
      <c r="E269" s="1">
        <v>42816</v>
      </c>
      <c r="F269" s="1">
        <v>43017</v>
      </c>
      <c r="G269">
        <f t="shared" si="8"/>
        <v>201</v>
      </c>
      <c r="H269" t="s">
        <v>417</v>
      </c>
      <c r="I269" t="s">
        <v>593</v>
      </c>
      <c r="J269">
        <v>-26.365555560000001</v>
      </c>
      <c r="K269">
        <v>135.79</v>
      </c>
      <c r="L269" t="s">
        <v>419</v>
      </c>
      <c r="M269" s="33" t="s">
        <v>2013</v>
      </c>
      <c r="N269" s="32">
        <v>5.0000000000000001E-4</v>
      </c>
      <c r="O269" s="32">
        <v>1.194</v>
      </c>
      <c r="P269" s="32">
        <v>4.5979999999999999</v>
      </c>
      <c r="Q269" t="s">
        <v>890</v>
      </c>
    </row>
    <row r="270" spans="1:19">
      <c r="A270" t="s">
        <v>793</v>
      </c>
      <c r="B270" t="s">
        <v>592</v>
      </c>
      <c r="D270">
        <v>6</v>
      </c>
      <c r="E270" s="1">
        <v>42816</v>
      </c>
      <c r="F270" s="1">
        <v>43017</v>
      </c>
      <c r="G270">
        <f t="shared" si="8"/>
        <v>201</v>
      </c>
      <c r="H270" t="s">
        <v>417</v>
      </c>
      <c r="I270" t="s">
        <v>593</v>
      </c>
      <c r="J270">
        <v>-26.365555560000001</v>
      </c>
      <c r="K270">
        <v>135.79</v>
      </c>
      <c r="L270" t="s">
        <v>419</v>
      </c>
      <c r="M270" s="33" t="s">
        <v>2014</v>
      </c>
      <c r="N270" s="32">
        <v>5.0000000000000001E-4</v>
      </c>
      <c r="O270" s="35">
        <v>1.4650000000000001</v>
      </c>
      <c r="P270" s="32">
        <v>6.6929999999999996</v>
      </c>
      <c r="Q270" t="s">
        <v>890</v>
      </c>
    </row>
    <row r="271" spans="1:19" s="43" customFormat="1">
      <c r="A271" t="s">
        <v>794</v>
      </c>
      <c r="B271" t="s">
        <v>592</v>
      </c>
      <c r="C271"/>
      <c r="D271">
        <v>6</v>
      </c>
      <c r="E271" s="1">
        <v>42816</v>
      </c>
      <c r="F271" s="1">
        <v>43017</v>
      </c>
      <c r="G271">
        <f t="shared" si="8"/>
        <v>201</v>
      </c>
      <c r="H271" t="s">
        <v>417</v>
      </c>
      <c r="I271" t="s">
        <v>593</v>
      </c>
      <c r="J271">
        <v>-26.365555560000001</v>
      </c>
      <c r="K271">
        <v>135.79</v>
      </c>
      <c r="L271" t="s">
        <v>419</v>
      </c>
      <c r="M271" s="33" t="s">
        <v>2015</v>
      </c>
      <c r="N271" s="32">
        <v>4.0000000000000002E-4</v>
      </c>
      <c r="O271" s="35">
        <v>1.3680000000000001</v>
      </c>
      <c r="P271" s="32">
        <v>5.5949999999999998</v>
      </c>
      <c r="Q271" t="s">
        <v>890</v>
      </c>
      <c r="R271"/>
      <c r="S271"/>
    </row>
    <row r="272" spans="1:19">
      <c r="A272" t="s">
        <v>795</v>
      </c>
      <c r="B272" t="s">
        <v>592</v>
      </c>
      <c r="D272">
        <v>6</v>
      </c>
      <c r="E272" s="1">
        <v>42816</v>
      </c>
      <c r="F272" s="1">
        <v>43017</v>
      </c>
      <c r="G272">
        <f t="shared" si="8"/>
        <v>201</v>
      </c>
      <c r="H272" t="s">
        <v>417</v>
      </c>
      <c r="I272" t="s">
        <v>593</v>
      </c>
      <c r="J272">
        <v>-26.365555560000001</v>
      </c>
      <c r="K272">
        <v>135.79</v>
      </c>
      <c r="L272" t="s">
        <v>419</v>
      </c>
      <c r="M272" s="33" t="s">
        <v>2016</v>
      </c>
      <c r="N272" s="32">
        <v>8.9999999999999998E-4</v>
      </c>
      <c r="O272" s="32">
        <v>1.4990000000000001</v>
      </c>
      <c r="P272" s="32">
        <v>5.8860000000000001</v>
      </c>
      <c r="Q272" t="s">
        <v>890</v>
      </c>
    </row>
    <row r="273" spans="1:19">
      <c r="A273" t="s">
        <v>796</v>
      </c>
      <c r="B273" t="s">
        <v>592</v>
      </c>
      <c r="D273">
        <v>6</v>
      </c>
      <c r="E273" s="1">
        <v>42816</v>
      </c>
      <c r="F273" s="1">
        <v>43017</v>
      </c>
      <c r="G273">
        <f t="shared" si="8"/>
        <v>201</v>
      </c>
      <c r="H273" t="s">
        <v>417</v>
      </c>
      <c r="I273" t="s">
        <v>593</v>
      </c>
      <c r="J273">
        <v>-26.365555560000001</v>
      </c>
      <c r="K273">
        <v>135.79</v>
      </c>
      <c r="L273" t="s">
        <v>419</v>
      </c>
      <c r="M273" s="33" t="s">
        <v>2017</v>
      </c>
      <c r="N273" s="32">
        <v>8.0000000000000004E-4</v>
      </c>
      <c r="O273" s="32">
        <v>1.38</v>
      </c>
      <c r="P273" s="32">
        <v>6.71</v>
      </c>
      <c r="Q273" t="s">
        <v>890</v>
      </c>
    </row>
    <row r="274" spans="1:19">
      <c r="A274" t="s">
        <v>797</v>
      </c>
      <c r="B274" t="s">
        <v>592</v>
      </c>
      <c r="D274">
        <v>6</v>
      </c>
      <c r="E274" s="1">
        <v>42816</v>
      </c>
      <c r="F274" s="1">
        <v>43017</v>
      </c>
      <c r="G274">
        <f t="shared" si="8"/>
        <v>201</v>
      </c>
      <c r="H274" t="s">
        <v>417</v>
      </c>
      <c r="I274" t="s">
        <v>593</v>
      </c>
      <c r="J274">
        <v>-26.365555560000001</v>
      </c>
      <c r="K274">
        <v>135.79</v>
      </c>
      <c r="L274" t="s">
        <v>419</v>
      </c>
      <c r="M274" s="33" t="s">
        <v>2018</v>
      </c>
      <c r="N274" s="32">
        <v>6.9999999999999999E-4</v>
      </c>
      <c r="O274" s="35">
        <v>1.6919999999999999</v>
      </c>
      <c r="P274" s="32">
        <v>6.7050000000000001</v>
      </c>
      <c r="Q274" t="s">
        <v>890</v>
      </c>
    </row>
    <row r="275" spans="1:19">
      <c r="A275" t="s">
        <v>798</v>
      </c>
      <c r="B275" t="s">
        <v>592</v>
      </c>
      <c r="D275">
        <v>6</v>
      </c>
      <c r="E275" s="1">
        <v>42816</v>
      </c>
      <c r="F275" s="1">
        <v>43017</v>
      </c>
      <c r="G275">
        <f t="shared" si="8"/>
        <v>201</v>
      </c>
      <c r="H275" t="s">
        <v>417</v>
      </c>
      <c r="I275" t="s">
        <v>593</v>
      </c>
      <c r="J275">
        <v>-26.365555560000001</v>
      </c>
      <c r="K275">
        <v>135.79</v>
      </c>
      <c r="L275" t="s">
        <v>419</v>
      </c>
      <c r="M275" s="33" t="s">
        <v>2019</v>
      </c>
      <c r="N275" s="32">
        <v>4.0000000000000002E-4</v>
      </c>
      <c r="O275" s="35">
        <v>1.3540000000000001</v>
      </c>
      <c r="P275" s="32">
        <v>6.5990000000000002</v>
      </c>
      <c r="Q275" t="s">
        <v>890</v>
      </c>
    </row>
    <row r="276" spans="1:19">
      <c r="A276" s="9" t="s">
        <v>468</v>
      </c>
      <c r="B276" t="s">
        <v>461</v>
      </c>
      <c r="D276">
        <v>2</v>
      </c>
      <c r="E276" s="1">
        <v>42815</v>
      </c>
      <c r="F276" s="1">
        <v>43017</v>
      </c>
      <c r="G276">
        <f t="shared" si="8"/>
        <v>202</v>
      </c>
      <c r="H276" t="s">
        <v>462</v>
      </c>
      <c r="I276" t="s">
        <v>463</v>
      </c>
      <c r="J276">
        <v>-25.754722220000001</v>
      </c>
      <c r="K276">
        <v>135.26305556</v>
      </c>
      <c r="L276" t="s">
        <v>419</v>
      </c>
      <c r="M276" s="33" t="s">
        <v>1820</v>
      </c>
      <c r="N276" s="32">
        <v>3.3999999999999998E-3</v>
      </c>
      <c r="O276" s="32">
        <v>2.14</v>
      </c>
      <c r="P276" s="35">
        <v>8.57</v>
      </c>
      <c r="Q276" t="s">
        <v>890</v>
      </c>
    </row>
    <row r="277" spans="1:19">
      <c r="A277" t="s">
        <v>799</v>
      </c>
      <c r="B277" t="s">
        <v>592</v>
      </c>
      <c r="D277">
        <v>6</v>
      </c>
      <c r="E277" s="1">
        <v>42816</v>
      </c>
      <c r="F277" s="1">
        <v>43017</v>
      </c>
      <c r="G277">
        <f t="shared" si="8"/>
        <v>201</v>
      </c>
      <c r="H277" t="s">
        <v>417</v>
      </c>
      <c r="I277" t="s">
        <v>593</v>
      </c>
      <c r="J277">
        <v>-26.365555560000001</v>
      </c>
      <c r="K277">
        <v>135.79</v>
      </c>
      <c r="L277" t="s">
        <v>419</v>
      </c>
      <c r="M277" s="33" t="s">
        <v>2020</v>
      </c>
      <c r="N277" s="32">
        <v>5.9999999999999995E-4</v>
      </c>
      <c r="O277" s="35">
        <v>1.536</v>
      </c>
      <c r="P277" s="32">
        <v>6.0519999999999996</v>
      </c>
      <c r="Q277" t="s">
        <v>890</v>
      </c>
    </row>
    <row r="278" spans="1:19">
      <c r="A278" s="43" t="s">
        <v>800</v>
      </c>
      <c r="B278" s="43" t="s">
        <v>592</v>
      </c>
      <c r="C278" s="43"/>
      <c r="D278" s="43">
        <v>6</v>
      </c>
      <c r="E278" s="44">
        <v>42816</v>
      </c>
      <c r="F278" s="44">
        <v>43017</v>
      </c>
      <c r="G278" s="43">
        <f t="shared" si="8"/>
        <v>201</v>
      </c>
      <c r="H278" s="43" t="s">
        <v>417</v>
      </c>
      <c r="I278" s="43" t="s">
        <v>593</v>
      </c>
      <c r="J278" s="43">
        <v>-26.365555560000001</v>
      </c>
      <c r="K278" s="43">
        <v>135.79</v>
      </c>
      <c r="L278" s="43" t="s">
        <v>419</v>
      </c>
      <c r="M278" s="36" t="s">
        <v>2021</v>
      </c>
      <c r="N278" s="45">
        <v>6.9999999999999999E-4</v>
      </c>
      <c r="O278" s="45">
        <v>1.611</v>
      </c>
      <c r="P278" s="45">
        <v>6.4539999999999997</v>
      </c>
      <c r="Q278" s="43" t="s">
        <v>890</v>
      </c>
      <c r="R278" s="43"/>
      <c r="S278" s="43"/>
    </row>
    <row r="279" spans="1:19">
      <c r="A279" t="s">
        <v>801</v>
      </c>
      <c r="B279" t="s">
        <v>592</v>
      </c>
      <c r="D279">
        <v>6</v>
      </c>
      <c r="E279" s="1">
        <v>42816</v>
      </c>
      <c r="F279" s="1">
        <v>43017</v>
      </c>
      <c r="G279">
        <f t="shared" si="8"/>
        <v>201</v>
      </c>
      <c r="H279" t="s">
        <v>417</v>
      </c>
      <c r="I279" t="s">
        <v>593</v>
      </c>
      <c r="J279">
        <v>-26.365555560000001</v>
      </c>
      <c r="K279">
        <v>135.79</v>
      </c>
      <c r="L279" t="s">
        <v>419</v>
      </c>
      <c r="M279" s="33" t="s">
        <v>2022</v>
      </c>
      <c r="N279" s="32">
        <v>8.9999999999999998E-4</v>
      </c>
      <c r="O279" s="32">
        <v>1.55</v>
      </c>
      <c r="P279" s="32">
        <v>6.2039999999999997</v>
      </c>
      <c r="Q279" t="s">
        <v>890</v>
      </c>
    </row>
    <row r="280" spans="1:19">
      <c r="A280" t="s">
        <v>802</v>
      </c>
      <c r="B280" t="s">
        <v>592</v>
      </c>
      <c r="D280">
        <v>6</v>
      </c>
      <c r="E280" s="1">
        <v>42816</v>
      </c>
      <c r="F280" s="1">
        <v>43017</v>
      </c>
      <c r="G280">
        <f t="shared" si="8"/>
        <v>201</v>
      </c>
      <c r="H280" t="s">
        <v>417</v>
      </c>
      <c r="I280" t="s">
        <v>593</v>
      </c>
      <c r="J280">
        <v>-26.365555560000001</v>
      </c>
      <c r="K280">
        <v>135.79</v>
      </c>
      <c r="L280" t="s">
        <v>419</v>
      </c>
      <c r="M280" s="33" t="s">
        <v>2023</v>
      </c>
      <c r="N280" s="32">
        <v>8.9999999999999998E-4</v>
      </c>
      <c r="O280" s="32">
        <v>1.58</v>
      </c>
      <c r="P280" s="32">
        <v>5.5170000000000003</v>
      </c>
      <c r="Q280" t="s">
        <v>890</v>
      </c>
    </row>
    <row r="281" spans="1:19">
      <c r="A281" t="s">
        <v>803</v>
      </c>
      <c r="B281" t="s">
        <v>592</v>
      </c>
      <c r="D281">
        <v>6</v>
      </c>
      <c r="E281" s="1">
        <v>42816</v>
      </c>
      <c r="F281" s="1">
        <v>43017</v>
      </c>
      <c r="G281">
        <f t="shared" si="8"/>
        <v>201</v>
      </c>
      <c r="H281" t="s">
        <v>417</v>
      </c>
      <c r="I281" t="s">
        <v>593</v>
      </c>
      <c r="J281">
        <v>-26.365555560000001</v>
      </c>
      <c r="K281">
        <v>135.79</v>
      </c>
      <c r="L281" t="s">
        <v>419</v>
      </c>
      <c r="M281" s="33" t="s">
        <v>2024</v>
      </c>
      <c r="N281" s="32">
        <v>5.9999999999999995E-4</v>
      </c>
      <c r="O281" s="32">
        <v>1.4790000000000001</v>
      </c>
      <c r="P281" s="32">
        <v>6.0259999999999998</v>
      </c>
      <c r="Q281" t="s">
        <v>890</v>
      </c>
    </row>
    <row r="282" spans="1:19">
      <c r="A282" t="s">
        <v>804</v>
      </c>
      <c r="B282" t="s">
        <v>592</v>
      </c>
      <c r="D282">
        <v>6</v>
      </c>
      <c r="E282" s="1">
        <v>42816</v>
      </c>
      <c r="F282" s="1">
        <v>43017</v>
      </c>
      <c r="G282">
        <f t="shared" si="8"/>
        <v>201</v>
      </c>
      <c r="H282" t="s">
        <v>417</v>
      </c>
      <c r="I282" t="s">
        <v>593</v>
      </c>
      <c r="J282">
        <v>-26.365555560000001</v>
      </c>
      <c r="K282">
        <v>135.79</v>
      </c>
      <c r="L282" t="s">
        <v>419</v>
      </c>
      <c r="M282" s="33" t="s">
        <v>2025</v>
      </c>
      <c r="N282" s="32">
        <v>8.9999999999999998E-4</v>
      </c>
      <c r="O282" s="32">
        <v>1.5820000000000001</v>
      </c>
      <c r="P282" s="32">
        <v>5.89</v>
      </c>
      <c r="Q282" t="s">
        <v>890</v>
      </c>
    </row>
    <row r="283" spans="1:19">
      <c r="A283" t="s">
        <v>805</v>
      </c>
      <c r="B283" t="s">
        <v>592</v>
      </c>
      <c r="D283">
        <v>6</v>
      </c>
      <c r="E283" s="1">
        <v>42816</v>
      </c>
      <c r="F283" s="1">
        <v>43017</v>
      </c>
      <c r="G283">
        <f t="shared" si="8"/>
        <v>201</v>
      </c>
      <c r="H283" t="s">
        <v>417</v>
      </c>
      <c r="I283" t="s">
        <v>593</v>
      </c>
      <c r="J283">
        <v>-26.365555560000001</v>
      </c>
      <c r="K283">
        <v>135.79</v>
      </c>
      <c r="L283" t="s">
        <v>419</v>
      </c>
      <c r="M283" s="33" t="s">
        <v>2026</v>
      </c>
      <c r="N283" s="32">
        <v>5.0000000000000001E-4</v>
      </c>
      <c r="O283" s="32">
        <v>1.5820000000000001</v>
      </c>
      <c r="P283" s="32">
        <v>6.226</v>
      </c>
      <c r="Q283" t="s">
        <v>890</v>
      </c>
    </row>
    <row r="284" spans="1:19">
      <c r="A284" t="s">
        <v>806</v>
      </c>
      <c r="B284" t="s">
        <v>592</v>
      </c>
      <c r="D284">
        <v>6</v>
      </c>
      <c r="E284" s="1">
        <v>42816</v>
      </c>
      <c r="F284" s="1">
        <v>43017</v>
      </c>
      <c r="G284">
        <f t="shared" si="8"/>
        <v>201</v>
      </c>
      <c r="H284" t="s">
        <v>417</v>
      </c>
      <c r="I284" t="s">
        <v>593</v>
      </c>
      <c r="J284">
        <v>-26.365555560000001</v>
      </c>
      <c r="K284">
        <v>135.79</v>
      </c>
      <c r="L284" t="s">
        <v>419</v>
      </c>
      <c r="M284" s="33" t="s">
        <v>2027</v>
      </c>
      <c r="N284" s="32">
        <v>6.9999999999999999E-4</v>
      </c>
      <c r="O284" s="32">
        <v>1.4650000000000001</v>
      </c>
      <c r="P284" s="32">
        <v>5.96</v>
      </c>
      <c r="Q284" t="s">
        <v>890</v>
      </c>
    </row>
    <row r="285" spans="1:19">
      <c r="A285" t="s">
        <v>808</v>
      </c>
      <c r="B285" t="s">
        <v>592</v>
      </c>
      <c r="D285">
        <v>6</v>
      </c>
      <c r="E285" s="1">
        <v>42816</v>
      </c>
      <c r="F285" s="1">
        <v>43017</v>
      </c>
      <c r="G285">
        <f t="shared" si="8"/>
        <v>201</v>
      </c>
      <c r="H285" t="s">
        <v>417</v>
      </c>
      <c r="I285" t="s">
        <v>593</v>
      </c>
      <c r="J285">
        <v>-26.365555560000001</v>
      </c>
      <c r="K285">
        <v>135.79</v>
      </c>
      <c r="L285" t="s">
        <v>419</v>
      </c>
      <c r="M285" s="33" t="s">
        <v>2029</v>
      </c>
      <c r="N285" s="32">
        <v>8.0000000000000004E-4</v>
      </c>
      <c r="O285" s="32">
        <v>1.407</v>
      </c>
      <c r="P285" s="32">
        <v>6.2460000000000004</v>
      </c>
      <c r="Q285" t="s">
        <v>890</v>
      </c>
    </row>
    <row r="286" spans="1:19">
      <c r="A286" s="9" t="s">
        <v>469</v>
      </c>
      <c r="B286" t="s">
        <v>461</v>
      </c>
      <c r="D286">
        <v>2</v>
      </c>
      <c r="E286" s="1">
        <v>42815</v>
      </c>
      <c r="F286" s="1">
        <v>43017</v>
      </c>
      <c r="G286">
        <f t="shared" si="8"/>
        <v>202</v>
      </c>
      <c r="H286" t="s">
        <v>462</v>
      </c>
      <c r="I286" t="s">
        <v>463</v>
      </c>
      <c r="J286">
        <v>-25.754722220000001</v>
      </c>
      <c r="K286">
        <v>135.26305556</v>
      </c>
      <c r="L286" t="s">
        <v>419</v>
      </c>
      <c r="M286" s="33" t="s">
        <v>1821</v>
      </c>
      <c r="N286" s="32">
        <v>5.0000000000000001E-4</v>
      </c>
      <c r="O286" s="32">
        <v>1.48</v>
      </c>
      <c r="P286" s="35">
        <v>8.6210000000000004</v>
      </c>
      <c r="Q286" t="s">
        <v>890</v>
      </c>
    </row>
    <row r="287" spans="1:19">
      <c r="A287" t="s">
        <v>810</v>
      </c>
      <c r="B287" t="s">
        <v>592</v>
      </c>
      <c r="D287">
        <v>6</v>
      </c>
      <c r="E287" s="1">
        <v>42816</v>
      </c>
      <c r="F287" s="1">
        <v>43017</v>
      </c>
      <c r="G287">
        <f t="shared" si="8"/>
        <v>201</v>
      </c>
      <c r="H287" t="s">
        <v>417</v>
      </c>
      <c r="I287" t="s">
        <v>593</v>
      </c>
      <c r="J287">
        <v>-26.365555560000001</v>
      </c>
      <c r="K287">
        <v>135.79</v>
      </c>
      <c r="L287" t="s">
        <v>419</v>
      </c>
      <c r="M287" s="33" t="s">
        <v>2031</v>
      </c>
      <c r="N287" s="32">
        <v>4.0000000000000002E-4</v>
      </c>
      <c r="O287" s="32">
        <v>1.6319999999999999</v>
      </c>
      <c r="P287" s="32">
        <v>6.4640000000000004</v>
      </c>
      <c r="Q287" t="s">
        <v>890</v>
      </c>
    </row>
    <row r="288" spans="1:19">
      <c r="A288" t="s">
        <v>811</v>
      </c>
      <c r="B288" t="s">
        <v>592</v>
      </c>
      <c r="D288">
        <v>6</v>
      </c>
      <c r="E288" s="1">
        <v>42816</v>
      </c>
      <c r="F288" s="1">
        <v>43017</v>
      </c>
      <c r="G288">
        <f t="shared" si="8"/>
        <v>201</v>
      </c>
      <c r="H288" t="s">
        <v>417</v>
      </c>
      <c r="I288" t="s">
        <v>593</v>
      </c>
      <c r="J288">
        <v>-26.365555560000001</v>
      </c>
      <c r="K288">
        <v>135.79</v>
      </c>
      <c r="L288" t="s">
        <v>419</v>
      </c>
      <c r="M288" s="33" t="s">
        <v>2032</v>
      </c>
      <c r="N288" s="32">
        <v>8.0000000000000004E-4</v>
      </c>
      <c r="O288" s="35">
        <v>1.65</v>
      </c>
      <c r="P288" s="32">
        <v>6.6189999999999998</v>
      </c>
      <c r="Q288" t="s">
        <v>890</v>
      </c>
    </row>
    <row r="289" spans="1:19">
      <c r="A289" t="s">
        <v>812</v>
      </c>
      <c r="B289" t="s">
        <v>592</v>
      </c>
      <c r="D289">
        <v>6</v>
      </c>
      <c r="E289" s="1">
        <v>42816</v>
      </c>
      <c r="F289" s="1">
        <v>43017</v>
      </c>
      <c r="G289">
        <f t="shared" si="8"/>
        <v>201</v>
      </c>
      <c r="H289" t="s">
        <v>417</v>
      </c>
      <c r="I289" t="s">
        <v>593</v>
      </c>
      <c r="J289">
        <v>-26.365555560000001</v>
      </c>
      <c r="K289">
        <v>135.79</v>
      </c>
      <c r="L289" t="s">
        <v>419</v>
      </c>
      <c r="M289" s="33" t="s">
        <v>2033</v>
      </c>
      <c r="N289" s="32">
        <v>4.7000000000000002E-3</v>
      </c>
      <c r="O289" s="35">
        <v>2.4630000000000001</v>
      </c>
      <c r="P289" s="32">
        <v>11.132</v>
      </c>
      <c r="Q289" t="s">
        <v>890</v>
      </c>
    </row>
    <row r="290" spans="1:19">
      <c r="A290" t="s">
        <v>813</v>
      </c>
      <c r="B290" t="s">
        <v>592</v>
      </c>
      <c r="D290">
        <v>6</v>
      </c>
      <c r="E290" s="1">
        <v>42816</v>
      </c>
      <c r="F290" s="1">
        <v>43017</v>
      </c>
      <c r="G290">
        <f t="shared" si="8"/>
        <v>201</v>
      </c>
      <c r="H290" t="s">
        <v>417</v>
      </c>
      <c r="I290" t="s">
        <v>593</v>
      </c>
      <c r="J290">
        <v>-26.365555560000001</v>
      </c>
      <c r="K290">
        <v>135.79</v>
      </c>
      <c r="L290" t="s">
        <v>419</v>
      </c>
      <c r="M290" s="33" t="s">
        <v>2034</v>
      </c>
      <c r="N290" s="32">
        <v>8.9999999999999998E-4</v>
      </c>
      <c r="O290" s="32">
        <v>1.319</v>
      </c>
      <c r="P290" s="32">
        <v>6.5339999999999998</v>
      </c>
      <c r="Q290" t="s">
        <v>890</v>
      </c>
    </row>
    <row r="291" spans="1:19" s="43" customFormat="1">
      <c r="A291" t="s">
        <v>814</v>
      </c>
      <c r="B291" t="s">
        <v>592</v>
      </c>
      <c r="C291"/>
      <c r="D291">
        <v>6</v>
      </c>
      <c r="E291" s="1">
        <v>42816</v>
      </c>
      <c r="F291" s="1">
        <v>43017</v>
      </c>
      <c r="G291">
        <f t="shared" si="8"/>
        <v>201</v>
      </c>
      <c r="H291" t="s">
        <v>417</v>
      </c>
      <c r="I291" t="s">
        <v>593</v>
      </c>
      <c r="J291">
        <v>-26.365555560000001</v>
      </c>
      <c r="K291">
        <v>135.79</v>
      </c>
      <c r="L291" t="s">
        <v>419</v>
      </c>
      <c r="M291" s="33" t="s">
        <v>2035</v>
      </c>
      <c r="N291" s="32">
        <v>5.9999999999999995E-4</v>
      </c>
      <c r="O291" s="32">
        <v>1.583</v>
      </c>
      <c r="P291" s="32">
        <v>6.2080000000000002</v>
      </c>
      <c r="Q291" t="s">
        <v>890</v>
      </c>
      <c r="R291"/>
      <c r="S291"/>
    </row>
    <row r="292" spans="1:19">
      <c r="A292" t="s">
        <v>815</v>
      </c>
      <c r="B292" t="s">
        <v>592</v>
      </c>
      <c r="D292">
        <v>6</v>
      </c>
      <c r="E292" s="1">
        <v>42816</v>
      </c>
      <c r="F292" s="1">
        <v>43017</v>
      </c>
      <c r="G292">
        <f t="shared" si="8"/>
        <v>201</v>
      </c>
      <c r="H292" t="s">
        <v>417</v>
      </c>
      <c r="I292" t="s">
        <v>593</v>
      </c>
      <c r="J292">
        <v>-26.365555560000001</v>
      </c>
      <c r="K292">
        <v>135.79</v>
      </c>
      <c r="L292" t="s">
        <v>419</v>
      </c>
      <c r="M292" s="33" t="s">
        <v>2036</v>
      </c>
      <c r="N292" s="32">
        <v>1.1999999999999999E-3</v>
      </c>
      <c r="O292" s="32">
        <v>1.571</v>
      </c>
      <c r="P292" s="32">
        <v>7.1879999999999997</v>
      </c>
      <c r="Q292" t="s">
        <v>890</v>
      </c>
    </row>
    <row r="293" spans="1:19">
      <c r="A293" t="s">
        <v>816</v>
      </c>
      <c r="B293" t="s">
        <v>592</v>
      </c>
      <c r="D293">
        <v>6</v>
      </c>
      <c r="E293" s="1">
        <v>42816</v>
      </c>
      <c r="F293" s="1">
        <v>43017</v>
      </c>
      <c r="G293">
        <f t="shared" si="8"/>
        <v>201</v>
      </c>
      <c r="H293" t="s">
        <v>417</v>
      </c>
      <c r="I293" t="s">
        <v>593</v>
      </c>
      <c r="J293">
        <v>-26.365555560000001</v>
      </c>
      <c r="K293">
        <v>135.79</v>
      </c>
      <c r="L293" t="s">
        <v>419</v>
      </c>
      <c r="M293" s="33" t="s">
        <v>2037</v>
      </c>
      <c r="N293" s="32">
        <v>8.0000000000000004E-4</v>
      </c>
      <c r="O293" s="32">
        <v>1.659</v>
      </c>
      <c r="P293" s="32">
        <v>6.0640000000000001</v>
      </c>
      <c r="Q293" t="s">
        <v>890</v>
      </c>
    </row>
    <row r="294" spans="1:19">
      <c r="A294" t="s">
        <v>817</v>
      </c>
      <c r="B294" t="s">
        <v>592</v>
      </c>
      <c r="D294">
        <v>6</v>
      </c>
      <c r="E294" s="1">
        <v>42816</v>
      </c>
      <c r="F294" s="1">
        <v>43017</v>
      </c>
      <c r="G294">
        <f t="shared" si="8"/>
        <v>201</v>
      </c>
      <c r="H294" t="s">
        <v>417</v>
      </c>
      <c r="I294" t="s">
        <v>593</v>
      </c>
      <c r="J294">
        <v>-26.365555560000001</v>
      </c>
      <c r="K294">
        <v>135.79</v>
      </c>
      <c r="L294" t="s">
        <v>419</v>
      </c>
      <c r="M294" s="33" t="s">
        <v>2038</v>
      </c>
      <c r="N294" s="32">
        <v>8.9999999999999998E-4</v>
      </c>
      <c r="O294" s="32">
        <v>1.6970000000000001</v>
      </c>
      <c r="P294" s="32">
        <v>6.2039999999999997</v>
      </c>
      <c r="Q294" t="s">
        <v>890</v>
      </c>
    </row>
    <row r="295" spans="1:19">
      <c r="A295" t="s">
        <v>818</v>
      </c>
      <c r="B295" t="s">
        <v>592</v>
      </c>
      <c r="D295">
        <v>6</v>
      </c>
      <c r="E295" s="1">
        <v>42816</v>
      </c>
      <c r="F295" s="1">
        <v>43017</v>
      </c>
      <c r="G295">
        <f t="shared" si="8"/>
        <v>201</v>
      </c>
      <c r="H295" t="s">
        <v>417</v>
      </c>
      <c r="I295" t="s">
        <v>593</v>
      </c>
      <c r="J295">
        <v>-26.365555560000001</v>
      </c>
      <c r="K295">
        <v>135.79</v>
      </c>
      <c r="L295" t="s">
        <v>419</v>
      </c>
      <c r="M295" s="33" t="s">
        <v>2039</v>
      </c>
      <c r="N295" s="32">
        <v>8.0000000000000004E-4</v>
      </c>
      <c r="O295" s="35">
        <v>1.6739999999999999</v>
      </c>
      <c r="P295" s="32">
        <v>6.4889999999999999</v>
      </c>
      <c r="Q295" t="s">
        <v>890</v>
      </c>
    </row>
    <row r="296" spans="1:19">
      <c r="A296" s="9" t="s">
        <v>424</v>
      </c>
      <c r="B296" t="s">
        <v>425</v>
      </c>
      <c r="D296">
        <v>8</v>
      </c>
      <c r="E296" s="1">
        <v>42815</v>
      </c>
      <c r="F296" s="1">
        <v>43017</v>
      </c>
      <c r="G296">
        <f t="shared" si="8"/>
        <v>202</v>
      </c>
      <c r="H296" t="s">
        <v>417</v>
      </c>
      <c r="I296" t="s">
        <v>426</v>
      </c>
      <c r="J296">
        <v>-26.458888890000001</v>
      </c>
      <c r="K296">
        <v>135.41277778</v>
      </c>
      <c r="L296" t="s">
        <v>419</v>
      </c>
      <c r="M296" s="36" t="s">
        <v>1753</v>
      </c>
      <c r="N296" s="32">
        <v>7.1280000000000024E-3</v>
      </c>
      <c r="O296" s="35">
        <v>2.7730000000000001</v>
      </c>
      <c r="P296" s="35">
        <v>11.031000000000001</v>
      </c>
      <c r="Q296" s="20" t="s">
        <v>2094</v>
      </c>
    </row>
    <row r="297" spans="1:19">
      <c r="A297" s="9" t="s">
        <v>470</v>
      </c>
      <c r="B297" t="s">
        <v>461</v>
      </c>
      <c r="D297">
        <v>2</v>
      </c>
      <c r="E297" s="1">
        <v>42815</v>
      </c>
      <c r="F297" s="1">
        <v>43017</v>
      </c>
      <c r="G297">
        <f t="shared" si="8"/>
        <v>202</v>
      </c>
      <c r="H297" t="s">
        <v>462</v>
      </c>
      <c r="I297" t="s">
        <v>463</v>
      </c>
      <c r="J297">
        <v>-25.754722220000001</v>
      </c>
      <c r="K297">
        <v>135.26305556</v>
      </c>
      <c r="L297" t="s">
        <v>419</v>
      </c>
      <c r="M297" s="36" t="s">
        <v>1772</v>
      </c>
      <c r="N297" s="32">
        <v>2.0728000000000003E-2</v>
      </c>
      <c r="O297" s="32">
        <v>3.5960000000000001</v>
      </c>
      <c r="P297" s="32">
        <v>14.012</v>
      </c>
      <c r="Q297" s="20" t="s">
        <v>2094</v>
      </c>
    </row>
    <row r="298" spans="1:19">
      <c r="A298" t="s">
        <v>819</v>
      </c>
      <c r="B298" t="s">
        <v>592</v>
      </c>
      <c r="D298">
        <v>6</v>
      </c>
      <c r="E298" s="1">
        <v>42816</v>
      </c>
      <c r="F298" s="1">
        <v>43017</v>
      </c>
      <c r="G298">
        <f t="shared" si="8"/>
        <v>201</v>
      </c>
      <c r="H298" t="s">
        <v>417</v>
      </c>
      <c r="I298" t="s">
        <v>593</v>
      </c>
      <c r="J298">
        <v>-26.365555560000001</v>
      </c>
      <c r="K298">
        <v>135.79</v>
      </c>
      <c r="L298" t="s">
        <v>419</v>
      </c>
      <c r="M298" s="33" t="s">
        <v>2040</v>
      </c>
      <c r="N298" s="32">
        <v>8.0000000000000004E-4</v>
      </c>
      <c r="O298" s="32">
        <v>1.544</v>
      </c>
      <c r="P298" s="32">
        <v>5.8090000000000002</v>
      </c>
      <c r="Q298" t="s">
        <v>890</v>
      </c>
    </row>
    <row r="299" spans="1:19">
      <c r="A299" t="s">
        <v>820</v>
      </c>
      <c r="B299" t="s">
        <v>592</v>
      </c>
      <c r="D299">
        <v>6</v>
      </c>
      <c r="E299" s="1">
        <v>42816</v>
      </c>
      <c r="F299" s="1">
        <v>43017</v>
      </c>
      <c r="G299">
        <f t="shared" si="8"/>
        <v>201</v>
      </c>
      <c r="H299" t="s">
        <v>417</v>
      </c>
      <c r="I299" t="s">
        <v>593</v>
      </c>
      <c r="J299">
        <v>-26.365555560000001</v>
      </c>
      <c r="K299">
        <v>135.79</v>
      </c>
      <c r="L299" t="s">
        <v>419</v>
      </c>
      <c r="M299" s="33" t="s">
        <v>2041</v>
      </c>
      <c r="N299" s="32">
        <v>8.0000000000000004E-4</v>
      </c>
      <c r="O299" s="32">
        <v>1.542</v>
      </c>
      <c r="P299" s="32">
        <v>5.9939999999999998</v>
      </c>
      <c r="Q299" t="s">
        <v>890</v>
      </c>
    </row>
    <row r="300" spans="1:19">
      <c r="A300" t="s">
        <v>822</v>
      </c>
      <c r="B300" t="s">
        <v>592</v>
      </c>
      <c r="D300">
        <v>6</v>
      </c>
      <c r="E300" s="1">
        <v>42816</v>
      </c>
      <c r="F300" s="1">
        <v>43017</v>
      </c>
      <c r="G300">
        <f t="shared" si="8"/>
        <v>201</v>
      </c>
      <c r="H300" t="s">
        <v>417</v>
      </c>
      <c r="I300" t="s">
        <v>593</v>
      </c>
      <c r="J300">
        <v>-26.365555560000001</v>
      </c>
      <c r="K300">
        <v>135.79</v>
      </c>
      <c r="L300" t="s">
        <v>419</v>
      </c>
      <c r="M300" s="33" t="s">
        <v>2043</v>
      </c>
      <c r="N300" s="32">
        <v>6.9999999999999999E-4</v>
      </c>
      <c r="O300" s="32">
        <v>1.6619999999999999</v>
      </c>
      <c r="P300" s="32">
        <v>6.0339999999999998</v>
      </c>
      <c r="Q300" t="s">
        <v>890</v>
      </c>
    </row>
    <row r="301" spans="1:19">
      <c r="A301" t="s">
        <v>823</v>
      </c>
      <c r="B301" t="s">
        <v>592</v>
      </c>
      <c r="D301">
        <v>6</v>
      </c>
      <c r="E301" s="1">
        <v>42816</v>
      </c>
      <c r="F301" s="1">
        <v>43017</v>
      </c>
      <c r="G301">
        <f t="shared" si="8"/>
        <v>201</v>
      </c>
      <c r="H301" t="s">
        <v>417</v>
      </c>
      <c r="I301" t="s">
        <v>593</v>
      </c>
      <c r="J301">
        <v>-26.365555560000001</v>
      </c>
      <c r="K301">
        <v>135.79</v>
      </c>
      <c r="L301" t="s">
        <v>419</v>
      </c>
      <c r="M301" s="33" t="s">
        <v>2044</v>
      </c>
      <c r="N301" s="32">
        <v>1E-3</v>
      </c>
      <c r="O301" s="32">
        <v>1.56</v>
      </c>
      <c r="P301" s="32">
        <v>5.7569999999999997</v>
      </c>
      <c r="Q301" t="s">
        <v>890</v>
      </c>
    </row>
    <row r="302" spans="1:19">
      <c r="A302" t="s">
        <v>824</v>
      </c>
      <c r="B302" t="s">
        <v>592</v>
      </c>
      <c r="D302">
        <v>6</v>
      </c>
      <c r="E302" s="1">
        <v>42816</v>
      </c>
      <c r="F302" s="1">
        <v>43017</v>
      </c>
      <c r="G302">
        <f t="shared" si="8"/>
        <v>201</v>
      </c>
      <c r="H302" t="s">
        <v>417</v>
      </c>
      <c r="I302" t="s">
        <v>593</v>
      </c>
      <c r="J302">
        <v>-26.365555560000001</v>
      </c>
      <c r="K302">
        <v>135.79</v>
      </c>
      <c r="L302" t="s">
        <v>419</v>
      </c>
      <c r="M302" s="33" t="s">
        <v>2045</v>
      </c>
      <c r="N302" s="32">
        <v>6.9999999999999999E-4</v>
      </c>
      <c r="O302" s="32">
        <v>1.3879999999999999</v>
      </c>
      <c r="P302" s="32">
        <v>5.78</v>
      </c>
      <c r="Q302" t="s">
        <v>890</v>
      </c>
    </row>
    <row r="303" spans="1:19">
      <c r="A303" t="s">
        <v>826</v>
      </c>
      <c r="B303" t="s">
        <v>592</v>
      </c>
      <c r="D303">
        <v>6</v>
      </c>
      <c r="E303" s="1">
        <v>42816</v>
      </c>
      <c r="F303" s="1">
        <v>43017</v>
      </c>
      <c r="G303">
        <f t="shared" si="8"/>
        <v>201</v>
      </c>
      <c r="H303" t="s">
        <v>417</v>
      </c>
      <c r="I303" t="s">
        <v>593</v>
      </c>
      <c r="J303">
        <v>-26.365555560000001</v>
      </c>
      <c r="K303">
        <v>135.79</v>
      </c>
      <c r="L303" t="s">
        <v>419</v>
      </c>
      <c r="M303" s="33" t="s">
        <v>2046</v>
      </c>
      <c r="N303" s="32">
        <v>5.0000000000000001E-4</v>
      </c>
      <c r="O303" s="34">
        <v>1.5189999999999999</v>
      </c>
      <c r="P303" s="24">
        <v>6.3250000000000002</v>
      </c>
      <c r="Q303" t="s">
        <v>890</v>
      </c>
    </row>
    <row r="304" spans="1:19">
      <c r="A304" t="s">
        <v>827</v>
      </c>
      <c r="B304" t="s">
        <v>592</v>
      </c>
      <c r="D304">
        <v>6</v>
      </c>
      <c r="E304" s="1">
        <v>42816</v>
      </c>
      <c r="F304" s="1">
        <v>43017</v>
      </c>
      <c r="G304">
        <f t="shared" si="8"/>
        <v>201</v>
      </c>
      <c r="H304" t="s">
        <v>417</v>
      </c>
      <c r="I304" t="s">
        <v>593</v>
      </c>
      <c r="J304">
        <v>-26.365555560000001</v>
      </c>
      <c r="K304">
        <v>135.79</v>
      </c>
      <c r="L304" t="s">
        <v>419</v>
      </c>
      <c r="M304" s="33" t="s">
        <v>2047</v>
      </c>
      <c r="N304" s="32">
        <v>2.9999999999999997E-4</v>
      </c>
      <c r="O304" s="32">
        <v>1.3540000000000001</v>
      </c>
      <c r="P304" s="32">
        <v>6.2910000000000004</v>
      </c>
      <c r="Q304" t="s">
        <v>890</v>
      </c>
    </row>
    <row r="305" spans="1:17">
      <c r="A305" t="s">
        <v>828</v>
      </c>
      <c r="B305" t="s">
        <v>829</v>
      </c>
      <c r="D305">
        <v>7</v>
      </c>
      <c r="E305" s="1">
        <v>42812</v>
      </c>
      <c r="F305" s="1">
        <v>43017</v>
      </c>
      <c r="G305">
        <f t="shared" si="8"/>
        <v>205</v>
      </c>
      <c r="H305" t="s">
        <v>462</v>
      </c>
      <c r="I305" t="s">
        <v>830</v>
      </c>
      <c r="J305">
        <v>-25.6175</v>
      </c>
      <c r="K305">
        <v>134.92277777999999</v>
      </c>
      <c r="L305" t="s">
        <v>831</v>
      </c>
      <c r="M305" s="33" t="s">
        <v>2048</v>
      </c>
      <c r="N305" s="32">
        <v>2.0000000000000001E-4</v>
      </c>
      <c r="O305" s="35">
        <v>1.3320000000000001</v>
      </c>
      <c r="P305" s="32">
        <v>7.6440000000000001</v>
      </c>
      <c r="Q305" t="s">
        <v>890</v>
      </c>
    </row>
    <row r="306" spans="1:17">
      <c r="A306" s="9" t="s">
        <v>471</v>
      </c>
      <c r="B306" t="s">
        <v>461</v>
      </c>
      <c r="D306">
        <v>2</v>
      </c>
      <c r="E306" s="1">
        <v>42815</v>
      </c>
      <c r="F306" s="1">
        <v>43017</v>
      </c>
      <c r="G306">
        <f t="shared" si="8"/>
        <v>202</v>
      </c>
      <c r="H306" t="s">
        <v>462</v>
      </c>
      <c r="I306" t="s">
        <v>463</v>
      </c>
      <c r="J306">
        <v>-25.754722220000001</v>
      </c>
      <c r="K306">
        <v>135.26305556</v>
      </c>
      <c r="L306" t="s">
        <v>419</v>
      </c>
      <c r="M306" s="36" t="s">
        <v>1773</v>
      </c>
      <c r="N306" s="32">
        <v>4.5427999999999996E-2</v>
      </c>
      <c r="O306" s="32">
        <v>6.51</v>
      </c>
      <c r="P306" s="32">
        <v>22.013000000000002</v>
      </c>
      <c r="Q306" s="20" t="s">
        <v>2094</v>
      </c>
    </row>
    <row r="307" spans="1:17">
      <c r="A307" t="s">
        <v>832</v>
      </c>
      <c r="B307" t="s">
        <v>829</v>
      </c>
      <c r="D307">
        <v>7</v>
      </c>
      <c r="E307" s="1">
        <v>42812</v>
      </c>
      <c r="F307" s="1">
        <v>43017</v>
      </c>
      <c r="G307">
        <f t="shared" si="8"/>
        <v>205</v>
      </c>
      <c r="H307" t="s">
        <v>462</v>
      </c>
      <c r="I307" t="s">
        <v>830</v>
      </c>
      <c r="J307">
        <v>-25.6175</v>
      </c>
      <c r="K307">
        <v>134.92277777999999</v>
      </c>
      <c r="L307" t="s">
        <v>831</v>
      </c>
      <c r="M307" s="33" t="s">
        <v>2049</v>
      </c>
      <c r="N307" s="32">
        <v>1.1999999999999999E-3</v>
      </c>
      <c r="O307" s="32">
        <v>1.552</v>
      </c>
      <c r="P307" s="32">
        <v>8.7119999999999997</v>
      </c>
      <c r="Q307" t="s">
        <v>890</v>
      </c>
    </row>
    <row r="308" spans="1:17">
      <c r="A308" t="s">
        <v>834</v>
      </c>
      <c r="B308" t="s">
        <v>829</v>
      </c>
      <c r="D308">
        <v>7</v>
      </c>
      <c r="E308" s="1">
        <v>42812</v>
      </c>
      <c r="F308" s="1">
        <v>43017</v>
      </c>
      <c r="G308">
        <f t="shared" si="8"/>
        <v>205</v>
      </c>
      <c r="H308" t="s">
        <v>462</v>
      </c>
      <c r="I308" t="s">
        <v>830</v>
      </c>
      <c r="J308">
        <v>-25.6175</v>
      </c>
      <c r="K308">
        <v>134.92277777999999</v>
      </c>
      <c r="L308" t="s">
        <v>831</v>
      </c>
      <c r="M308" s="33" t="s">
        <v>2051</v>
      </c>
      <c r="N308" s="32">
        <v>8.0000000000000004E-4</v>
      </c>
      <c r="O308" s="32">
        <v>1.325</v>
      </c>
      <c r="P308" s="32">
        <v>6.68</v>
      </c>
      <c r="Q308" t="s">
        <v>890</v>
      </c>
    </row>
    <row r="309" spans="1:17">
      <c r="A309" t="s">
        <v>835</v>
      </c>
      <c r="B309" t="s">
        <v>829</v>
      </c>
      <c r="D309">
        <v>7</v>
      </c>
      <c r="E309" s="1">
        <v>42812</v>
      </c>
      <c r="F309" s="1">
        <v>43017</v>
      </c>
      <c r="G309">
        <f t="shared" si="8"/>
        <v>205</v>
      </c>
      <c r="H309" t="s">
        <v>462</v>
      </c>
      <c r="I309" t="s">
        <v>830</v>
      </c>
      <c r="J309">
        <v>-25.6175</v>
      </c>
      <c r="K309">
        <v>134.92277777999999</v>
      </c>
      <c r="L309" t="s">
        <v>831</v>
      </c>
      <c r="M309" s="38" t="s">
        <v>2052</v>
      </c>
      <c r="N309" s="32">
        <v>8.9999999999999998E-4</v>
      </c>
      <c r="O309" s="39">
        <v>1.3740000000000001</v>
      </c>
      <c r="P309" s="39">
        <v>7.0609999999999999</v>
      </c>
      <c r="Q309" t="s">
        <v>890</v>
      </c>
    </row>
    <row r="310" spans="1:17">
      <c r="A310" t="s">
        <v>836</v>
      </c>
      <c r="B310" t="s">
        <v>829</v>
      </c>
      <c r="D310">
        <v>7</v>
      </c>
      <c r="E310" s="1">
        <v>42812</v>
      </c>
      <c r="F310" s="1">
        <v>43017</v>
      </c>
      <c r="G310">
        <f t="shared" si="8"/>
        <v>205</v>
      </c>
      <c r="H310" t="s">
        <v>462</v>
      </c>
      <c r="I310" t="s">
        <v>830</v>
      </c>
      <c r="J310">
        <v>-25.6175</v>
      </c>
      <c r="K310">
        <v>134.92277777999999</v>
      </c>
      <c r="L310" t="s">
        <v>831</v>
      </c>
      <c r="M310" s="38" t="s">
        <v>2052</v>
      </c>
      <c r="N310" s="32">
        <v>5.0000000000000001E-4</v>
      </c>
      <c r="O310" s="39">
        <v>1.246</v>
      </c>
      <c r="P310" s="39">
        <v>5.3259999999999996</v>
      </c>
      <c r="Q310" t="s">
        <v>890</v>
      </c>
    </row>
    <row r="311" spans="1:17">
      <c r="A311" t="s">
        <v>837</v>
      </c>
      <c r="B311" t="s">
        <v>829</v>
      </c>
      <c r="D311">
        <v>7</v>
      </c>
      <c r="E311" s="1">
        <v>42812</v>
      </c>
      <c r="F311" s="1">
        <v>43017</v>
      </c>
      <c r="G311">
        <f t="shared" si="8"/>
        <v>205</v>
      </c>
      <c r="H311" t="s">
        <v>462</v>
      </c>
      <c r="I311" t="s">
        <v>830</v>
      </c>
      <c r="J311">
        <v>-25.6175</v>
      </c>
      <c r="K311">
        <v>134.92277777999999</v>
      </c>
      <c r="L311" t="s">
        <v>831</v>
      </c>
      <c r="M311" s="33" t="s">
        <v>2053</v>
      </c>
      <c r="N311" s="32">
        <v>5.0000000000000001E-4</v>
      </c>
      <c r="O311" s="32">
        <v>1.325</v>
      </c>
      <c r="P311" s="32">
        <v>6.7549999999999999</v>
      </c>
      <c r="Q311" t="s">
        <v>890</v>
      </c>
    </row>
    <row r="312" spans="1:17">
      <c r="A312" t="s">
        <v>838</v>
      </c>
      <c r="B312" t="s">
        <v>829</v>
      </c>
      <c r="D312">
        <v>7</v>
      </c>
      <c r="E312" s="1">
        <v>42812</v>
      </c>
      <c r="F312" s="1">
        <v>43017</v>
      </c>
      <c r="G312">
        <f t="shared" si="8"/>
        <v>205</v>
      </c>
      <c r="H312" t="s">
        <v>462</v>
      </c>
      <c r="I312" t="s">
        <v>830</v>
      </c>
      <c r="J312">
        <v>-25.6175</v>
      </c>
      <c r="K312">
        <v>134.92277777999999</v>
      </c>
      <c r="L312" t="s">
        <v>831</v>
      </c>
      <c r="M312" s="33" t="s">
        <v>2054</v>
      </c>
      <c r="N312" s="32">
        <v>8.9999999999999998E-4</v>
      </c>
      <c r="O312" s="32">
        <v>1.4259999999999999</v>
      </c>
      <c r="P312" s="32">
        <v>6.6440000000000001</v>
      </c>
      <c r="Q312" t="s">
        <v>890</v>
      </c>
    </row>
    <row r="313" spans="1:17">
      <c r="A313" t="s">
        <v>839</v>
      </c>
      <c r="B313" t="s">
        <v>829</v>
      </c>
      <c r="D313">
        <v>7</v>
      </c>
      <c r="E313" s="1">
        <v>42812</v>
      </c>
      <c r="F313" s="1">
        <v>43017</v>
      </c>
      <c r="G313">
        <f t="shared" si="8"/>
        <v>205</v>
      </c>
      <c r="H313" t="s">
        <v>462</v>
      </c>
      <c r="I313" t="s">
        <v>830</v>
      </c>
      <c r="J313">
        <v>-25.6175</v>
      </c>
      <c r="K313">
        <v>134.92277777999999</v>
      </c>
      <c r="L313" t="s">
        <v>831</v>
      </c>
      <c r="M313" s="33" t="s">
        <v>2055</v>
      </c>
      <c r="N313" s="32">
        <v>5.9999999999999995E-4</v>
      </c>
      <c r="O313" s="32">
        <v>1.2649999999999999</v>
      </c>
      <c r="P313" s="32">
        <v>6.6749999999999998</v>
      </c>
      <c r="Q313" t="s">
        <v>890</v>
      </c>
    </row>
    <row r="314" spans="1:17">
      <c r="A314" t="s">
        <v>840</v>
      </c>
      <c r="B314" t="s">
        <v>829</v>
      </c>
      <c r="D314">
        <v>7</v>
      </c>
      <c r="E314" s="1">
        <v>42812</v>
      </c>
      <c r="F314" s="1">
        <v>43017</v>
      </c>
      <c r="G314">
        <f t="shared" si="8"/>
        <v>205</v>
      </c>
      <c r="H314" t="s">
        <v>462</v>
      </c>
      <c r="I314" t="s">
        <v>830</v>
      </c>
      <c r="J314">
        <v>-25.6175</v>
      </c>
      <c r="K314">
        <v>134.92277777999999</v>
      </c>
      <c r="L314" t="s">
        <v>831</v>
      </c>
      <c r="M314" s="33" t="s">
        <v>2056</v>
      </c>
      <c r="N314" s="32">
        <v>1.1999999999999999E-3</v>
      </c>
      <c r="O314" s="32">
        <v>1.748</v>
      </c>
      <c r="P314" s="32">
        <v>6.4539999999999997</v>
      </c>
      <c r="Q314" t="s">
        <v>890</v>
      </c>
    </row>
    <row r="315" spans="1:17">
      <c r="A315" t="s">
        <v>841</v>
      </c>
      <c r="B315" t="s">
        <v>829</v>
      </c>
      <c r="D315">
        <v>7</v>
      </c>
      <c r="E315" s="1">
        <v>42812</v>
      </c>
      <c r="F315" s="1">
        <v>43017</v>
      </c>
      <c r="G315">
        <f t="shared" si="8"/>
        <v>205</v>
      </c>
      <c r="H315" t="s">
        <v>462</v>
      </c>
      <c r="I315" t="s">
        <v>830</v>
      </c>
      <c r="J315">
        <v>-25.6175</v>
      </c>
      <c r="K315">
        <v>134.92277777999999</v>
      </c>
      <c r="L315" t="s">
        <v>831</v>
      </c>
      <c r="M315" s="33" t="s">
        <v>2057</v>
      </c>
      <c r="N315" s="32">
        <v>5.0000000000000001E-4</v>
      </c>
      <c r="O315" s="32">
        <v>1.421</v>
      </c>
      <c r="P315" s="32">
        <v>6.9939999999999998</v>
      </c>
      <c r="Q315" t="s">
        <v>890</v>
      </c>
    </row>
    <row r="316" spans="1:17">
      <c r="A316" s="9" t="s">
        <v>472</v>
      </c>
      <c r="B316" t="s">
        <v>422</v>
      </c>
      <c r="D316">
        <v>1</v>
      </c>
      <c r="E316" s="1">
        <v>42816</v>
      </c>
      <c r="F316" s="1">
        <v>43017</v>
      </c>
      <c r="G316">
        <f t="shared" si="8"/>
        <v>201</v>
      </c>
      <c r="H316" t="s">
        <v>417</v>
      </c>
      <c r="I316" t="s">
        <v>418</v>
      </c>
      <c r="J316">
        <v>-26.284722200000001</v>
      </c>
      <c r="K316">
        <v>136.09805556000001</v>
      </c>
      <c r="L316" t="s">
        <v>419</v>
      </c>
      <c r="M316" s="36" t="s">
        <v>1774</v>
      </c>
      <c r="N316" s="32">
        <v>1.0128000000000005E-2</v>
      </c>
      <c r="O316" s="35">
        <v>3.1019999999999999</v>
      </c>
      <c r="P316" s="35">
        <v>13.387</v>
      </c>
      <c r="Q316" s="20" t="s">
        <v>2094</v>
      </c>
    </row>
    <row r="317" spans="1:17">
      <c r="A317" t="s">
        <v>842</v>
      </c>
      <c r="B317" t="s">
        <v>829</v>
      </c>
      <c r="D317">
        <v>7</v>
      </c>
      <c r="E317" s="1">
        <v>42812</v>
      </c>
      <c r="F317" s="1">
        <v>43017</v>
      </c>
      <c r="G317">
        <f t="shared" si="8"/>
        <v>205</v>
      </c>
      <c r="H317" t="s">
        <v>462</v>
      </c>
      <c r="I317" t="s">
        <v>830</v>
      </c>
      <c r="J317">
        <v>-25.6175</v>
      </c>
      <c r="K317">
        <v>134.92277777999999</v>
      </c>
      <c r="L317" t="s">
        <v>831</v>
      </c>
      <c r="M317" s="33" t="s">
        <v>2058</v>
      </c>
      <c r="N317" s="32">
        <v>6.9999999999999999E-4</v>
      </c>
      <c r="O317" s="32">
        <v>1.3240000000000001</v>
      </c>
      <c r="P317" s="32">
        <v>5.6189999999999998</v>
      </c>
      <c r="Q317" t="s">
        <v>890</v>
      </c>
    </row>
    <row r="318" spans="1:17">
      <c r="A318" t="s">
        <v>843</v>
      </c>
      <c r="B318" t="s">
        <v>829</v>
      </c>
      <c r="D318">
        <v>7</v>
      </c>
      <c r="E318" s="1">
        <v>42812</v>
      </c>
      <c r="F318" s="1">
        <v>43017</v>
      </c>
      <c r="G318">
        <f t="shared" si="8"/>
        <v>205</v>
      </c>
      <c r="H318" t="s">
        <v>462</v>
      </c>
      <c r="I318" t="s">
        <v>830</v>
      </c>
      <c r="J318">
        <v>-25.6175</v>
      </c>
      <c r="K318">
        <v>134.92277777999999</v>
      </c>
      <c r="L318" t="s">
        <v>831</v>
      </c>
      <c r="M318" s="33" t="s">
        <v>2059</v>
      </c>
      <c r="N318" s="32">
        <v>1.1999999999999999E-3</v>
      </c>
      <c r="O318" s="32">
        <v>1.5820000000000001</v>
      </c>
      <c r="P318" s="32">
        <v>7.85</v>
      </c>
      <c r="Q318" t="s">
        <v>890</v>
      </c>
    </row>
    <row r="319" spans="1:17">
      <c r="A319" t="s">
        <v>844</v>
      </c>
      <c r="B319" t="s">
        <v>829</v>
      </c>
      <c r="D319">
        <v>7</v>
      </c>
      <c r="E319" s="1">
        <v>42812</v>
      </c>
      <c r="F319" s="1">
        <v>43017</v>
      </c>
      <c r="G319">
        <f t="shared" si="8"/>
        <v>205</v>
      </c>
      <c r="H319" t="s">
        <v>462</v>
      </c>
      <c r="I319" t="s">
        <v>830</v>
      </c>
      <c r="J319">
        <v>-25.6175</v>
      </c>
      <c r="K319">
        <v>134.92277777999999</v>
      </c>
      <c r="L319" t="s">
        <v>831</v>
      </c>
      <c r="M319" s="33" t="s">
        <v>2060</v>
      </c>
      <c r="N319" s="32">
        <v>5.0000000000000001E-4</v>
      </c>
      <c r="O319" s="35">
        <v>1.4379999999999999</v>
      </c>
      <c r="P319" s="32">
        <v>7.593</v>
      </c>
      <c r="Q319" t="s">
        <v>890</v>
      </c>
    </row>
    <row r="320" spans="1:17">
      <c r="A320" t="s">
        <v>846</v>
      </c>
      <c r="B320" t="s">
        <v>829</v>
      </c>
      <c r="D320">
        <v>7</v>
      </c>
      <c r="E320" s="1">
        <v>42812</v>
      </c>
      <c r="F320" s="1">
        <v>43017</v>
      </c>
      <c r="G320">
        <f t="shared" si="8"/>
        <v>205</v>
      </c>
      <c r="H320" t="s">
        <v>462</v>
      </c>
      <c r="I320" t="s">
        <v>830</v>
      </c>
      <c r="J320">
        <v>-25.6175</v>
      </c>
      <c r="K320">
        <v>134.92277777999999</v>
      </c>
      <c r="L320" t="s">
        <v>831</v>
      </c>
      <c r="M320" s="33" t="s">
        <v>2062</v>
      </c>
      <c r="N320" s="32">
        <v>1E-3</v>
      </c>
      <c r="O320" s="32">
        <v>1.3069999999999999</v>
      </c>
      <c r="P320" s="32">
        <v>6.718</v>
      </c>
      <c r="Q320" t="s">
        <v>890</v>
      </c>
    </row>
    <row r="321" spans="1:19">
      <c r="A321" t="s">
        <v>847</v>
      </c>
      <c r="B321" t="s">
        <v>829</v>
      </c>
      <c r="D321">
        <v>7</v>
      </c>
      <c r="E321" s="1">
        <v>42812</v>
      </c>
      <c r="F321" s="1">
        <v>43017</v>
      </c>
      <c r="G321">
        <f t="shared" si="8"/>
        <v>205</v>
      </c>
      <c r="H321" t="s">
        <v>462</v>
      </c>
      <c r="I321" t="s">
        <v>830</v>
      </c>
      <c r="J321">
        <v>-25.6175</v>
      </c>
      <c r="K321">
        <v>134.92277777999999</v>
      </c>
      <c r="L321" t="s">
        <v>831</v>
      </c>
      <c r="M321" s="33" t="s">
        <v>2063</v>
      </c>
      <c r="N321" s="32">
        <v>5.0000000000000001E-4</v>
      </c>
      <c r="O321" s="32">
        <v>1.23</v>
      </c>
      <c r="P321" s="32">
        <v>6.4210000000000003</v>
      </c>
      <c r="Q321" t="s">
        <v>890</v>
      </c>
    </row>
    <row r="322" spans="1:19">
      <c r="A322" t="s">
        <v>848</v>
      </c>
      <c r="B322" t="s">
        <v>829</v>
      </c>
      <c r="D322">
        <v>7</v>
      </c>
      <c r="E322" s="1">
        <v>42812</v>
      </c>
      <c r="F322" s="1">
        <v>43017</v>
      </c>
      <c r="G322">
        <f t="shared" si="8"/>
        <v>205</v>
      </c>
      <c r="H322" t="s">
        <v>462</v>
      </c>
      <c r="I322" t="s">
        <v>830</v>
      </c>
      <c r="J322">
        <v>-25.6175</v>
      </c>
      <c r="K322">
        <v>134.92277777999999</v>
      </c>
      <c r="L322" t="s">
        <v>831</v>
      </c>
      <c r="M322" s="33" t="s">
        <v>2064</v>
      </c>
      <c r="N322" s="32">
        <v>6.9999999999999999E-4</v>
      </c>
      <c r="O322" s="35">
        <v>1.411</v>
      </c>
      <c r="P322" s="32">
        <v>6.77</v>
      </c>
      <c r="Q322" t="s">
        <v>890</v>
      </c>
      <c r="R322" t="s">
        <v>917</v>
      </c>
      <c r="S322" t="s">
        <v>2214</v>
      </c>
    </row>
    <row r="323" spans="1:19" s="43" customFormat="1">
      <c r="A323" t="s">
        <v>849</v>
      </c>
      <c r="B323" t="s">
        <v>829</v>
      </c>
      <c r="C323"/>
      <c r="D323">
        <v>7</v>
      </c>
      <c r="E323" s="1">
        <v>42812</v>
      </c>
      <c r="F323" s="1">
        <v>43017</v>
      </c>
      <c r="G323">
        <f t="shared" si="8"/>
        <v>205</v>
      </c>
      <c r="H323" t="s">
        <v>462</v>
      </c>
      <c r="I323" t="s">
        <v>830</v>
      </c>
      <c r="J323">
        <v>-25.6175</v>
      </c>
      <c r="K323">
        <v>134.92277777999999</v>
      </c>
      <c r="L323" t="s">
        <v>831</v>
      </c>
      <c r="M323" s="33" t="s">
        <v>2065</v>
      </c>
      <c r="N323" s="32">
        <v>1.1000000000000001E-3</v>
      </c>
      <c r="O323" s="32">
        <v>1.383</v>
      </c>
      <c r="P323" s="32">
        <v>7.5439999999999996</v>
      </c>
      <c r="Q323" t="s">
        <v>890</v>
      </c>
      <c r="R323"/>
      <c r="S323"/>
    </row>
    <row r="324" spans="1:19" s="43" customFormat="1">
      <c r="A324" t="s">
        <v>850</v>
      </c>
      <c r="B324" t="s">
        <v>829</v>
      </c>
      <c r="C324"/>
      <c r="D324">
        <v>7</v>
      </c>
      <c r="E324" s="1">
        <v>42812</v>
      </c>
      <c r="F324" s="1">
        <v>43017</v>
      </c>
      <c r="G324">
        <f t="shared" si="8"/>
        <v>205</v>
      </c>
      <c r="H324" t="s">
        <v>462</v>
      </c>
      <c r="I324" t="s">
        <v>830</v>
      </c>
      <c r="J324">
        <v>-25.6175</v>
      </c>
      <c r="K324">
        <v>134.92277777999999</v>
      </c>
      <c r="L324" t="s">
        <v>831</v>
      </c>
      <c r="M324" s="33" t="s">
        <v>2066</v>
      </c>
      <c r="N324" s="32">
        <v>8.0000000000000004E-4</v>
      </c>
      <c r="O324" s="32">
        <v>1.6639999999999999</v>
      </c>
      <c r="P324" s="32">
        <v>7.1950000000000003</v>
      </c>
      <c r="Q324" t="s">
        <v>890</v>
      </c>
      <c r="R324"/>
      <c r="S324"/>
    </row>
    <row r="325" spans="1:19">
      <c r="A325" t="s">
        <v>851</v>
      </c>
      <c r="B325" t="s">
        <v>829</v>
      </c>
      <c r="D325">
        <v>7</v>
      </c>
      <c r="E325" s="1">
        <v>42812</v>
      </c>
      <c r="F325" s="1">
        <v>43017</v>
      </c>
      <c r="G325">
        <f t="shared" si="8"/>
        <v>205</v>
      </c>
      <c r="H325" t="s">
        <v>462</v>
      </c>
      <c r="I325" t="s">
        <v>830</v>
      </c>
      <c r="J325">
        <v>-25.6175</v>
      </c>
      <c r="K325">
        <v>134.92277777999999</v>
      </c>
      <c r="L325" t="s">
        <v>831</v>
      </c>
      <c r="M325" s="33" t="s">
        <v>2067</v>
      </c>
      <c r="N325" s="32">
        <v>6.9999999999999999E-4</v>
      </c>
      <c r="O325" s="32">
        <v>1.339</v>
      </c>
      <c r="P325" s="32">
        <v>5.3639999999999999</v>
      </c>
      <c r="Q325" t="s">
        <v>890</v>
      </c>
    </row>
    <row r="326" spans="1:19">
      <c r="A326" s="9" t="s">
        <v>473</v>
      </c>
      <c r="B326" t="s">
        <v>422</v>
      </c>
      <c r="D326">
        <v>1</v>
      </c>
      <c r="E326" s="1">
        <v>42816</v>
      </c>
      <c r="F326" s="1">
        <v>43017</v>
      </c>
      <c r="G326">
        <f t="shared" si="8"/>
        <v>201</v>
      </c>
      <c r="H326" t="s">
        <v>417</v>
      </c>
      <c r="I326" t="s">
        <v>418</v>
      </c>
      <c r="J326">
        <v>-26.284722200000001</v>
      </c>
      <c r="K326">
        <v>136.09805556000001</v>
      </c>
      <c r="L326" t="s">
        <v>419</v>
      </c>
      <c r="M326" s="33" t="s">
        <v>1822</v>
      </c>
      <c r="N326" s="32">
        <v>2.8999999999999998E-3</v>
      </c>
      <c r="O326" s="32">
        <v>2.0819999999999999</v>
      </c>
      <c r="P326" s="35">
        <v>9.2560000000000002</v>
      </c>
      <c r="Q326" t="s">
        <v>890</v>
      </c>
    </row>
    <row r="327" spans="1:19">
      <c r="A327" t="s">
        <v>852</v>
      </c>
      <c r="B327" t="s">
        <v>829</v>
      </c>
      <c r="D327">
        <v>7</v>
      </c>
      <c r="E327" s="1">
        <v>42812</v>
      </c>
      <c r="F327" s="1">
        <v>43017</v>
      </c>
      <c r="G327">
        <f t="shared" si="8"/>
        <v>205</v>
      </c>
      <c r="H327" t="s">
        <v>462</v>
      </c>
      <c r="I327" t="s">
        <v>830</v>
      </c>
      <c r="J327">
        <v>-25.6175</v>
      </c>
      <c r="K327">
        <v>134.92277777999999</v>
      </c>
      <c r="L327" t="s">
        <v>831</v>
      </c>
      <c r="M327" s="33" t="s">
        <v>2068</v>
      </c>
      <c r="N327" s="32">
        <v>5.0000000000000001E-4</v>
      </c>
      <c r="O327" s="35">
        <v>1.44</v>
      </c>
      <c r="P327" s="32">
        <v>6.4160000000000004</v>
      </c>
      <c r="Q327" t="s">
        <v>890</v>
      </c>
    </row>
    <row r="328" spans="1:19">
      <c r="A328" t="s">
        <v>853</v>
      </c>
      <c r="B328" t="s">
        <v>829</v>
      </c>
      <c r="D328">
        <v>7</v>
      </c>
      <c r="E328" s="1">
        <v>42812</v>
      </c>
      <c r="F328" s="1">
        <v>43017</v>
      </c>
      <c r="G328">
        <f t="shared" si="8"/>
        <v>205</v>
      </c>
      <c r="H328" t="s">
        <v>462</v>
      </c>
      <c r="I328" t="s">
        <v>830</v>
      </c>
      <c r="J328">
        <v>-25.6175</v>
      </c>
      <c r="K328">
        <v>134.92277777999999</v>
      </c>
      <c r="L328" t="s">
        <v>831</v>
      </c>
      <c r="M328" s="33" t="s">
        <v>2069</v>
      </c>
      <c r="N328" s="32">
        <v>5.9999999999999995E-4</v>
      </c>
      <c r="O328" s="35">
        <v>1.425</v>
      </c>
      <c r="P328" s="32">
        <v>5.7210000000000001</v>
      </c>
      <c r="Q328" t="s">
        <v>890</v>
      </c>
    </row>
    <row r="329" spans="1:19">
      <c r="A329" t="s">
        <v>854</v>
      </c>
      <c r="B329" t="s">
        <v>829</v>
      </c>
      <c r="D329">
        <v>7</v>
      </c>
      <c r="E329" s="1">
        <v>42812</v>
      </c>
      <c r="F329" s="1">
        <v>43017</v>
      </c>
      <c r="G329">
        <f t="shared" si="8"/>
        <v>205</v>
      </c>
      <c r="H329" t="s">
        <v>462</v>
      </c>
      <c r="I329" t="s">
        <v>830</v>
      </c>
      <c r="J329">
        <v>-25.6175</v>
      </c>
      <c r="K329">
        <v>134.92277777999999</v>
      </c>
      <c r="L329" t="s">
        <v>831</v>
      </c>
      <c r="M329" s="33" t="s">
        <v>2070</v>
      </c>
      <c r="N329" s="32">
        <v>2.9999999999999997E-4</v>
      </c>
      <c r="O329" s="32">
        <v>1.337</v>
      </c>
      <c r="P329" s="32">
        <v>7.827</v>
      </c>
      <c r="Q329" t="s">
        <v>890</v>
      </c>
    </row>
    <row r="330" spans="1:19">
      <c r="A330" t="s">
        <v>855</v>
      </c>
      <c r="B330" t="s">
        <v>829</v>
      </c>
      <c r="D330">
        <v>7</v>
      </c>
      <c r="E330" s="1">
        <v>42812</v>
      </c>
      <c r="F330" s="1">
        <v>43017</v>
      </c>
      <c r="G330">
        <f t="shared" ref="G330:G374" si="9">F330-E330</f>
        <v>205</v>
      </c>
      <c r="H330" t="s">
        <v>462</v>
      </c>
      <c r="I330" t="s">
        <v>830</v>
      </c>
      <c r="J330">
        <v>-25.6175</v>
      </c>
      <c r="K330">
        <v>134.92277777999999</v>
      </c>
      <c r="L330" t="s">
        <v>831</v>
      </c>
      <c r="M330" s="33" t="s">
        <v>2071</v>
      </c>
      <c r="N330" s="32">
        <v>8.9999999999999998E-4</v>
      </c>
      <c r="O330" s="32">
        <v>1.5509999999999999</v>
      </c>
      <c r="P330" s="32">
        <v>8.23</v>
      </c>
      <c r="Q330" t="s">
        <v>890</v>
      </c>
    </row>
    <row r="331" spans="1:19">
      <c r="A331" t="s">
        <v>856</v>
      </c>
      <c r="B331" t="s">
        <v>829</v>
      </c>
      <c r="D331">
        <v>7</v>
      </c>
      <c r="E331" s="1">
        <v>42812</v>
      </c>
      <c r="F331" s="1">
        <v>43017</v>
      </c>
      <c r="G331">
        <f t="shared" si="9"/>
        <v>205</v>
      </c>
      <c r="H331" t="s">
        <v>462</v>
      </c>
      <c r="I331" t="s">
        <v>830</v>
      </c>
      <c r="J331">
        <v>-25.6175</v>
      </c>
      <c r="K331">
        <v>134.92277777999999</v>
      </c>
      <c r="L331" t="s">
        <v>831</v>
      </c>
      <c r="M331" s="33" t="s">
        <v>2072</v>
      </c>
      <c r="N331" s="32">
        <v>5.0000000000000001E-4</v>
      </c>
      <c r="O331" s="32">
        <v>1.4139999999999999</v>
      </c>
      <c r="P331" s="32">
        <v>5.4480000000000004</v>
      </c>
      <c r="Q331" t="s">
        <v>890</v>
      </c>
    </row>
    <row r="332" spans="1:19">
      <c r="A332" t="s">
        <v>857</v>
      </c>
      <c r="B332" t="s">
        <v>829</v>
      </c>
      <c r="D332">
        <v>7</v>
      </c>
      <c r="E332" s="1">
        <v>42812</v>
      </c>
      <c r="F332" s="1">
        <v>43017</v>
      </c>
      <c r="G332">
        <f t="shared" si="9"/>
        <v>205</v>
      </c>
      <c r="H332" t="s">
        <v>462</v>
      </c>
      <c r="I332" t="s">
        <v>830</v>
      </c>
      <c r="J332">
        <v>-25.6175</v>
      </c>
      <c r="K332">
        <v>134.92277777999999</v>
      </c>
      <c r="L332" t="s">
        <v>831</v>
      </c>
      <c r="M332" s="33" t="s">
        <v>2073</v>
      </c>
      <c r="N332" s="32">
        <v>1E-3</v>
      </c>
      <c r="O332" s="32">
        <v>1.5269999999999999</v>
      </c>
      <c r="P332" s="32">
        <v>7.4249999999999998</v>
      </c>
      <c r="Q332" t="s">
        <v>890</v>
      </c>
    </row>
    <row r="333" spans="1:19">
      <c r="A333" t="s">
        <v>858</v>
      </c>
      <c r="B333" t="s">
        <v>829</v>
      </c>
      <c r="D333">
        <v>7</v>
      </c>
      <c r="E333" s="1">
        <v>42812</v>
      </c>
      <c r="F333" s="1">
        <v>43017</v>
      </c>
      <c r="G333">
        <f t="shared" si="9"/>
        <v>205</v>
      </c>
      <c r="H333" t="s">
        <v>462</v>
      </c>
      <c r="I333" t="s">
        <v>830</v>
      </c>
      <c r="J333">
        <v>-25.6175</v>
      </c>
      <c r="K333">
        <v>134.92277777999999</v>
      </c>
      <c r="L333" t="s">
        <v>831</v>
      </c>
      <c r="M333" s="33" t="s">
        <v>2074</v>
      </c>
      <c r="N333" s="32">
        <v>5.9999999999999995E-4</v>
      </c>
      <c r="O333" s="32">
        <v>1.6120000000000001</v>
      </c>
      <c r="P333" s="32">
        <v>6.2839999999999998</v>
      </c>
      <c r="Q333" t="s">
        <v>890</v>
      </c>
    </row>
    <row r="334" spans="1:19" s="43" customFormat="1">
      <c r="A334" t="s">
        <v>859</v>
      </c>
      <c r="B334" t="s">
        <v>829</v>
      </c>
      <c r="C334"/>
      <c r="D334">
        <v>7</v>
      </c>
      <c r="E334" s="1">
        <v>42812</v>
      </c>
      <c r="F334" s="1">
        <v>43017</v>
      </c>
      <c r="G334">
        <f t="shared" si="9"/>
        <v>205</v>
      </c>
      <c r="H334" t="s">
        <v>462</v>
      </c>
      <c r="I334" t="s">
        <v>830</v>
      </c>
      <c r="J334">
        <v>-25.6175</v>
      </c>
      <c r="K334">
        <v>134.92277777999999</v>
      </c>
      <c r="L334" t="s">
        <v>831</v>
      </c>
      <c r="M334" s="33" t="s">
        <v>2075</v>
      </c>
      <c r="N334" s="32">
        <v>1E-3</v>
      </c>
      <c r="O334" s="32">
        <v>1.49</v>
      </c>
      <c r="P334" s="32">
        <v>6.1520000000000001</v>
      </c>
      <c r="Q334" t="s">
        <v>890</v>
      </c>
      <c r="R334"/>
      <c r="S334"/>
    </row>
    <row r="335" spans="1:19">
      <c r="A335" t="s">
        <v>860</v>
      </c>
      <c r="B335" t="s">
        <v>829</v>
      </c>
      <c r="D335">
        <v>7</v>
      </c>
      <c r="E335" s="1">
        <v>42812</v>
      </c>
      <c r="F335" s="1">
        <v>43017</v>
      </c>
      <c r="G335">
        <f t="shared" si="9"/>
        <v>205</v>
      </c>
      <c r="H335" t="s">
        <v>462</v>
      </c>
      <c r="I335" t="s">
        <v>830</v>
      </c>
      <c r="J335">
        <v>-25.6175</v>
      </c>
      <c r="K335">
        <v>134.92277777999999</v>
      </c>
      <c r="L335" t="s">
        <v>831</v>
      </c>
      <c r="M335" s="33" t="s">
        <v>2076</v>
      </c>
      <c r="N335" s="32">
        <v>6.9999999999999999E-4</v>
      </c>
      <c r="O335" s="32">
        <v>1.3420000000000001</v>
      </c>
      <c r="P335" s="32">
        <v>5.7480000000000002</v>
      </c>
      <c r="Q335" t="s">
        <v>890</v>
      </c>
    </row>
    <row r="336" spans="1:19" s="43" customFormat="1">
      <c r="A336" t="s">
        <v>861</v>
      </c>
      <c r="B336" t="s">
        <v>829</v>
      </c>
      <c r="C336"/>
      <c r="D336">
        <v>7</v>
      </c>
      <c r="E336" s="1">
        <v>42812</v>
      </c>
      <c r="F336" s="1">
        <v>43017</v>
      </c>
      <c r="G336">
        <f t="shared" si="9"/>
        <v>205</v>
      </c>
      <c r="H336" t="s">
        <v>462</v>
      </c>
      <c r="I336" t="s">
        <v>830</v>
      </c>
      <c r="J336">
        <v>-25.6175</v>
      </c>
      <c r="K336">
        <v>134.92277777999999</v>
      </c>
      <c r="L336" t="s">
        <v>831</v>
      </c>
      <c r="M336" s="33" t="s">
        <v>2077</v>
      </c>
      <c r="N336" s="32">
        <v>8.0000000000000004E-4</v>
      </c>
      <c r="O336" s="32">
        <v>1.3759999999999999</v>
      </c>
      <c r="P336" s="32">
        <v>6.0919999999999996</v>
      </c>
      <c r="Q336" t="s">
        <v>890</v>
      </c>
      <c r="R336"/>
      <c r="S336"/>
    </row>
    <row r="337" spans="1:19">
      <c r="A337" s="9" t="s">
        <v>474</v>
      </c>
      <c r="B337" t="s">
        <v>422</v>
      </c>
      <c r="D337">
        <v>1</v>
      </c>
      <c r="E337" s="1">
        <v>42816</v>
      </c>
      <c r="F337" s="1">
        <v>43017</v>
      </c>
      <c r="G337">
        <f t="shared" si="9"/>
        <v>201</v>
      </c>
      <c r="H337" t="s">
        <v>417</v>
      </c>
      <c r="I337" t="s">
        <v>418</v>
      </c>
      <c r="J337">
        <v>-26.284722200000001</v>
      </c>
      <c r="K337">
        <v>136.09805556000001</v>
      </c>
      <c r="L337" t="s">
        <v>419</v>
      </c>
      <c r="M337" s="33" t="s">
        <v>1823</v>
      </c>
      <c r="N337" s="32">
        <v>2.8E-3</v>
      </c>
      <c r="O337" s="32">
        <v>2.1749999999999998</v>
      </c>
      <c r="P337" s="35">
        <v>8.8640000000000008</v>
      </c>
      <c r="Q337" t="s">
        <v>890</v>
      </c>
    </row>
    <row r="338" spans="1:19">
      <c r="A338" t="s">
        <v>862</v>
      </c>
      <c r="B338" t="s">
        <v>829</v>
      </c>
      <c r="D338">
        <v>7</v>
      </c>
      <c r="E338" s="1">
        <v>42812</v>
      </c>
      <c r="F338" s="1">
        <v>43017</v>
      </c>
      <c r="G338">
        <f t="shared" si="9"/>
        <v>205</v>
      </c>
      <c r="H338" t="s">
        <v>462</v>
      </c>
      <c r="I338" t="s">
        <v>830</v>
      </c>
      <c r="J338">
        <v>-25.6175</v>
      </c>
      <c r="K338">
        <v>134.92277777999999</v>
      </c>
      <c r="L338" t="s">
        <v>831</v>
      </c>
      <c r="M338" s="33" t="s">
        <v>2078</v>
      </c>
      <c r="N338" s="32">
        <v>2.9999999999999997E-4</v>
      </c>
      <c r="O338" s="32">
        <v>1.5609999999999999</v>
      </c>
      <c r="P338" s="32">
        <v>7.6550000000000002</v>
      </c>
      <c r="Q338" t="s">
        <v>890</v>
      </c>
    </row>
    <row r="339" spans="1:19">
      <c r="A339" t="s">
        <v>863</v>
      </c>
      <c r="B339" t="s">
        <v>829</v>
      </c>
      <c r="D339">
        <v>7</v>
      </c>
      <c r="E339" s="1">
        <v>42812</v>
      </c>
      <c r="F339" s="1">
        <v>43017</v>
      </c>
      <c r="G339">
        <f t="shared" si="9"/>
        <v>205</v>
      </c>
      <c r="H339" t="s">
        <v>462</v>
      </c>
      <c r="I339" t="s">
        <v>830</v>
      </c>
      <c r="J339">
        <v>-25.6175</v>
      </c>
      <c r="K339">
        <v>134.92277777999999</v>
      </c>
      <c r="L339" t="s">
        <v>831</v>
      </c>
      <c r="M339" s="33" t="s">
        <v>2079</v>
      </c>
      <c r="N339" s="32">
        <v>5.0000000000000001E-4</v>
      </c>
      <c r="O339" s="32">
        <v>1.1559999999999999</v>
      </c>
      <c r="P339" s="32">
        <v>5.2709999999999999</v>
      </c>
      <c r="Q339" t="s">
        <v>890</v>
      </c>
    </row>
    <row r="340" spans="1:19">
      <c r="A340" t="s">
        <v>864</v>
      </c>
      <c r="B340" t="s">
        <v>829</v>
      </c>
      <c r="D340">
        <v>7</v>
      </c>
      <c r="E340" s="1">
        <v>42812</v>
      </c>
      <c r="F340" s="1">
        <v>43017</v>
      </c>
      <c r="G340">
        <f t="shared" si="9"/>
        <v>205</v>
      </c>
      <c r="H340" t="s">
        <v>462</v>
      </c>
      <c r="I340" t="s">
        <v>830</v>
      </c>
      <c r="J340">
        <v>-25.6175</v>
      </c>
      <c r="K340">
        <v>134.92277777999999</v>
      </c>
      <c r="L340" t="s">
        <v>831</v>
      </c>
      <c r="M340" s="33" t="s">
        <v>2080</v>
      </c>
      <c r="N340" s="32">
        <v>8.9999999999999998E-4</v>
      </c>
      <c r="O340" s="32">
        <v>1.2310000000000001</v>
      </c>
      <c r="P340" s="32">
        <v>6.8479999999999999</v>
      </c>
      <c r="Q340" t="s">
        <v>890</v>
      </c>
    </row>
    <row r="341" spans="1:19">
      <c r="A341" t="s">
        <v>865</v>
      </c>
      <c r="B341" t="s">
        <v>829</v>
      </c>
      <c r="D341">
        <v>7</v>
      </c>
      <c r="E341" s="1">
        <v>42812</v>
      </c>
      <c r="F341" s="1">
        <v>43017</v>
      </c>
      <c r="G341">
        <f t="shared" si="9"/>
        <v>205</v>
      </c>
      <c r="H341" t="s">
        <v>462</v>
      </c>
      <c r="I341" t="s">
        <v>830</v>
      </c>
      <c r="J341">
        <v>-25.6175</v>
      </c>
      <c r="K341">
        <v>134.92277777999999</v>
      </c>
      <c r="L341" t="s">
        <v>831</v>
      </c>
      <c r="M341" s="33" t="s">
        <v>2081</v>
      </c>
      <c r="N341" s="32">
        <v>6.9999999999999999E-4</v>
      </c>
      <c r="O341" s="32">
        <v>1.2410000000000001</v>
      </c>
      <c r="P341" s="32">
        <v>5.702</v>
      </c>
      <c r="Q341" t="s">
        <v>890</v>
      </c>
    </row>
    <row r="342" spans="1:19">
      <c r="A342" t="s">
        <v>866</v>
      </c>
      <c r="B342" t="s">
        <v>829</v>
      </c>
      <c r="D342">
        <v>7</v>
      </c>
      <c r="E342" s="1">
        <v>42812</v>
      </c>
      <c r="F342" s="1">
        <v>43017</v>
      </c>
      <c r="G342">
        <f t="shared" si="9"/>
        <v>205</v>
      </c>
      <c r="H342" t="s">
        <v>462</v>
      </c>
      <c r="I342" t="s">
        <v>830</v>
      </c>
      <c r="J342">
        <v>-25.6175</v>
      </c>
      <c r="K342">
        <v>134.92277777999999</v>
      </c>
      <c r="L342" t="s">
        <v>831</v>
      </c>
      <c r="M342" s="33" t="s">
        <v>2082</v>
      </c>
      <c r="N342" s="32">
        <v>6.9999999999999999E-4</v>
      </c>
      <c r="O342" s="32">
        <v>1.25</v>
      </c>
      <c r="P342" s="32">
        <v>5.6120000000000001</v>
      </c>
      <c r="Q342" t="s">
        <v>890</v>
      </c>
    </row>
    <row r="343" spans="1:19">
      <c r="A343" t="s">
        <v>867</v>
      </c>
      <c r="B343" t="s">
        <v>868</v>
      </c>
      <c r="D343">
        <v>4</v>
      </c>
      <c r="E343" s="1">
        <v>42811</v>
      </c>
      <c r="F343" s="1">
        <v>43017</v>
      </c>
      <c r="G343">
        <f t="shared" si="9"/>
        <v>206</v>
      </c>
      <c r="H343" t="s">
        <v>417</v>
      </c>
      <c r="I343" t="s">
        <v>564</v>
      </c>
      <c r="J343">
        <v>-25.999166670000001</v>
      </c>
      <c r="K343">
        <v>135.33250000000001</v>
      </c>
      <c r="L343" t="s">
        <v>419</v>
      </c>
      <c r="M343" s="36" t="s">
        <v>1793</v>
      </c>
      <c r="N343" s="32">
        <v>8.7279999999999996E-3</v>
      </c>
      <c r="O343" s="35">
        <v>3.2869999999999999</v>
      </c>
      <c r="P343" s="35">
        <v>13.284000000000001</v>
      </c>
      <c r="Q343" s="20" t="s">
        <v>2094</v>
      </c>
    </row>
    <row r="344" spans="1:19">
      <c r="A344" t="s">
        <v>869</v>
      </c>
      <c r="B344" t="s">
        <v>868</v>
      </c>
      <c r="D344">
        <v>4</v>
      </c>
      <c r="E344" s="1">
        <v>42811</v>
      </c>
      <c r="F344" s="1">
        <v>43017</v>
      </c>
      <c r="G344">
        <f t="shared" si="9"/>
        <v>206</v>
      </c>
      <c r="H344" t="s">
        <v>417</v>
      </c>
      <c r="I344" t="s">
        <v>564</v>
      </c>
      <c r="J344">
        <v>-25.999166670000001</v>
      </c>
      <c r="K344">
        <v>135.33250000000001</v>
      </c>
      <c r="L344" t="s">
        <v>419</v>
      </c>
      <c r="M344" s="36" t="s">
        <v>1794</v>
      </c>
      <c r="N344" s="32">
        <v>2.8328000000000006E-2</v>
      </c>
      <c r="O344" s="35">
        <v>5.016</v>
      </c>
      <c r="P344" s="35">
        <v>18.111999999999998</v>
      </c>
      <c r="Q344" s="20" t="s">
        <v>2094</v>
      </c>
    </row>
    <row r="345" spans="1:19">
      <c r="A345" t="s">
        <v>870</v>
      </c>
      <c r="B345" t="s">
        <v>868</v>
      </c>
      <c r="D345">
        <v>4</v>
      </c>
      <c r="E345" s="1">
        <v>42811</v>
      </c>
      <c r="F345" s="1">
        <v>43017</v>
      </c>
      <c r="G345">
        <f t="shared" si="9"/>
        <v>206</v>
      </c>
      <c r="H345" t="s">
        <v>417</v>
      </c>
      <c r="I345" t="s">
        <v>564</v>
      </c>
      <c r="J345">
        <v>-25.999166670000001</v>
      </c>
      <c r="K345">
        <v>135.33250000000001</v>
      </c>
      <c r="L345" t="s">
        <v>419</v>
      </c>
      <c r="M345" s="36" t="s">
        <v>1795</v>
      </c>
      <c r="N345" s="32">
        <v>3.0328000000000008E-2</v>
      </c>
      <c r="O345" s="35">
        <v>4.931</v>
      </c>
      <c r="P345" s="35">
        <v>20.059999999999999</v>
      </c>
      <c r="Q345" s="20" t="s">
        <v>2094</v>
      </c>
    </row>
    <row r="346" spans="1:19">
      <c r="A346" t="s">
        <v>871</v>
      </c>
      <c r="B346" t="s">
        <v>868</v>
      </c>
      <c r="D346">
        <v>4</v>
      </c>
      <c r="E346" s="1">
        <v>42811</v>
      </c>
      <c r="F346" s="1">
        <v>43017</v>
      </c>
      <c r="G346">
        <f t="shared" si="9"/>
        <v>206</v>
      </c>
      <c r="H346" t="s">
        <v>417</v>
      </c>
      <c r="I346" t="s">
        <v>564</v>
      </c>
      <c r="J346">
        <v>-25.999166670000001</v>
      </c>
      <c r="K346">
        <v>135.33250000000001</v>
      </c>
      <c r="L346" t="s">
        <v>419</v>
      </c>
      <c r="M346" s="36" t="s">
        <v>1796</v>
      </c>
      <c r="N346" s="32">
        <v>1.4928000000000004E-2</v>
      </c>
      <c r="O346" s="32">
        <v>3.49</v>
      </c>
      <c r="P346" s="32">
        <v>16.483000000000001</v>
      </c>
      <c r="Q346" s="20" t="s">
        <v>2094</v>
      </c>
    </row>
    <row r="347" spans="1:19">
      <c r="A347" t="s">
        <v>872</v>
      </c>
      <c r="B347" t="s">
        <v>868</v>
      </c>
      <c r="D347">
        <v>4</v>
      </c>
      <c r="E347" s="1">
        <v>42811</v>
      </c>
      <c r="F347" s="1">
        <v>43017</v>
      </c>
      <c r="G347">
        <f t="shared" si="9"/>
        <v>206</v>
      </c>
      <c r="H347" t="s">
        <v>417</v>
      </c>
      <c r="I347" t="s">
        <v>564</v>
      </c>
      <c r="J347">
        <v>-25.999166670000001</v>
      </c>
      <c r="K347">
        <v>135.33250000000001</v>
      </c>
      <c r="L347" t="s">
        <v>419</v>
      </c>
      <c r="M347" s="33" t="s">
        <v>2083</v>
      </c>
      <c r="N347" s="32">
        <v>4.1000000000000003E-3</v>
      </c>
      <c r="O347" s="32">
        <v>2.3460000000000001</v>
      </c>
      <c r="P347" s="32">
        <v>10.272</v>
      </c>
      <c r="Q347" t="s">
        <v>890</v>
      </c>
    </row>
    <row r="348" spans="1:19">
      <c r="A348" s="9" t="s">
        <v>475</v>
      </c>
      <c r="B348" t="s">
        <v>422</v>
      </c>
      <c r="D348">
        <v>1</v>
      </c>
      <c r="E348" s="1">
        <v>42816</v>
      </c>
      <c r="F348" s="1">
        <v>43017</v>
      </c>
      <c r="G348">
        <f t="shared" si="9"/>
        <v>201</v>
      </c>
      <c r="H348" t="s">
        <v>417</v>
      </c>
      <c r="I348" t="s">
        <v>418</v>
      </c>
      <c r="J348">
        <v>-26.284722200000001</v>
      </c>
      <c r="K348">
        <v>136.09805556000001</v>
      </c>
      <c r="L348" t="s">
        <v>419</v>
      </c>
      <c r="M348" s="36" t="s">
        <v>1775</v>
      </c>
      <c r="N348" s="32">
        <v>1.5028E-2</v>
      </c>
      <c r="O348" s="35">
        <v>3.903</v>
      </c>
      <c r="P348" s="35">
        <v>16.472999999999999</v>
      </c>
      <c r="Q348" s="20" t="s">
        <v>2094</v>
      </c>
    </row>
    <row r="349" spans="1:19" s="43" customFormat="1">
      <c r="A349" t="s">
        <v>873</v>
      </c>
      <c r="B349" t="s">
        <v>868</v>
      </c>
      <c r="C349"/>
      <c r="D349">
        <v>4</v>
      </c>
      <c r="E349" s="1">
        <v>42811</v>
      </c>
      <c r="F349" s="1">
        <v>43017</v>
      </c>
      <c r="G349">
        <f t="shared" si="9"/>
        <v>206</v>
      </c>
      <c r="H349" t="s">
        <v>417</v>
      </c>
      <c r="I349" t="s">
        <v>564</v>
      </c>
      <c r="J349">
        <v>-25.999166670000001</v>
      </c>
      <c r="K349">
        <v>135.33250000000001</v>
      </c>
      <c r="L349" t="s">
        <v>419</v>
      </c>
      <c r="M349" s="36" t="s">
        <v>1797</v>
      </c>
      <c r="N349" s="32">
        <v>1.9928000000000001E-2</v>
      </c>
      <c r="O349" s="35">
        <v>4.7439999999999998</v>
      </c>
      <c r="P349" s="35">
        <v>18.989999999999998</v>
      </c>
      <c r="Q349" s="20" t="s">
        <v>2094</v>
      </c>
      <c r="R349"/>
      <c r="S349"/>
    </row>
    <row r="350" spans="1:19">
      <c r="A350" t="s">
        <v>874</v>
      </c>
      <c r="B350" t="s">
        <v>868</v>
      </c>
      <c r="D350">
        <v>4</v>
      </c>
      <c r="E350" s="1">
        <v>42811</v>
      </c>
      <c r="F350" s="1">
        <v>43017</v>
      </c>
      <c r="G350">
        <f t="shared" si="9"/>
        <v>206</v>
      </c>
      <c r="H350" t="s">
        <v>417</v>
      </c>
      <c r="I350" t="s">
        <v>564</v>
      </c>
      <c r="J350">
        <v>-25.999166670000001</v>
      </c>
      <c r="K350">
        <v>135.33250000000001</v>
      </c>
      <c r="L350" t="s">
        <v>419</v>
      </c>
      <c r="M350" s="36" t="s">
        <v>1798</v>
      </c>
      <c r="N350" s="32">
        <v>3.1028E-2</v>
      </c>
      <c r="O350" s="32">
        <v>5.476</v>
      </c>
      <c r="P350" s="32">
        <v>19.533999999999999</v>
      </c>
      <c r="Q350" s="20" t="s">
        <v>2094</v>
      </c>
    </row>
    <row r="351" spans="1:19">
      <c r="A351" t="s">
        <v>875</v>
      </c>
      <c r="B351" t="s">
        <v>868</v>
      </c>
      <c r="D351">
        <v>4</v>
      </c>
      <c r="E351" s="1">
        <v>42811</v>
      </c>
      <c r="F351" s="1">
        <v>43017</v>
      </c>
      <c r="G351">
        <f t="shared" si="9"/>
        <v>206</v>
      </c>
      <c r="H351" t="s">
        <v>417</v>
      </c>
      <c r="I351" t="s">
        <v>564</v>
      </c>
      <c r="J351">
        <v>-25.999166670000001</v>
      </c>
      <c r="K351">
        <v>135.33250000000001</v>
      </c>
      <c r="L351" t="s">
        <v>419</v>
      </c>
      <c r="M351" s="36" t="s">
        <v>1799</v>
      </c>
      <c r="N351" s="32">
        <v>1.3128000000000001E-2</v>
      </c>
      <c r="O351" s="35">
        <v>3.4740000000000002</v>
      </c>
      <c r="P351" s="35">
        <v>15.356</v>
      </c>
      <c r="Q351" s="20" t="s">
        <v>2094</v>
      </c>
    </row>
    <row r="352" spans="1:19">
      <c r="A352" t="s">
        <v>876</v>
      </c>
      <c r="B352" t="s">
        <v>868</v>
      </c>
      <c r="D352">
        <v>4</v>
      </c>
      <c r="E352" s="1">
        <v>42811</v>
      </c>
      <c r="F352" s="1">
        <v>43017</v>
      </c>
      <c r="G352">
        <f t="shared" si="9"/>
        <v>206</v>
      </c>
      <c r="H352" t="s">
        <v>417</v>
      </c>
      <c r="I352" t="s">
        <v>564</v>
      </c>
      <c r="J352">
        <v>-25.999166670000001</v>
      </c>
      <c r="K352">
        <v>135.33250000000001</v>
      </c>
      <c r="L352" t="s">
        <v>419</v>
      </c>
      <c r="M352" s="36" t="s">
        <v>1800</v>
      </c>
      <c r="N352" s="32">
        <v>2.3028E-2</v>
      </c>
      <c r="O352" s="35">
        <v>4.3620000000000001</v>
      </c>
      <c r="P352" s="35">
        <v>16.385999999999999</v>
      </c>
      <c r="Q352" s="20" t="s">
        <v>2094</v>
      </c>
    </row>
    <row r="353" spans="1:19">
      <c r="A353" t="s">
        <v>877</v>
      </c>
      <c r="B353" t="s">
        <v>868</v>
      </c>
      <c r="D353">
        <v>4</v>
      </c>
      <c r="E353" s="1">
        <v>42811</v>
      </c>
      <c r="F353" s="1">
        <v>43017</v>
      </c>
      <c r="G353">
        <f t="shared" si="9"/>
        <v>206</v>
      </c>
      <c r="H353" t="s">
        <v>417</v>
      </c>
      <c r="I353" t="s">
        <v>564</v>
      </c>
      <c r="J353">
        <v>-25.999166670000001</v>
      </c>
      <c r="K353">
        <v>135.33250000000001</v>
      </c>
      <c r="L353" t="s">
        <v>419</v>
      </c>
      <c r="M353" s="33" t="s">
        <v>2084</v>
      </c>
      <c r="N353" s="32">
        <v>4.7999999999999996E-3</v>
      </c>
      <c r="O353" s="32">
        <v>2.492</v>
      </c>
      <c r="P353" s="32">
        <v>11.285</v>
      </c>
      <c r="Q353" t="s">
        <v>890</v>
      </c>
    </row>
    <row r="354" spans="1:19">
      <c r="A354" t="s">
        <v>878</v>
      </c>
      <c r="B354" t="s">
        <v>868</v>
      </c>
      <c r="D354">
        <v>4</v>
      </c>
      <c r="E354" s="1">
        <v>42811</v>
      </c>
      <c r="F354" s="1">
        <v>43017</v>
      </c>
      <c r="G354">
        <f t="shared" si="9"/>
        <v>206</v>
      </c>
      <c r="H354" t="s">
        <v>417</v>
      </c>
      <c r="I354" t="s">
        <v>564</v>
      </c>
      <c r="J354">
        <v>-25.999166670000001</v>
      </c>
      <c r="K354">
        <v>135.33250000000001</v>
      </c>
      <c r="L354" t="s">
        <v>419</v>
      </c>
      <c r="M354" s="33" t="s">
        <v>2085</v>
      </c>
      <c r="N354" s="32">
        <v>3.5000000000000001E-3</v>
      </c>
      <c r="O354" s="32">
        <v>2.2120000000000002</v>
      </c>
      <c r="P354" s="32">
        <v>9.1470000000000002</v>
      </c>
      <c r="Q354" t="s">
        <v>890</v>
      </c>
    </row>
    <row r="355" spans="1:19">
      <c r="A355" t="s">
        <v>879</v>
      </c>
      <c r="B355" t="s">
        <v>868</v>
      </c>
      <c r="D355">
        <v>4</v>
      </c>
      <c r="E355" s="1">
        <v>42811</v>
      </c>
      <c r="F355" s="1">
        <v>43017</v>
      </c>
      <c r="G355">
        <f t="shared" si="9"/>
        <v>206</v>
      </c>
      <c r="H355" t="s">
        <v>417</v>
      </c>
      <c r="I355" t="s">
        <v>564</v>
      </c>
      <c r="J355">
        <v>-25.999166670000001</v>
      </c>
      <c r="K355">
        <v>135.33250000000001</v>
      </c>
      <c r="L355" t="s">
        <v>419</v>
      </c>
      <c r="M355" s="33" t="s">
        <v>2086</v>
      </c>
      <c r="N355" s="32">
        <v>3.0000000000000001E-3</v>
      </c>
      <c r="O355" s="32">
        <v>2.4209999999999998</v>
      </c>
      <c r="P355" s="32">
        <v>10.018000000000001</v>
      </c>
      <c r="Q355" t="s">
        <v>890</v>
      </c>
    </row>
    <row r="356" spans="1:19">
      <c r="A356" t="s">
        <v>880</v>
      </c>
      <c r="B356" t="s">
        <v>868</v>
      </c>
      <c r="D356">
        <v>4</v>
      </c>
      <c r="E356" s="1">
        <v>42811</v>
      </c>
      <c r="F356" s="1">
        <v>43017</v>
      </c>
      <c r="G356">
        <f t="shared" si="9"/>
        <v>206</v>
      </c>
      <c r="H356" t="s">
        <v>417</v>
      </c>
      <c r="I356" t="s">
        <v>564</v>
      </c>
      <c r="J356">
        <v>-25.999166670000001</v>
      </c>
      <c r="K356">
        <v>135.33250000000001</v>
      </c>
      <c r="L356" t="s">
        <v>419</v>
      </c>
      <c r="M356" s="36" t="s">
        <v>1801</v>
      </c>
      <c r="N356" s="32">
        <v>2.9527999999999999E-2</v>
      </c>
      <c r="O356" s="35">
        <v>4.8739999999999997</v>
      </c>
      <c r="P356" s="35">
        <v>18.385000000000002</v>
      </c>
      <c r="Q356" s="20" t="s">
        <v>2094</v>
      </c>
      <c r="R356" t="s">
        <v>2102</v>
      </c>
    </row>
    <row r="357" spans="1:19">
      <c r="A357" t="s">
        <v>881</v>
      </c>
      <c r="B357" t="s">
        <v>868</v>
      </c>
      <c r="D357">
        <v>4</v>
      </c>
      <c r="E357" s="1">
        <v>42811</v>
      </c>
      <c r="F357" s="1">
        <v>43017</v>
      </c>
      <c r="G357">
        <f t="shared" si="9"/>
        <v>206</v>
      </c>
      <c r="H357" t="s">
        <v>417</v>
      </c>
      <c r="I357" t="s">
        <v>564</v>
      </c>
      <c r="J357">
        <v>-25.999166670000001</v>
      </c>
      <c r="K357">
        <v>135.33250000000001</v>
      </c>
      <c r="L357" t="s">
        <v>419</v>
      </c>
      <c r="M357" s="33" t="s">
        <v>2087</v>
      </c>
      <c r="N357" s="32">
        <v>3.2000000000000002E-3</v>
      </c>
      <c r="O357" s="32">
        <v>2.1549999999999998</v>
      </c>
      <c r="P357" s="32">
        <v>9.7959999999999994</v>
      </c>
      <c r="Q357" t="s">
        <v>890</v>
      </c>
    </row>
    <row r="358" spans="1:19">
      <c r="A358" t="s">
        <v>882</v>
      </c>
      <c r="B358" t="s">
        <v>868</v>
      </c>
      <c r="D358">
        <v>4</v>
      </c>
      <c r="E358" s="1">
        <v>42811</v>
      </c>
      <c r="F358" s="1">
        <v>43017</v>
      </c>
      <c r="G358">
        <f t="shared" si="9"/>
        <v>206</v>
      </c>
      <c r="H358" t="s">
        <v>417</v>
      </c>
      <c r="I358" t="s">
        <v>564</v>
      </c>
      <c r="J358">
        <v>-25.999166670000001</v>
      </c>
      <c r="K358">
        <v>135.33250000000001</v>
      </c>
      <c r="L358" t="s">
        <v>419</v>
      </c>
      <c r="M358" s="33" t="s">
        <v>2088</v>
      </c>
      <c r="N358" s="32">
        <v>1.8E-3</v>
      </c>
      <c r="O358" s="32">
        <v>1.9930000000000001</v>
      </c>
      <c r="P358" s="32">
        <v>7.3159999999999998</v>
      </c>
      <c r="Q358" t="s">
        <v>890</v>
      </c>
    </row>
    <row r="359" spans="1:19">
      <c r="A359" s="9" t="s">
        <v>476</v>
      </c>
      <c r="B359" t="s">
        <v>422</v>
      </c>
      <c r="D359">
        <v>1</v>
      </c>
      <c r="E359" s="1">
        <v>42816</v>
      </c>
      <c r="F359" s="1">
        <v>43017</v>
      </c>
      <c r="G359">
        <f t="shared" si="9"/>
        <v>201</v>
      </c>
      <c r="H359" t="s">
        <v>417</v>
      </c>
      <c r="I359" t="s">
        <v>418</v>
      </c>
      <c r="J359">
        <v>-26.284722200000001</v>
      </c>
      <c r="K359">
        <v>136.09805556000001</v>
      </c>
      <c r="L359" t="s">
        <v>419</v>
      </c>
      <c r="M359" s="33" t="s">
        <v>1824</v>
      </c>
      <c r="N359" s="32">
        <v>3.0000000000000001E-3</v>
      </c>
      <c r="O359" s="32">
        <v>2.1389999999999998</v>
      </c>
      <c r="P359" s="35">
        <v>8.8309999999999995</v>
      </c>
      <c r="Q359" t="s">
        <v>890</v>
      </c>
    </row>
    <row r="360" spans="1:19">
      <c r="A360" t="s">
        <v>883</v>
      </c>
      <c r="B360" t="s">
        <v>868</v>
      </c>
      <c r="D360">
        <v>4</v>
      </c>
      <c r="E360" s="1">
        <v>42811</v>
      </c>
      <c r="F360" s="1">
        <v>43017</v>
      </c>
      <c r="G360">
        <f t="shared" si="9"/>
        <v>206</v>
      </c>
      <c r="H360" t="s">
        <v>417</v>
      </c>
      <c r="I360" t="s">
        <v>564</v>
      </c>
      <c r="J360">
        <v>-25.999166670000001</v>
      </c>
      <c r="K360">
        <v>135.33250000000001</v>
      </c>
      <c r="L360" t="s">
        <v>419</v>
      </c>
      <c r="M360" s="33" t="s">
        <v>2089</v>
      </c>
      <c r="N360" s="32">
        <v>3.7000000000000002E-3</v>
      </c>
      <c r="O360" s="32">
        <v>2.3410000000000002</v>
      </c>
      <c r="P360" s="32">
        <v>9.7479999999999993</v>
      </c>
      <c r="Q360" t="s">
        <v>890</v>
      </c>
    </row>
    <row r="361" spans="1:19" s="43" customFormat="1">
      <c r="A361" t="s">
        <v>884</v>
      </c>
      <c r="B361" t="s">
        <v>868</v>
      </c>
      <c r="C361"/>
      <c r="D361">
        <v>4</v>
      </c>
      <c r="E361" s="1">
        <v>42811</v>
      </c>
      <c r="F361" s="1">
        <v>43017</v>
      </c>
      <c r="G361">
        <f t="shared" si="9"/>
        <v>206</v>
      </c>
      <c r="H361" t="s">
        <v>417</v>
      </c>
      <c r="I361" t="s">
        <v>564</v>
      </c>
      <c r="J361">
        <v>-25.999166670000001</v>
      </c>
      <c r="K361">
        <v>135.33250000000001</v>
      </c>
      <c r="L361" t="s">
        <v>419</v>
      </c>
      <c r="M361" s="33" t="s">
        <v>2090</v>
      </c>
      <c r="N361" s="32">
        <v>4.1000000000000003E-3</v>
      </c>
      <c r="O361" s="32">
        <v>2.5249999999999999</v>
      </c>
      <c r="P361" s="32">
        <v>10.554</v>
      </c>
      <c r="Q361" t="s">
        <v>890</v>
      </c>
      <c r="R361"/>
      <c r="S361"/>
    </row>
    <row r="362" spans="1:19">
      <c r="A362" t="s">
        <v>2092</v>
      </c>
      <c r="B362" t="s">
        <v>868</v>
      </c>
      <c r="D362">
        <v>4</v>
      </c>
      <c r="E362" s="1">
        <v>42811</v>
      </c>
      <c r="F362" s="1">
        <v>43017</v>
      </c>
      <c r="G362">
        <f t="shared" si="9"/>
        <v>206</v>
      </c>
      <c r="H362" t="s">
        <v>417</v>
      </c>
      <c r="I362" t="s">
        <v>564</v>
      </c>
      <c r="J362">
        <v>-25.999166670000001</v>
      </c>
      <c r="K362">
        <v>135.33250000000001</v>
      </c>
      <c r="L362" t="s">
        <v>419</v>
      </c>
      <c r="M362" s="33" t="s">
        <v>2091</v>
      </c>
      <c r="N362" s="32">
        <v>2.9999999999999997E-4</v>
      </c>
      <c r="O362" s="35">
        <v>1.206</v>
      </c>
      <c r="P362" s="32">
        <v>4.8339999999999996</v>
      </c>
      <c r="Q362" t="s">
        <v>890</v>
      </c>
    </row>
    <row r="363" spans="1:19">
      <c r="A363" s="9" t="s">
        <v>477</v>
      </c>
      <c r="B363" t="s">
        <v>422</v>
      </c>
      <c r="D363">
        <v>1</v>
      </c>
      <c r="E363" s="1">
        <v>42816</v>
      </c>
      <c r="F363" s="1">
        <v>43017</v>
      </c>
      <c r="G363">
        <f t="shared" si="9"/>
        <v>201</v>
      </c>
      <c r="H363" t="s">
        <v>417</v>
      </c>
      <c r="I363" t="s">
        <v>418</v>
      </c>
      <c r="J363">
        <v>-26.284722200000001</v>
      </c>
      <c r="K363">
        <v>136.09805556000001</v>
      </c>
      <c r="L363" t="s">
        <v>419</v>
      </c>
      <c r="M363" s="33" t="s">
        <v>1825</v>
      </c>
      <c r="N363" s="32">
        <v>4.5999999999999999E-3</v>
      </c>
      <c r="O363" s="32">
        <v>2.4350000000000001</v>
      </c>
      <c r="P363" s="35">
        <v>10.199</v>
      </c>
      <c r="Q363" t="s">
        <v>890</v>
      </c>
    </row>
    <row r="364" spans="1:19">
      <c r="A364" s="9" t="s">
        <v>478</v>
      </c>
      <c r="B364" t="s">
        <v>465</v>
      </c>
      <c r="D364">
        <v>3</v>
      </c>
      <c r="E364" s="1">
        <v>42816</v>
      </c>
      <c r="F364" s="1">
        <v>43017</v>
      </c>
      <c r="G364">
        <f t="shared" si="9"/>
        <v>201</v>
      </c>
      <c r="H364" t="s">
        <v>417</v>
      </c>
      <c r="I364" t="s">
        <v>466</v>
      </c>
      <c r="J364">
        <v>-26.423333299999999</v>
      </c>
      <c r="K364">
        <v>135.51333299999999</v>
      </c>
      <c r="L364" t="s">
        <v>419</v>
      </c>
      <c r="M364" s="33" t="s">
        <v>1826</v>
      </c>
      <c r="N364" s="32">
        <v>5.9999999999999995E-4</v>
      </c>
      <c r="O364" s="32">
        <v>1.4370000000000001</v>
      </c>
      <c r="P364" s="32">
        <v>6.4779999999999998</v>
      </c>
      <c r="Q364" t="s">
        <v>890</v>
      </c>
    </row>
    <row r="365" spans="1:19">
      <c r="A365" s="9" t="s">
        <v>479</v>
      </c>
      <c r="B365" t="s">
        <v>465</v>
      </c>
      <c r="D365">
        <v>3</v>
      </c>
      <c r="E365" s="1">
        <v>42816</v>
      </c>
      <c r="F365" s="1">
        <v>43017</v>
      </c>
      <c r="G365">
        <f t="shared" si="9"/>
        <v>201</v>
      </c>
      <c r="H365" t="s">
        <v>417</v>
      </c>
      <c r="I365" t="s">
        <v>466</v>
      </c>
      <c r="J365">
        <v>-26.423333299999999</v>
      </c>
      <c r="K365">
        <v>135.51333299999999</v>
      </c>
      <c r="L365" t="s">
        <v>419</v>
      </c>
      <c r="M365" s="33" t="s">
        <v>1827</v>
      </c>
      <c r="N365" s="32">
        <v>6.9999999999999999E-4</v>
      </c>
      <c r="O365" s="32">
        <v>1.88</v>
      </c>
      <c r="P365" s="32">
        <v>8.2799999999999994</v>
      </c>
      <c r="Q365" t="s">
        <v>890</v>
      </c>
    </row>
    <row r="366" spans="1:19">
      <c r="A366" s="9" t="s">
        <v>427</v>
      </c>
      <c r="B366" t="s">
        <v>425</v>
      </c>
      <c r="D366">
        <v>8</v>
      </c>
      <c r="E366" s="1">
        <v>42815</v>
      </c>
      <c r="F366" s="1">
        <v>43017</v>
      </c>
      <c r="G366">
        <f t="shared" si="9"/>
        <v>202</v>
      </c>
      <c r="H366" t="s">
        <v>417</v>
      </c>
      <c r="I366" t="s">
        <v>426</v>
      </c>
      <c r="J366">
        <v>-26.458888890000001</v>
      </c>
      <c r="K366">
        <v>135.41277778</v>
      </c>
      <c r="L366" t="s">
        <v>419</v>
      </c>
      <c r="M366" s="36" t="s">
        <v>1754</v>
      </c>
      <c r="N366" s="32">
        <v>4.1279999999999997E-3</v>
      </c>
      <c r="O366" s="35">
        <v>2.3109999999999999</v>
      </c>
      <c r="P366" s="35">
        <v>9.9169999999999998</v>
      </c>
      <c r="Q366" s="20" t="s">
        <v>2094</v>
      </c>
    </row>
    <row r="367" spans="1:19">
      <c r="A367" s="9" t="s">
        <v>480</v>
      </c>
      <c r="B367" t="s">
        <v>465</v>
      </c>
      <c r="D367">
        <v>3</v>
      </c>
      <c r="E367" s="1">
        <v>42816</v>
      </c>
      <c r="F367" s="1">
        <v>43017</v>
      </c>
      <c r="G367">
        <f t="shared" si="9"/>
        <v>201</v>
      </c>
      <c r="H367" t="s">
        <v>417</v>
      </c>
      <c r="I367" t="s">
        <v>466</v>
      </c>
      <c r="J367">
        <v>-26.423333299999999</v>
      </c>
      <c r="K367">
        <v>135.51333299999999</v>
      </c>
      <c r="L367" t="s">
        <v>419</v>
      </c>
      <c r="M367" s="33" t="s">
        <v>1828</v>
      </c>
      <c r="N367" s="32">
        <v>1.1000000000000001E-3</v>
      </c>
      <c r="O367" s="32">
        <v>1.6339999999999999</v>
      </c>
      <c r="P367" s="32">
        <v>7.0449999999999999</v>
      </c>
      <c r="Q367" t="s">
        <v>890</v>
      </c>
    </row>
    <row r="368" spans="1:19" s="43" customFormat="1">
      <c r="A368" s="9" t="s">
        <v>481</v>
      </c>
      <c r="B368" t="s">
        <v>465</v>
      </c>
      <c r="C368"/>
      <c r="D368">
        <v>3</v>
      </c>
      <c r="E368" s="1">
        <v>42816</v>
      </c>
      <c r="F368" s="1">
        <v>43017</v>
      </c>
      <c r="G368">
        <f t="shared" si="9"/>
        <v>201</v>
      </c>
      <c r="H368" t="s">
        <v>417</v>
      </c>
      <c r="I368" t="s">
        <v>466</v>
      </c>
      <c r="J368">
        <v>-26.423333299999999</v>
      </c>
      <c r="K368">
        <v>135.51333299999999</v>
      </c>
      <c r="L368" t="s">
        <v>419</v>
      </c>
      <c r="M368" s="33" t="s">
        <v>1829</v>
      </c>
      <c r="N368" s="32">
        <v>1.5E-3</v>
      </c>
      <c r="O368" s="32">
        <v>1.849</v>
      </c>
      <c r="P368" s="32">
        <v>6.7640000000000002</v>
      </c>
      <c r="Q368" t="s">
        <v>890</v>
      </c>
      <c r="R368"/>
      <c r="S368"/>
    </row>
    <row r="369" spans="1:19">
      <c r="A369" s="9" t="s">
        <v>482</v>
      </c>
      <c r="B369" t="s">
        <v>465</v>
      </c>
      <c r="D369">
        <v>3</v>
      </c>
      <c r="E369" s="1">
        <v>42816</v>
      </c>
      <c r="F369" s="1">
        <v>43017</v>
      </c>
      <c r="G369">
        <f t="shared" si="9"/>
        <v>201</v>
      </c>
      <c r="H369" t="s">
        <v>417</v>
      </c>
      <c r="I369" t="s">
        <v>466</v>
      </c>
      <c r="J369">
        <v>-26.423333299999999</v>
      </c>
      <c r="K369">
        <v>135.51333299999999</v>
      </c>
      <c r="L369" t="s">
        <v>419</v>
      </c>
      <c r="M369" s="33" t="s">
        <v>1830</v>
      </c>
      <c r="N369" s="32">
        <v>1.6999999999999999E-3</v>
      </c>
      <c r="O369" s="32">
        <v>1.4279999999999999</v>
      </c>
      <c r="P369" s="32">
        <v>5.68</v>
      </c>
      <c r="Q369" t="s">
        <v>890</v>
      </c>
    </row>
    <row r="370" spans="1:19" s="43" customFormat="1">
      <c r="A370" s="9" t="s">
        <v>483</v>
      </c>
      <c r="B370" t="s">
        <v>465</v>
      </c>
      <c r="C370"/>
      <c r="D370">
        <v>3</v>
      </c>
      <c r="E370" s="1">
        <v>42816</v>
      </c>
      <c r="F370" s="1">
        <v>43017</v>
      </c>
      <c r="G370">
        <f t="shared" si="9"/>
        <v>201</v>
      </c>
      <c r="H370" t="s">
        <v>417</v>
      </c>
      <c r="I370" t="s">
        <v>466</v>
      </c>
      <c r="J370">
        <v>-26.423333299999999</v>
      </c>
      <c r="K370">
        <v>135.51333299999999</v>
      </c>
      <c r="L370" t="s">
        <v>419</v>
      </c>
      <c r="M370" s="33" t="s">
        <v>1831</v>
      </c>
      <c r="N370" s="32">
        <v>1E-3</v>
      </c>
      <c r="O370" s="32">
        <v>1.472</v>
      </c>
      <c r="P370" s="32">
        <v>7.7910000000000004</v>
      </c>
      <c r="Q370" t="s">
        <v>890</v>
      </c>
      <c r="R370"/>
      <c r="S370"/>
    </row>
    <row r="371" spans="1:19">
      <c r="A371" s="9" t="s">
        <v>484</v>
      </c>
      <c r="B371" t="s">
        <v>465</v>
      </c>
      <c r="D371">
        <v>3</v>
      </c>
      <c r="E371" s="1">
        <v>42816</v>
      </c>
      <c r="F371" s="1">
        <v>43017</v>
      </c>
      <c r="G371">
        <f t="shared" si="9"/>
        <v>201</v>
      </c>
      <c r="H371" t="s">
        <v>417</v>
      </c>
      <c r="I371" t="s">
        <v>466</v>
      </c>
      <c r="J371">
        <v>-26.423333299999999</v>
      </c>
      <c r="K371">
        <v>135.51333299999999</v>
      </c>
      <c r="L371" t="s">
        <v>419</v>
      </c>
      <c r="M371" s="33" t="s">
        <v>1832</v>
      </c>
      <c r="N371" s="32">
        <v>6.9999999999999999E-4</v>
      </c>
      <c r="O371" s="32">
        <v>1.641</v>
      </c>
      <c r="P371" s="32">
        <v>6.91</v>
      </c>
      <c r="Q371" t="s">
        <v>890</v>
      </c>
    </row>
    <row r="372" spans="1:19">
      <c r="A372" s="9" t="s">
        <v>485</v>
      </c>
      <c r="B372" t="s">
        <v>465</v>
      </c>
      <c r="D372">
        <v>3</v>
      </c>
      <c r="E372" s="1">
        <v>42816</v>
      </c>
      <c r="F372" s="1">
        <v>43017</v>
      </c>
      <c r="G372">
        <f t="shared" si="9"/>
        <v>201</v>
      </c>
      <c r="H372" t="s">
        <v>417</v>
      </c>
      <c r="I372" t="s">
        <v>466</v>
      </c>
      <c r="J372">
        <v>-26.423333299999999</v>
      </c>
      <c r="K372">
        <v>135.51333299999999</v>
      </c>
      <c r="L372" t="s">
        <v>419</v>
      </c>
      <c r="M372" s="33" t="s">
        <v>1833</v>
      </c>
      <c r="N372" s="32">
        <v>8.0000000000000004E-4</v>
      </c>
      <c r="O372" s="32">
        <v>1.5329999999999999</v>
      </c>
      <c r="P372" s="32">
        <v>6.641</v>
      </c>
      <c r="Q372" t="s">
        <v>890</v>
      </c>
    </row>
    <row r="373" spans="1:19">
      <c r="A373" s="9" t="s">
        <v>486</v>
      </c>
      <c r="B373" t="s">
        <v>465</v>
      </c>
      <c r="D373">
        <v>3</v>
      </c>
      <c r="E373" s="1">
        <v>42816</v>
      </c>
      <c r="F373" s="1">
        <v>43017</v>
      </c>
      <c r="G373">
        <f t="shared" si="9"/>
        <v>201</v>
      </c>
      <c r="H373" t="s">
        <v>417</v>
      </c>
      <c r="I373" t="s">
        <v>466</v>
      </c>
      <c r="J373">
        <v>-26.423333299999999</v>
      </c>
      <c r="K373">
        <v>135.51333299999999</v>
      </c>
      <c r="L373" t="s">
        <v>419</v>
      </c>
      <c r="M373" s="33" t="s">
        <v>1834</v>
      </c>
      <c r="N373" s="32">
        <v>6.9999999999999999E-4</v>
      </c>
      <c r="O373" s="32">
        <v>1.486</v>
      </c>
      <c r="P373" s="32">
        <v>6.681</v>
      </c>
      <c r="Q373" t="s">
        <v>890</v>
      </c>
    </row>
    <row r="374" spans="1:19">
      <c r="A374" s="9" t="s">
        <v>487</v>
      </c>
      <c r="B374" t="s">
        <v>465</v>
      </c>
      <c r="D374">
        <v>3</v>
      </c>
      <c r="E374" s="1">
        <v>42816</v>
      </c>
      <c r="F374" s="1">
        <v>43017</v>
      </c>
      <c r="G374">
        <f t="shared" si="9"/>
        <v>201</v>
      </c>
      <c r="H374" t="s">
        <v>417</v>
      </c>
      <c r="I374" t="s">
        <v>466</v>
      </c>
      <c r="J374">
        <v>-26.423333299999999</v>
      </c>
      <c r="K374">
        <v>135.51333299999999</v>
      </c>
      <c r="L374" t="s">
        <v>419</v>
      </c>
      <c r="M374" s="33" t="s">
        <v>1835</v>
      </c>
      <c r="N374" s="32">
        <v>6.9999999999999999E-4</v>
      </c>
      <c r="O374" s="32">
        <v>1.601</v>
      </c>
      <c r="P374" s="32">
        <v>8.3629999999999995</v>
      </c>
      <c r="Q374" t="s">
        <v>890</v>
      </c>
    </row>
    <row r="375" spans="1:19">
      <c r="A375" s="2" t="s">
        <v>488</v>
      </c>
      <c r="B375" s="2"/>
      <c r="C375" s="2"/>
      <c r="D375" s="2"/>
      <c r="E375" s="2" t="s">
        <v>36</v>
      </c>
      <c r="F375" s="3" t="s">
        <v>36</v>
      </c>
      <c r="G375" s="2" t="s">
        <v>36</v>
      </c>
      <c r="H375" s="2" t="s">
        <v>36</v>
      </c>
      <c r="I375" t="s">
        <v>466</v>
      </c>
      <c r="J375">
        <v>-26.423333299999999</v>
      </c>
      <c r="K375">
        <v>135.51333299999999</v>
      </c>
      <c r="L375" t="s">
        <v>419</v>
      </c>
      <c r="M375" s="33" t="s">
        <v>1836</v>
      </c>
      <c r="N375" s="32">
        <v>3.3E-3</v>
      </c>
      <c r="O375" s="32">
        <v>1.9179999999999999</v>
      </c>
      <c r="P375" s="32">
        <v>11.105</v>
      </c>
      <c r="Q375" t="s">
        <v>890</v>
      </c>
    </row>
    <row r="376" spans="1:19">
      <c r="A376" s="9" t="s">
        <v>489</v>
      </c>
      <c r="B376" t="s">
        <v>465</v>
      </c>
      <c r="D376">
        <v>3</v>
      </c>
      <c r="E376" s="1">
        <v>42816</v>
      </c>
      <c r="F376" s="1">
        <v>43017</v>
      </c>
      <c r="G376">
        <f t="shared" ref="G376:G408" si="10">F376-E376</f>
        <v>201</v>
      </c>
      <c r="H376" t="s">
        <v>417</v>
      </c>
      <c r="I376" t="s">
        <v>466</v>
      </c>
      <c r="J376">
        <v>-26.423333299999999</v>
      </c>
      <c r="K376">
        <v>135.51333299999999</v>
      </c>
      <c r="L376" t="s">
        <v>419</v>
      </c>
      <c r="M376" s="33" t="s">
        <v>1837</v>
      </c>
      <c r="N376" s="32">
        <v>8.0000000000000004E-4</v>
      </c>
      <c r="O376" s="32">
        <v>1.5369999999999999</v>
      </c>
      <c r="P376" s="32">
        <v>6.508</v>
      </c>
      <c r="Q376" t="s">
        <v>890</v>
      </c>
    </row>
    <row r="377" spans="1:19">
      <c r="A377" s="9" t="s">
        <v>428</v>
      </c>
      <c r="B377" t="s">
        <v>421</v>
      </c>
      <c r="C377" t="s">
        <v>422</v>
      </c>
      <c r="D377">
        <v>1</v>
      </c>
      <c r="E377" s="1">
        <v>42816</v>
      </c>
      <c r="F377" s="1">
        <v>43017</v>
      </c>
      <c r="G377">
        <f t="shared" si="10"/>
        <v>201</v>
      </c>
      <c r="H377" t="s">
        <v>417</v>
      </c>
      <c r="I377" t="s">
        <v>418</v>
      </c>
      <c r="J377">
        <v>-26.284722200000001</v>
      </c>
      <c r="K377">
        <v>136.09805556000001</v>
      </c>
      <c r="L377" t="s">
        <v>419</v>
      </c>
      <c r="M377" s="36" t="s">
        <v>1755</v>
      </c>
      <c r="N377" s="32">
        <v>2.8280000000000041E-3</v>
      </c>
      <c r="O377" s="35">
        <v>2.2999999999999998</v>
      </c>
      <c r="P377" s="35">
        <v>10.795999999999999</v>
      </c>
      <c r="Q377" s="20" t="s">
        <v>2094</v>
      </c>
    </row>
    <row r="378" spans="1:19">
      <c r="A378" s="9" t="s">
        <v>490</v>
      </c>
      <c r="B378" t="s">
        <v>465</v>
      </c>
      <c r="D378">
        <v>3</v>
      </c>
      <c r="E378" s="1">
        <v>42816</v>
      </c>
      <c r="F378" s="1">
        <v>43017</v>
      </c>
      <c r="G378">
        <f t="shared" si="10"/>
        <v>201</v>
      </c>
      <c r="H378" t="s">
        <v>417</v>
      </c>
      <c r="I378" t="s">
        <v>466</v>
      </c>
      <c r="J378">
        <v>-26.423333299999999</v>
      </c>
      <c r="K378">
        <v>135.51333299999999</v>
      </c>
      <c r="L378" t="s">
        <v>419</v>
      </c>
      <c r="M378" s="33" t="s">
        <v>1838</v>
      </c>
      <c r="N378" s="32">
        <v>1.2999999999999999E-3</v>
      </c>
      <c r="O378" s="32">
        <v>1.621</v>
      </c>
      <c r="P378" s="32">
        <v>8.0410000000000004</v>
      </c>
      <c r="Q378" t="s">
        <v>890</v>
      </c>
    </row>
    <row r="379" spans="1:19">
      <c r="A379" s="9" t="s">
        <v>491</v>
      </c>
      <c r="B379" t="s">
        <v>465</v>
      </c>
      <c r="D379">
        <v>3</v>
      </c>
      <c r="E379" s="1">
        <v>42816</v>
      </c>
      <c r="F379" s="1">
        <v>43017</v>
      </c>
      <c r="G379">
        <f t="shared" si="10"/>
        <v>201</v>
      </c>
      <c r="H379" t="s">
        <v>417</v>
      </c>
      <c r="I379" t="s">
        <v>466</v>
      </c>
      <c r="J379">
        <v>-26.423333299999999</v>
      </c>
      <c r="K379">
        <v>135.51333299999999</v>
      </c>
      <c r="L379" t="s">
        <v>419</v>
      </c>
      <c r="M379" s="33" t="s">
        <v>1839</v>
      </c>
      <c r="N379" s="32">
        <v>6.9999999999999999E-4</v>
      </c>
      <c r="O379" s="32">
        <v>1.5429999999999999</v>
      </c>
      <c r="P379" s="32">
        <v>6.2930000000000001</v>
      </c>
      <c r="Q379" t="s">
        <v>890</v>
      </c>
    </row>
    <row r="380" spans="1:19">
      <c r="A380" s="9" t="s">
        <v>492</v>
      </c>
      <c r="B380" t="s">
        <v>465</v>
      </c>
      <c r="D380">
        <v>3</v>
      </c>
      <c r="E380" s="1">
        <v>42816</v>
      </c>
      <c r="F380" s="1">
        <v>43017</v>
      </c>
      <c r="G380">
        <f t="shared" si="10"/>
        <v>201</v>
      </c>
      <c r="H380" t="s">
        <v>417</v>
      </c>
      <c r="I380" t="s">
        <v>466</v>
      </c>
      <c r="J380">
        <v>-26.423333299999999</v>
      </c>
      <c r="K380">
        <v>135.51333299999999</v>
      </c>
      <c r="L380" t="s">
        <v>419</v>
      </c>
      <c r="M380" s="33" t="s">
        <v>1840</v>
      </c>
      <c r="N380" s="32">
        <v>1.6000000000000001E-3</v>
      </c>
      <c r="O380" s="32">
        <v>1.669</v>
      </c>
      <c r="P380" s="32">
        <v>7.681</v>
      </c>
      <c r="Q380" t="s">
        <v>890</v>
      </c>
    </row>
    <row r="381" spans="1:19">
      <c r="A381" s="9" t="s">
        <v>493</v>
      </c>
      <c r="B381" t="s">
        <v>465</v>
      </c>
      <c r="D381">
        <v>3</v>
      </c>
      <c r="E381" s="1">
        <v>42816</v>
      </c>
      <c r="F381" s="1">
        <v>43017</v>
      </c>
      <c r="G381">
        <f t="shared" si="10"/>
        <v>201</v>
      </c>
      <c r="H381" t="s">
        <v>417</v>
      </c>
      <c r="I381" t="s">
        <v>466</v>
      </c>
      <c r="J381">
        <v>-26.423333299999999</v>
      </c>
      <c r="K381">
        <v>135.51333299999999</v>
      </c>
      <c r="L381" t="s">
        <v>419</v>
      </c>
      <c r="M381" s="33" t="s">
        <v>1841</v>
      </c>
      <c r="N381" s="32">
        <v>1.2999999999999999E-3</v>
      </c>
      <c r="O381" s="32">
        <v>1.3049999999999999</v>
      </c>
      <c r="P381" s="32">
        <v>8.2560000000000002</v>
      </c>
      <c r="Q381" t="s">
        <v>890</v>
      </c>
    </row>
    <row r="382" spans="1:19" s="43" customFormat="1">
      <c r="A382" s="9" t="s">
        <v>494</v>
      </c>
      <c r="B382" t="s">
        <v>465</v>
      </c>
      <c r="C382"/>
      <c r="D382">
        <v>3</v>
      </c>
      <c r="E382" s="1">
        <v>42816</v>
      </c>
      <c r="F382" s="1">
        <v>43017</v>
      </c>
      <c r="G382">
        <f t="shared" si="10"/>
        <v>201</v>
      </c>
      <c r="H382" t="s">
        <v>417</v>
      </c>
      <c r="I382" t="s">
        <v>466</v>
      </c>
      <c r="J382">
        <v>-26.423333299999999</v>
      </c>
      <c r="K382">
        <v>135.51333299999999</v>
      </c>
      <c r="L382" t="s">
        <v>419</v>
      </c>
      <c r="M382" s="33" t="s">
        <v>1842</v>
      </c>
      <c r="N382" s="32">
        <v>8.9999999999999998E-4</v>
      </c>
      <c r="O382" s="32">
        <v>1.3640000000000001</v>
      </c>
      <c r="P382" s="32">
        <v>6.9779999999999998</v>
      </c>
      <c r="Q382" t="s">
        <v>890</v>
      </c>
      <c r="R382"/>
      <c r="S382"/>
    </row>
    <row r="383" spans="1:19">
      <c r="A383" s="9" t="s">
        <v>495</v>
      </c>
      <c r="B383" t="s">
        <v>465</v>
      </c>
      <c r="D383">
        <v>3</v>
      </c>
      <c r="E383" s="1">
        <v>42816</v>
      </c>
      <c r="F383" s="1">
        <v>43017</v>
      </c>
      <c r="G383">
        <f t="shared" si="10"/>
        <v>201</v>
      </c>
      <c r="H383" t="s">
        <v>417</v>
      </c>
      <c r="I383" t="s">
        <v>466</v>
      </c>
      <c r="J383">
        <v>-26.423333299999999</v>
      </c>
      <c r="K383">
        <v>135.51333299999999</v>
      </c>
      <c r="L383" t="s">
        <v>419</v>
      </c>
      <c r="M383" s="33" t="s">
        <v>1843</v>
      </c>
      <c r="N383" s="32">
        <v>1.9E-3</v>
      </c>
      <c r="O383" s="32">
        <v>1.4990000000000001</v>
      </c>
      <c r="P383" s="32">
        <v>6.9130000000000003</v>
      </c>
      <c r="Q383" t="s">
        <v>890</v>
      </c>
    </row>
    <row r="384" spans="1:19">
      <c r="A384" s="9" t="s">
        <v>496</v>
      </c>
      <c r="B384" t="s">
        <v>465</v>
      </c>
      <c r="D384">
        <v>3</v>
      </c>
      <c r="E384" s="1">
        <v>42816</v>
      </c>
      <c r="F384" s="1">
        <v>43017</v>
      </c>
      <c r="G384">
        <f t="shared" si="10"/>
        <v>201</v>
      </c>
      <c r="H384" t="s">
        <v>417</v>
      </c>
      <c r="I384" t="s">
        <v>466</v>
      </c>
      <c r="J384">
        <v>-26.423333299999999</v>
      </c>
      <c r="K384">
        <v>135.51333299999999</v>
      </c>
      <c r="L384" t="s">
        <v>419</v>
      </c>
      <c r="M384" s="33" t="s">
        <v>1844</v>
      </c>
      <c r="N384" s="32">
        <v>2.5999999999999999E-3</v>
      </c>
      <c r="O384" s="32">
        <v>2.2509999999999999</v>
      </c>
      <c r="P384" s="32">
        <v>9.8940000000000001</v>
      </c>
      <c r="Q384" t="s">
        <v>890</v>
      </c>
    </row>
    <row r="385" spans="1:19">
      <c r="A385" s="9" t="s">
        <v>497</v>
      </c>
      <c r="B385" t="s">
        <v>465</v>
      </c>
      <c r="D385">
        <v>3</v>
      </c>
      <c r="E385" s="1">
        <v>42816</v>
      </c>
      <c r="F385" s="1">
        <v>43017</v>
      </c>
      <c r="G385">
        <f t="shared" si="10"/>
        <v>201</v>
      </c>
      <c r="H385" t="s">
        <v>417</v>
      </c>
      <c r="I385" t="s">
        <v>466</v>
      </c>
      <c r="J385">
        <v>-26.423333299999999</v>
      </c>
      <c r="K385">
        <v>135.51333299999999</v>
      </c>
      <c r="L385" t="s">
        <v>419</v>
      </c>
      <c r="M385" s="33" t="s">
        <v>1845</v>
      </c>
      <c r="N385" s="32">
        <v>6.9999999999999999E-4</v>
      </c>
      <c r="O385" s="32">
        <v>1.5269999999999999</v>
      </c>
      <c r="P385" s="32">
        <v>6.7670000000000003</v>
      </c>
      <c r="Q385" t="s">
        <v>890</v>
      </c>
    </row>
    <row r="386" spans="1:19" s="43" customFormat="1">
      <c r="A386" s="9" t="s">
        <v>498</v>
      </c>
      <c r="B386" t="s">
        <v>465</v>
      </c>
      <c r="C386"/>
      <c r="D386">
        <v>3</v>
      </c>
      <c r="E386" s="1">
        <v>42816</v>
      </c>
      <c r="F386" s="1">
        <v>43017</v>
      </c>
      <c r="G386">
        <f t="shared" si="10"/>
        <v>201</v>
      </c>
      <c r="H386" t="s">
        <v>417</v>
      </c>
      <c r="I386" t="s">
        <v>466</v>
      </c>
      <c r="J386">
        <v>-26.423333299999999</v>
      </c>
      <c r="K386">
        <v>135.51333299999999</v>
      </c>
      <c r="L386" t="s">
        <v>419</v>
      </c>
      <c r="M386" s="33" t="s">
        <v>1846</v>
      </c>
      <c r="N386" s="32">
        <v>6.9999999999999999E-4</v>
      </c>
      <c r="O386" s="32">
        <v>1.722</v>
      </c>
      <c r="P386" s="32">
        <v>6.8520000000000003</v>
      </c>
      <c r="Q386" t="s">
        <v>890</v>
      </c>
      <c r="R386"/>
      <c r="S386"/>
    </row>
    <row r="387" spans="1:19">
      <c r="A387" s="9" t="s">
        <v>499</v>
      </c>
      <c r="B387" t="s">
        <v>465</v>
      </c>
      <c r="D387">
        <v>3</v>
      </c>
      <c r="E387" s="1">
        <v>42816</v>
      </c>
      <c r="F387" s="1">
        <v>43017</v>
      </c>
      <c r="G387">
        <f t="shared" si="10"/>
        <v>201</v>
      </c>
      <c r="H387" t="s">
        <v>417</v>
      </c>
      <c r="I387" t="s">
        <v>466</v>
      </c>
      <c r="J387">
        <v>-26.423333299999999</v>
      </c>
      <c r="K387">
        <v>135.51333299999999</v>
      </c>
      <c r="L387" t="s">
        <v>419</v>
      </c>
      <c r="M387" s="33" t="s">
        <v>1847</v>
      </c>
      <c r="N387" s="32">
        <v>3.3999999999999998E-3</v>
      </c>
      <c r="O387" s="32">
        <v>2.5590000000000002</v>
      </c>
      <c r="P387" s="32">
        <v>10.59</v>
      </c>
      <c r="Q387" t="s">
        <v>890</v>
      </c>
    </row>
    <row r="388" spans="1:19">
      <c r="A388" s="9" t="s">
        <v>429</v>
      </c>
      <c r="B388" t="s">
        <v>416</v>
      </c>
      <c r="D388">
        <v>1</v>
      </c>
      <c r="E388" s="1">
        <v>42816</v>
      </c>
      <c r="F388" s="1">
        <v>43017</v>
      </c>
      <c r="G388">
        <f t="shared" si="10"/>
        <v>201</v>
      </c>
      <c r="H388" t="s">
        <v>417</v>
      </c>
      <c r="I388" t="s">
        <v>418</v>
      </c>
      <c r="J388">
        <v>-26.284722200000001</v>
      </c>
      <c r="K388">
        <v>136.09805556000001</v>
      </c>
      <c r="L388" t="s">
        <v>419</v>
      </c>
      <c r="M388" s="33" t="s">
        <v>1805</v>
      </c>
      <c r="N388" s="32">
        <v>4.7000000000000002E-3</v>
      </c>
      <c r="O388" s="32">
        <v>2.5</v>
      </c>
      <c r="P388" s="35">
        <v>9.9930000000000003</v>
      </c>
      <c r="Q388" t="s">
        <v>890</v>
      </c>
    </row>
    <row r="389" spans="1:19">
      <c r="A389" s="9" t="s">
        <v>500</v>
      </c>
      <c r="B389" t="s">
        <v>465</v>
      </c>
      <c r="D389">
        <v>3</v>
      </c>
      <c r="E389" s="1">
        <v>42816</v>
      </c>
      <c r="F389" s="1">
        <v>43017</v>
      </c>
      <c r="G389">
        <f t="shared" si="10"/>
        <v>201</v>
      </c>
      <c r="H389" t="s">
        <v>417</v>
      </c>
      <c r="I389" t="s">
        <v>466</v>
      </c>
      <c r="J389">
        <v>-26.423333299999999</v>
      </c>
      <c r="K389">
        <v>135.51333299999999</v>
      </c>
      <c r="L389" t="s">
        <v>419</v>
      </c>
      <c r="M389" s="33" t="s">
        <v>1848</v>
      </c>
      <c r="N389" s="32">
        <v>5.0000000000000001E-4</v>
      </c>
      <c r="O389" s="32">
        <v>1.607</v>
      </c>
      <c r="P389" s="32">
        <v>6.2590000000000003</v>
      </c>
      <c r="Q389" t="s">
        <v>890</v>
      </c>
    </row>
    <row r="390" spans="1:19">
      <c r="A390" s="9" t="s">
        <v>501</v>
      </c>
      <c r="B390" t="s">
        <v>465</v>
      </c>
      <c r="D390">
        <v>3</v>
      </c>
      <c r="E390" s="1">
        <v>42816</v>
      </c>
      <c r="F390" s="1">
        <v>43017</v>
      </c>
      <c r="G390">
        <f t="shared" si="10"/>
        <v>201</v>
      </c>
      <c r="H390" t="s">
        <v>417</v>
      </c>
      <c r="I390" t="s">
        <v>466</v>
      </c>
      <c r="J390">
        <v>-26.423333299999999</v>
      </c>
      <c r="K390">
        <v>135.51333299999999</v>
      </c>
      <c r="L390" t="s">
        <v>419</v>
      </c>
      <c r="M390" s="33" t="s">
        <v>1849</v>
      </c>
      <c r="N390" s="32">
        <v>6.9999999999999999E-4</v>
      </c>
      <c r="O390" s="32">
        <v>1.5629999999999999</v>
      </c>
      <c r="P390" s="32">
        <v>6.9390000000000001</v>
      </c>
      <c r="Q390" t="s">
        <v>890</v>
      </c>
    </row>
    <row r="391" spans="1:19" s="43" customFormat="1">
      <c r="A391" s="9" t="s">
        <v>502</v>
      </c>
      <c r="B391" t="s">
        <v>465</v>
      </c>
      <c r="C391"/>
      <c r="D391">
        <v>3</v>
      </c>
      <c r="E391" s="1">
        <v>42816</v>
      </c>
      <c r="F391" s="1">
        <v>43017</v>
      </c>
      <c r="G391">
        <f t="shared" si="10"/>
        <v>201</v>
      </c>
      <c r="H391" t="s">
        <v>417</v>
      </c>
      <c r="I391" t="s">
        <v>466</v>
      </c>
      <c r="J391">
        <v>-26.423333299999999</v>
      </c>
      <c r="K391">
        <v>135.51333299999999</v>
      </c>
      <c r="L391" t="s">
        <v>419</v>
      </c>
      <c r="M391" s="33" t="s">
        <v>1850</v>
      </c>
      <c r="N391" s="32">
        <v>4.8999999999999998E-3</v>
      </c>
      <c r="O391" s="32">
        <v>2.7269999999999999</v>
      </c>
      <c r="P391" s="32">
        <v>11.72</v>
      </c>
      <c r="Q391" t="s">
        <v>890</v>
      </c>
      <c r="R391"/>
      <c r="S391"/>
    </row>
    <row r="392" spans="1:19">
      <c r="A392" s="9" t="s">
        <v>503</v>
      </c>
      <c r="B392" t="s">
        <v>465</v>
      </c>
      <c r="D392">
        <v>3</v>
      </c>
      <c r="E392" s="1">
        <v>42816</v>
      </c>
      <c r="F392" s="1">
        <v>43017</v>
      </c>
      <c r="G392">
        <f t="shared" si="10"/>
        <v>201</v>
      </c>
      <c r="H392" t="s">
        <v>417</v>
      </c>
      <c r="I392" t="s">
        <v>466</v>
      </c>
      <c r="J392">
        <v>-26.423333299999999</v>
      </c>
      <c r="K392">
        <v>135.51333299999999</v>
      </c>
      <c r="L392" t="s">
        <v>419</v>
      </c>
      <c r="M392" s="33" t="s">
        <v>1851</v>
      </c>
      <c r="N392" s="32">
        <v>4.1999999999999997E-3</v>
      </c>
      <c r="O392" s="32">
        <v>2.573</v>
      </c>
      <c r="P392" s="32">
        <v>11.587</v>
      </c>
      <c r="Q392" t="s">
        <v>890</v>
      </c>
    </row>
    <row r="393" spans="1:19">
      <c r="A393" s="9" t="s">
        <v>504</v>
      </c>
      <c r="B393" t="s">
        <v>465</v>
      </c>
      <c r="D393">
        <v>3</v>
      </c>
      <c r="E393" s="1">
        <v>42816</v>
      </c>
      <c r="F393" s="1">
        <v>43017</v>
      </c>
      <c r="G393">
        <f t="shared" si="10"/>
        <v>201</v>
      </c>
      <c r="H393" t="s">
        <v>417</v>
      </c>
      <c r="I393" t="s">
        <v>466</v>
      </c>
      <c r="J393">
        <v>-26.423333299999999</v>
      </c>
      <c r="K393">
        <v>135.51333299999999</v>
      </c>
      <c r="L393" t="s">
        <v>419</v>
      </c>
      <c r="M393" s="33" t="s">
        <v>1852</v>
      </c>
      <c r="N393" s="32">
        <v>6.9999999999999999E-4</v>
      </c>
      <c r="O393" s="32">
        <v>1.2909999999999999</v>
      </c>
      <c r="P393" s="32">
        <v>5.7009999999999996</v>
      </c>
      <c r="Q393" t="s">
        <v>890</v>
      </c>
    </row>
    <row r="394" spans="1:19">
      <c r="A394" s="9" t="s">
        <v>505</v>
      </c>
      <c r="B394" t="s">
        <v>465</v>
      </c>
      <c r="D394">
        <v>3</v>
      </c>
      <c r="E394" s="1">
        <v>42816</v>
      </c>
      <c r="F394" s="1">
        <v>43017</v>
      </c>
      <c r="G394">
        <f t="shared" si="10"/>
        <v>201</v>
      </c>
      <c r="H394" t="s">
        <v>417</v>
      </c>
      <c r="I394" t="s">
        <v>466</v>
      </c>
      <c r="J394">
        <v>-26.423333299999999</v>
      </c>
      <c r="K394">
        <v>135.51333299999999</v>
      </c>
      <c r="L394" t="s">
        <v>419</v>
      </c>
      <c r="M394" s="33" t="s">
        <v>1853</v>
      </c>
      <c r="N394" s="32">
        <v>3.0000000000000001E-3</v>
      </c>
      <c r="O394" s="32">
        <v>2.2189999999999999</v>
      </c>
      <c r="P394" s="32">
        <v>9.8740000000000006</v>
      </c>
      <c r="Q394" t="s">
        <v>890</v>
      </c>
    </row>
    <row r="395" spans="1:19">
      <c r="A395" s="9" t="s">
        <v>506</v>
      </c>
      <c r="B395" t="s">
        <v>465</v>
      </c>
      <c r="D395">
        <v>3</v>
      </c>
      <c r="E395" s="1">
        <v>42816</v>
      </c>
      <c r="F395" s="1">
        <v>43017</v>
      </c>
      <c r="G395">
        <f t="shared" si="10"/>
        <v>201</v>
      </c>
      <c r="H395" t="s">
        <v>417</v>
      </c>
      <c r="I395" t="s">
        <v>466</v>
      </c>
      <c r="J395">
        <v>-26.423333299999999</v>
      </c>
      <c r="K395">
        <v>135.51333299999999</v>
      </c>
      <c r="L395" t="s">
        <v>419</v>
      </c>
      <c r="M395" s="33" t="s">
        <v>1854</v>
      </c>
      <c r="N395" s="32">
        <v>7.3000000000000001E-3</v>
      </c>
      <c r="O395" s="32">
        <v>2.9889999999999999</v>
      </c>
      <c r="P395" s="32">
        <v>11.215</v>
      </c>
      <c r="Q395" t="s">
        <v>890</v>
      </c>
    </row>
    <row r="396" spans="1:19">
      <c r="A396" s="9" t="s">
        <v>507</v>
      </c>
      <c r="B396" t="s">
        <v>465</v>
      </c>
      <c r="D396">
        <v>3</v>
      </c>
      <c r="E396" s="1">
        <v>42816</v>
      </c>
      <c r="F396" s="1">
        <v>43017</v>
      </c>
      <c r="G396">
        <f t="shared" si="10"/>
        <v>201</v>
      </c>
      <c r="H396" t="s">
        <v>417</v>
      </c>
      <c r="I396" t="s">
        <v>466</v>
      </c>
      <c r="J396">
        <v>-26.423333299999999</v>
      </c>
      <c r="K396">
        <v>135.51333299999999</v>
      </c>
      <c r="L396" t="s">
        <v>419</v>
      </c>
      <c r="M396" s="33" t="s">
        <v>1855</v>
      </c>
      <c r="N396" s="32">
        <v>5.9999999999999995E-4</v>
      </c>
      <c r="O396" s="32">
        <v>1.3839999999999999</v>
      </c>
      <c r="P396" s="32">
        <v>7.1020000000000003</v>
      </c>
      <c r="Q396" t="s">
        <v>890</v>
      </c>
    </row>
    <row r="397" spans="1:19">
      <c r="A397" s="9" t="s">
        <v>508</v>
      </c>
      <c r="B397" t="s">
        <v>465</v>
      </c>
      <c r="D397">
        <v>3</v>
      </c>
      <c r="E397" s="1">
        <v>42816</v>
      </c>
      <c r="F397" s="1">
        <v>43017</v>
      </c>
      <c r="G397">
        <f t="shared" si="10"/>
        <v>201</v>
      </c>
      <c r="H397" t="s">
        <v>417</v>
      </c>
      <c r="I397" t="s">
        <v>466</v>
      </c>
      <c r="J397">
        <v>-26.423333299999999</v>
      </c>
      <c r="K397">
        <v>135.51333299999999</v>
      </c>
      <c r="L397" t="s">
        <v>419</v>
      </c>
      <c r="M397" s="33" t="s">
        <v>1856</v>
      </c>
      <c r="N397" s="32">
        <v>8.9999999999999998E-4</v>
      </c>
      <c r="O397" s="32">
        <v>1.446</v>
      </c>
      <c r="P397" s="32">
        <v>7.3680000000000003</v>
      </c>
      <c r="Q397" t="s">
        <v>890</v>
      </c>
    </row>
    <row r="398" spans="1:19">
      <c r="A398" s="9" t="s">
        <v>509</v>
      </c>
      <c r="B398" t="s">
        <v>465</v>
      </c>
      <c r="D398">
        <v>3</v>
      </c>
      <c r="E398" s="1">
        <v>42816</v>
      </c>
      <c r="F398" s="1">
        <v>43017</v>
      </c>
      <c r="G398">
        <f t="shared" si="10"/>
        <v>201</v>
      </c>
      <c r="H398" t="s">
        <v>417</v>
      </c>
      <c r="I398" t="s">
        <v>466</v>
      </c>
      <c r="J398">
        <v>-26.423333299999999</v>
      </c>
      <c r="K398">
        <v>135.51333299999999</v>
      </c>
      <c r="L398" t="s">
        <v>419</v>
      </c>
      <c r="M398" s="33" t="s">
        <v>1857</v>
      </c>
      <c r="N398" s="32">
        <v>2.3E-3</v>
      </c>
      <c r="O398" s="32">
        <v>1.486</v>
      </c>
      <c r="P398" s="32">
        <v>6.2030000000000003</v>
      </c>
      <c r="Q398" t="s">
        <v>890</v>
      </c>
    </row>
    <row r="399" spans="1:19">
      <c r="A399" s="9" t="s">
        <v>510</v>
      </c>
      <c r="B399" t="s">
        <v>511</v>
      </c>
      <c r="D399">
        <v>2</v>
      </c>
      <c r="E399" s="1">
        <v>42815</v>
      </c>
      <c r="F399" s="1">
        <v>43017</v>
      </c>
      <c r="G399">
        <f t="shared" si="10"/>
        <v>202</v>
      </c>
      <c r="H399" t="s">
        <v>462</v>
      </c>
      <c r="I399" t="s">
        <v>463</v>
      </c>
      <c r="J399">
        <v>-25.754722220000001</v>
      </c>
      <c r="K399">
        <v>135.26305556</v>
      </c>
      <c r="L399" t="s">
        <v>419</v>
      </c>
      <c r="M399" s="33" t="s">
        <v>1858</v>
      </c>
      <c r="N399" s="32">
        <v>5.3E-3</v>
      </c>
      <c r="O399" s="35">
        <v>2.8490000000000002</v>
      </c>
      <c r="P399" s="35">
        <v>12.414999999999999</v>
      </c>
      <c r="Q399" t="s">
        <v>890</v>
      </c>
    </row>
    <row r="400" spans="1:19">
      <c r="A400" s="9" t="s">
        <v>512</v>
      </c>
      <c r="B400" t="s">
        <v>511</v>
      </c>
      <c r="D400">
        <v>2</v>
      </c>
      <c r="E400" s="1">
        <v>42815</v>
      </c>
      <c r="F400" s="1">
        <v>43017</v>
      </c>
      <c r="G400">
        <f t="shared" si="10"/>
        <v>202</v>
      </c>
      <c r="H400" t="s">
        <v>462</v>
      </c>
      <c r="I400" t="s">
        <v>463</v>
      </c>
      <c r="J400">
        <v>-25.754722220000001</v>
      </c>
      <c r="K400">
        <v>135.26305556</v>
      </c>
      <c r="L400" t="s">
        <v>419</v>
      </c>
      <c r="M400" s="33" t="s">
        <v>1859</v>
      </c>
      <c r="N400" s="32">
        <v>4.1999999999999997E-3</v>
      </c>
      <c r="O400" s="35">
        <v>2.4449999999999998</v>
      </c>
      <c r="P400" s="35">
        <v>11.102</v>
      </c>
      <c r="Q400" t="s">
        <v>890</v>
      </c>
    </row>
    <row r="401" spans="1:19">
      <c r="A401" s="9" t="s">
        <v>513</v>
      </c>
      <c r="B401" t="s">
        <v>511</v>
      </c>
      <c r="D401">
        <v>2</v>
      </c>
      <c r="E401" s="1">
        <v>42815</v>
      </c>
      <c r="F401" s="1">
        <v>43017</v>
      </c>
      <c r="G401">
        <f t="shared" si="10"/>
        <v>202</v>
      </c>
      <c r="H401" t="s">
        <v>462</v>
      </c>
      <c r="I401" t="s">
        <v>463</v>
      </c>
      <c r="J401">
        <v>-25.754722220000001</v>
      </c>
      <c r="K401">
        <v>135.26305556</v>
      </c>
      <c r="L401" t="s">
        <v>419</v>
      </c>
      <c r="M401" s="33" t="s">
        <v>1860</v>
      </c>
      <c r="N401" s="32">
        <v>8.2000000000000007E-3</v>
      </c>
      <c r="O401" s="32">
        <v>3.367</v>
      </c>
      <c r="P401" s="32">
        <v>13.137</v>
      </c>
      <c r="Q401" t="s">
        <v>890</v>
      </c>
    </row>
    <row r="402" spans="1:19">
      <c r="A402" s="9" t="s">
        <v>514</v>
      </c>
      <c r="B402" t="s">
        <v>465</v>
      </c>
      <c r="D402">
        <v>3</v>
      </c>
      <c r="E402" s="1">
        <v>42816</v>
      </c>
      <c r="F402" s="1">
        <v>43017</v>
      </c>
      <c r="G402">
        <f t="shared" si="10"/>
        <v>201</v>
      </c>
      <c r="H402" t="s">
        <v>417</v>
      </c>
      <c r="I402" t="s">
        <v>466</v>
      </c>
      <c r="J402">
        <v>-26.423333299999999</v>
      </c>
      <c r="K402">
        <v>135.51333299999999</v>
      </c>
      <c r="L402" t="s">
        <v>419</v>
      </c>
      <c r="M402" s="33" t="s">
        <v>1861</v>
      </c>
      <c r="N402" s="32">
        <v>5.9999999999999995E-4</v>
      </c>
      <c r="O402" s="32">
        <v>1.52</v>
      </c>
      <c r="P402" s="32">
        <v>8.0730000000000004</v>
      </c>
      <c r="Q402" t="s">
        <v>890</v>
      </c>
    </row>
    <row r="403" spans="1:19" s="43" customFormat="1">
      <c r="A403" s="9" t="s">
        <v>515</v>
      </c>
      <c r="B403" t="s">
        <v>511</v>
      </c>
      <c r="C403"/>
      <c r="D403">
        <v>2</v>
      </c>
      <c r="E403" s="1">
        <v>42815</v>
      </c>
      <c r="F403" s="1">
        <v>43017</v>
      </c>
      <c r="G403">
        <f t="shared" si="10"/>
        <v>202</v>
      </c>
      <c r="H403" t="s">
        <v>462</v>
      </c>
      <c r="I403" t="s">
        <v>463</v>
      </c>
      <c r="J403">
        <v>-25.754722220000001</v>
      </c>
      <c r="K403">
        <v>135.26305556</v>
      </c>
      <c r="L403" t="s">
        <v>419</v>
      </c>
      <c r="M403" s="33" t="s">
        <v>1862</v>
      </c>
      <c r="N403" s="32">
        <v>6.1000000000000004E-3</v>
      </c>
      <c r="O403" s="32">
        <v>2.7959999999999998</v>
      </c>
      <c r="P403" s="35">
        <v>11.231999999999999</v>
      </c>
      <c r="Q403" t="s">
        <v>890</v>
      </c>
      <c r="R403"/>
      <c r="S403"/>
    </row>
    <row r="404" spans="1:19">
      <c r="A404" s="9" t="s">
        <v>516</v>
      </c>
      <c r="B404" t="s">
        <v>511</v>
      </c>
      <c r="D404">
        <v>2</v>
      </c>
      <c r="E404" s="1">
        <v>42815</v>
      </c>
      <c r="F404" s="1">
        <v>43017</v>
      </c>
      <c r="G404">
        <f t="shared" si="10"/>
        <v>202</v>
      </c>
      <c r="H404" t="s">
        <v>462</v>
      </c>
      <c r="I404" t="s">
        <v>463</v>
      </c>
      <c r="J404">
        <v>-25.754722220000001</v>
      </c>
      <c r="K404">
        <v>135.26305556</v>
      </c>
      <c r="L404" t="s">
        <v>419</v>
      </c>
      <c r="M404" s="33" t="s">
        <v>1863</v>
      </c>
      <c r="N404" s="32">
        <v>6.0000000000000001E-3</v>
      </c>
      <c r="O404" s="32">
        <v>2.5659999999999998</v>
      </c>
      <c r="P404" s="35">
        <v>11.362</v>
      </c>
      <c r="Q404" t="s">
        <v>890</v>
      </c>
    </row>
    <row r="405" spans="1:19">
      <c r="A405" s="9" t="s">
        <v>517</v>
      </c>
      <c r="B405" t="s">
        <v>511</v>
      </c>
      <c r="D405">
        <v>2</v>
      </c>
      <c r="E405" s="1">
        <v>42815</v>
      </c>
      <c r="F405" s="1">
        <v>43017</v>
      </c>
      <c r="G405">
        <f t="shared" si="10"/>
        <v>202</v>
      </c>
      <c r="H405" t="s">
        <v>462</v>
      </c>
      <c r="I405" t="s">
        <v>463</v>
      </c>
      <c r="J405">
        <v>-25.754722220000001</v>
      </c>
      <c r="K405">
        <v>135.26305556</v>
      </c>
      <c r="L405" t="s">
        <v>419</v>
      </c>
      <c r="M405" s="33" t="s">
        <v>1864</v>
      </c>
      <c r="N405" s="32">
        <v>5.1999999999999998E-3</v>
      </c>
      <c r="O405" s="32">
        <v>2.5329999999999999</v>
      </c>
      <c r="P405" s="32">
        <v>8.9090000000000007</v>
      </c>
      <c r="Q405" t="s">
        <v>890</v>
      </c>
    </row>
    <row r="406" spans="1:19">
      <c r="A406" s="9" t="s">
        <v>518</v>
      </c>
      <c r="B406" t="s">
        <v>465</v>
      </c>
      <c r="D406">
        <v>3</v>
      </c>
      <c r="E406" s="1">
        <v>42816</v>
      </c>
      <c r="F406" s="1">
        <v>43017</v>
      </c>
      <c r="G406">
        <f t="shared" si="10"/>
        <v>201</v>
      </c>
      <c r="H406" t="s">
        <v>417</v>
      </c>
      <c r="I406" t="s">
        <v>466</v>
      </c>
      <c r="J406">
        <v>-26.423333299999999</v>
      </c>
      <c r="K406">
        <v>135.51333299999999</v>
      </c>
      <c r="L406" t="s">
        <v>419</v>
      </c>
      <c r="M406" s="33" t="s">
        <v>1865</v>
      </c>
      <c r="N406" s="32">
        <v>5.9999999999999995E-4</v>
      </c>
      <c r="O406" s="32">
        <v>1.405</v>
      </c>
      <c r="P406" s="32">
        <v>6.5369999999999999</v>
      </c>
      <c r="Q406" t="s">
        <v>890</v>
      </c>
    </row>
    <row r="407" spans="1:19">
      <c r="A407" s="9" t="s">
        <v>519</v>
      </c>
      <c r="B407" t="s">
        <v>465</v>
      </c>
      <c r="D407">
        <v>3</v>
      </c>
      <c r="E407" s="1">
        <v>42816</v>
      </c>
      <c r="F407" s="1">
        <v>43017</v>
      </c>
      <c r="G407">
        <f t="shared" si="10"/>
        <v>201</v>
      </c>
      <c r="H407" t="s">
        <v>417</v>
      </c>
      <c r="I407" t="s">
        <v>466</v>
      </c>
      <c r="J407">
        <v>-26.423333299999999</v>
      </c>
      <c r="K407">
        <v>135.51333299999999</v>
      </c>
      <c r="L407" t="s">
        <v>419</v>
      </c>
      <c r="M407" s="33" t="s">
        <v>1866</v>
      </c>
      <c r="N407" s="32">
        <v>8.9999999999999998E-4</v>
      </c>
      <c r="O407" s="32">
        <v>1.6160000000000001</v>
      </c>
      <c r="P407" s="32">
        <v>7.0720000000000001</v>
      </c>
      <c r="Q407" t="s">
        <v>890</v>
      </c>
    </row>
    <row r="408" spans="1:19">
      <c r="A408" s="9" t="s">
        <v>520</v>
      </c>
      <c r="B408" t="s">
        <v>511</v>
      </c>
      <c r="D408">
        <v>2</v>
      </c>
      <c r="E408" s="1">
        <v>42815</v>
      </c>
      <c r="F408" s="1">
        <v>43017</v>
      </c>
      <c r="G408">
        <f t="shared" si="10"/>
        <v>202</v>
      </c>
      <c r="H408" t="s">
        <v>462</v>
      </c>
      <c r="I408" t="s">
        <v>463</v>
      </c>
      <c r="J408">
        <v>-25.754722220000001</v>
      </c>
      <c r="K408">
        <v>135.26305556</v>
      </c>
      <c r="L408" t="s">
        <v>419</v>
      </c>
      <c r="M408" s="33" t="s">
        <v>1867</v>
      </c>
      <c r="N408" s="32">
        <v>5.4000000000000003E-3</v>
      </c>
      <c r="O408" s="32">
        <v>3.141</v>
      </c>
      <c r="P408" s="35">
        <v>13.755000000000001</v>
      </c>
      <c r="Q408" t="s">
        <v>890</v>
      </c>
    </row>
    <row r="409" spans="1:19">
      <c r="A409" s="2" t="s">
        <v>432</v>
      </c>
      <c r="B409" t="s">
        <v>465</v>
      </c>
      <c r="D409">
        <v>3</v>
      </c>
      <c r="E409" s="1">
        <v>42816</v>
      </c>
      <c r="F409" s="1">
        <v>43017</v>
      </c>
      <c r="G409">
        <f t="shared" ref="G409" si="11">F409-E409</f>
        <v>201</v>
      </c>
      <c r="H409" t="s">
        <v>417</v>
      </c>
      <c r="I409" t="s">
        <v>418</v>
      </c>
      <c r="J409">
        <v>-26.284722200000001</v>
      </c>
      <c r="K409">
        <v>136.09805556000001</v>
      </c>
      <c r="L409" t="s">
        <v>419</v>
      </c>
      <c r="M409" s="36" t="s">
        <v>1757</v>
      </c>
      <c r="N409" s="32">
        <v>1.1728000000000002E-2</v>
      </c>
      <c r="O409" s="35">
        <v>3.2669999999999999</v>
      </c>
      <c r="P409" s="35">
        <v>15.914</v>
      </c>
      <c r="Q409" s="20" t="s">
        <v>2094</v>
      </c>
    </row>
    <row r="410" spans="1:19">
      <c r="A410" s="9" t="s">
        <v>521</v>
      </c>
      <c r="B410" t="s">
        <v>465</v>
      </c>
      <c r="D410">
        <v>3</v>
      </c>
      <c r="E410" s="1">
        <v>42816</v>
      </c>
      <c r="F410" s="1">
        <v>43017</v>
      </c>
      <c r="G410">
        <f t="shared" ref="G410:G419" si="12">F410-E410</f>
        <v>201</v>
      </c>
      <c r="H410" t="s">
        <v>417</v>
      </c>
      <c r="I410" t="s">
        <v>466</v>
      </c>
      <c r="J410">
        <v>-26.423333299999999</v>
      </c>
      <c r="K410">
        <v>135.51333299999999</v>
      </c>
      <c r="L410" t="s">
        <v>419</v>
      </c>
      <c r="M410" s="33" t="s">
        <v>1868</v>
      </c>
      <c r="N410" s="32">
        <v>5.0000000000000001E-4</v>
      </c>
      <c r="O410" s="32">
        <v>1.1539999999999999</v>
      </c>
      <c r="P410" s="32">
        <v>5.1740000000000004</v>
      </c>
      <c r="Q410" t="s">
        <v>890</v>
      </c>
    </row>
    <row r="411" spans="1:19">
      <c r="A411" s="9" t="s">
        <v>522</v>
      </c>
      <c r="B411" t="s">
        <v>465</v>
      </c>
      <c r="D411">
        <v>3</v>
      </c>
      <c r="E411" s="1">
        <v>42816</v>
      </c>
      <c r="F411" s="1">
        <v>43017</v>
      </c>
      <c r="G411">
        <f t="shared" si="12"/>
        <v>201</v>
      </c>
      <c r="H411" t="s">
        <v>417</v>
      </c>
      <c r="I411" t="s">
        <v>466</v>
      </c>
      <c r="J411">
        <v>-26.423333299999999</v>
      </c>
      <c r="K411">
        <v>135.51333299999999</v>
      </c>
      <c r="L411" t="s">
        <v>419</v>
      </c>
      <c r="M411" s="33" t="s">
        <v>1869</v>
      </c>
      <c r="N411" s="32">
        <v>3.5999999999999999E-3</v>
      </c>
      <c r="O411" s="32">
        <v>2.0459999999999998</v>
      </c>
      <c r="P411" s="32">
        <v>11.638</v>
      </c>
      <c r="Q411" t="s">
        <v>890</v>
      </c>
    </row>
    <row r="412" spans="1:19">
      <c r="A412" s="9" t="s">
        <v>523</v>
      </c>
      <c r="B412" t="s">
        <v>465</v>
      </c>
      <c r="D412">
        <v>3</v>
      </c>
      <c r="E412" s="1">
        <v>42816</v>
      </c>
      <c r="F412" s="1">
        <v>43017</v>
      </c>
      <c r="G412">
        <f t="shared" si="12"/>
        <v>201</v>
      </c>
      <c r="H412" t="s">
        <v>417</v>
      </c>
      <c r="I412" t="s">
        <v>466</v>
      </c>
      <c r="J412">
        <v>-26.423333299999999</v>
      </c>
      <c r="K412">
        <v>135.51333299999999</v>
      </c>
      <c r="L412" t="s">
        <v>419</v>
      </c>
      <c r="M412" s="33" t="s">
        <v>1870</v>
      </c>
      <c r="N412" s="32">
        <v>4.0000000000000002E-4</v>
      </c>
      <c r="O412" s="32">
        <v>1.1020000000000001</v>
      </c>
      <c r="P412" s="32">
        <v>4.835</v>
      </c>
      <c r="Q412" t="s">
        <v>890</v>
      </c>
    </row>
    <row r="413" spans="1:19">
      <c r="A413" s="9" t="s">
        <v>524</v>
      </c>
      <c r="B413" t="s">
        <v>465</v>
      </c>
      <c r="D413">
        <v>3</v>
      </c>
      <c r="E413" s="1">
        <v>42816</v>
      </c>
      <c r="F413" s="1">
        <v>43017</v>
      </c>
      <c r="G413">
        <f t="shared" si="12"/>
        <v>201</v>
      </c>
      <c r="H413" t="s">
        <v>417</v>
      </c>
      <c r="I413" t="s">
        <v>466</v>
      </c>
      <c r="J413">
        <v>-26.423333299999999</v>
      </c>
      <c r="K413">
        <v>135.51333299999999</v>
      </c>
      <c r="L413" t="s">
        <v>419</v>
      </c>
      <c r="M413" s="33" t="s">
        <v>1871</v>
      </c>
      <c r="N413" s="32">
        <v>8.0000000000000004E-4</v>
      </c>
      <c r="O413" s="32">
        <v>1.5129999999999999</v>
      </c>
      <c r="P413" s="32">
        <v>6.62</v>
      </c>
      <c r="Q413" t="s">
        <v>890</v>
      </c>
    </row>
    <row r="414" spans="1:19">
      <c r="A414" s="9" t="s">
        <v>525</v>
      </c>
      <c r="B414" t="s">
        <v>465</v>
      </c>
      <c r="D414">
        <v>3</v>
      </c>
      <c r="E414" s="1">
        <v>42816</v>
      </c>
      <c r="F414" s="1">
        <v>43017</v>
      </c>
      <c r="G414">
        <f t="shared" si="12"/>
        <v>201</v>
      </c>
      <c r="H414" t="s">
        <v>417</v>
      </c>
      <c r="I414" t="s">
        <v>466</v>
      </c>
      <c r="J414">
        <v>-26.423333299999999</v>
      </c>
      <c r="K414">
        <v>135.51333299999999</v>
      </c>
      <c r="L414" t="s">
        <v>419</v>
      </c>
      <c r="M414" s="33" t="s">
        <v>1872</v>
      </c>
      <c r="N414" s="32">
        <v>5.9999999999999995E-4</v>
      </c>
      <c r="O414" s="32">
        <v>1.157</v>
      </c>
      <c r="P414" s="32">
        <v>5.2859999999999996</v>
      </c>
      <c r="Q414" t="s">
        <v>890</v>
      </c>
    </row>
    <row r="415" spans="1:19">
      <c r="A415" s="9" t="s">
        <v>526</v>
      </c>
      <c r="B415" t="s">
        <v>465</v>
      </c>
      <c r="D415">
        <v>3</v>
      </c>
      <c r="E415" s="1">
        <v>42816</v>
      </c>
      <c r="F415" s="1">
        <v>43017</v>
      </c>
      <c r="G415">
        <f t="shared" si="12"/>
        <v>201</v>
      </c>
      <c r="H415" t="s">
        <v>417</v>
      </c>
      <c r="I415" t="s">
        <v>466</v>
      </c>
      <c r="J415">
        <v>-26.423333299999999</v>
      </c>
      <c r="K415">
        <v>135.51333299999999</v>
      </c>
      <c r="L415" t="s">
        <v>419</v>
      </c>
      <c r="M415" s="33" t="s">
        <v>1873</v>
      </c>
      <c r="N415" s="32">
        <v>4.0000000000000002E-4</v>
      </c>
      <c r="O415" s="32">
        <v>0.998</v>
      </c>
      <c r="P415" s="32">
        <v>4.3440000000000003</v>
      </c>
      <c r="Q415" t="s">
        <v>890</v>
      </c>
    </row>
    <row r="416" spans="1:19">
      <c r="A416" s="9" t="s">
        <v>527</v>
      </c>
      <c r="B416" t="s">
        <v>465</v>
      </c>
      <c r="D416">
        <v>3</v>
      </c>
      <c r="E416" s="1">
        <v>42816</v>
      </c>
      <c r="F416" s="1">
        <v>43017</v>
      </c>
      <c r="G416">
        <f t="shared" si="12"/>
        <v>201</v>
      </c>
      <c r="H416" t="s">
        <v>417</v>
      </c>
      <c r="I416" t="s">
        <v>466</v>
      </c>
      <c r="J416">
        <v>-26.423333299999999</v>
      </c>
      <c r="K416">
        <v>135.51333299999999</v>
      </c>
      <c r="L416" t="s">
        <v>419</v>
      </c>
      <c r="M416" s="33" t="s">
        <v>1874</v>
      </c>
      <c r="N416" s="32">
        <v>5.0000000000000001E-4</v>
      </c>
      <c r="O416" s="32">
        <v>1.671</v>
      </c>
      <c r="P416" s="32">
        <v>6.907</v>
      </c>
      <c r="Q416" t="s">
        <v>890</v>
      </c>
    </row>
    <row r="417" spans="1:17">
      <c r="A417" s="9" t="s">
        <v>528</v>
      </c>
      <c r="B417" t="s">
        <v>465</v>
      </c>
      <c r="D417">
        <v>3</v>
      </c>
      <c r="E417" s="1">
        <v>42816</v>
      </c>
      <c r="F417" s="1">
        <v>43017</v>
      </c>
      <c r="G417">
        <f t="shared" si="12"/>
        <v>201</v>
      </c>
      <c r="H417" t="s">
        <v>417</v>
      </c>
      <c r="I417" t="s">
        <v>466</v>
      </c>
      <c r="J417">
        <v>-26.423333299999999</v>
      </c>
      <c r="K417">
        <v>135.51333299999999</v>
      </c>
      <c r="L417" t="s">
        <v>419</v>
      </c>
      <c r="M417" s="33" t="s">
        <v>1875</v>
      </c>
      <c r="N417" s="32">
        <v>5.9999999999999995E-4</v>
      </c>
      <c r="O417" s="32">
        <v>1.776</v>
      </c>
      <c r="P417" s="32">
        <v>7.0839999999999996</v>
      </c>
      <c r="Q417" t="s">
        <v>890</v>
      </c>
    </row>
    <row r="418" spans="1:17">
      <c r="A418" s="9" t="s">
        <v>529</v>
      </c>
      <c r="B418" t="s">
        <v>465</v>
      </c>
      <c r="D418">
        <v>3</v>
      </c>
      <c r="E418" s="1">
        <v>42816</v>
      </c>
      <c r="F418" s="1">
        <v>43017</v>
      </c>
      <c r="G418">
        <f t="shared" si="12"/>
        <v>201</v>
      </c>
      <c r="H418" t="s">
        <v>417</v>
      </c>
      <c r="I418" t="s">
        <v>466</v>
      </c>
      <c r="J418">
        <v>-26.423333299999999</v>
      </c>
      <c r="K418">
        <v>135.51333299999999</v>
      </c>
      <c r="L418" t="s">
        <v>419</v>
      </c>
      <c r="M418" s="33" t="s">
        <v>1876</v>
      </c>
      <c r="N418" s="32">
        <v>2.0000000000000001E-4</v>
      </c>
      <c r="O418" s="35">
        <v>1.212</v>
      </c>
      <c r="P418" s="35">
        <v>4.4989999999999997</v>
      </c>
      <c r="Q418" t="s">
        <v>890</v>
      </c>
    </row>
    <row r="419" spans="1:17">
      <c r="A419" s="9" t="s">
        <v>530</v>
      </c>
      <c r="B419" t="s">
        <v>465</v>
      </c>
      <c r="D419">
        <v>3</v>
      </c>
      <c r="E419" s="1">
        <v>42816</v>
      </c>
      <c r="F419" s="1">
        <v>43017</v>
      </c>
      <c r="G419">
        <f t="shared" si="12"/>
        <v>201</v>
      </c>
      <c r="H419" t="s">
        <v>417</v>
      </c>
      <c r="I419" t="s">
        <v>466</v>
      </c>
      <c r="J419">
        <v>-26.423333299999999</v>
      </c>
      <c r="K419">
        <v>135.51333299999999</v>
      </c>
      <c r="L419" t="s">
        <v>419</v>
      </c>
      <c r="M419" s="33" t="s">
        <v>1877</v>
      </c>
      <c r="N419" s="32">
        <v>5.0000000000000001E-4</v>
      </c>
      <c r="O419" s="32">
        <v>1.179</v>
      </c>
      <c r="P419" s="32">
        <v>5.3810000000000002</v>
      </c>
      <c r="Q419" t="s">
        <v>890</v>
      </c>
    </row>
  </sheetData>
  <sortState ref="A2:S442">
    <sortCondition ref="M2:M442"/>
  </sortState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08 D410:D41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62"/>
  <sheetViews>
    <sheetView topLeftCell="A116" zoomScale="80" zoomScaleNormal="80" workbookViewId="0">
      <pane xSplit="1" topLeftCell="B1" activePane="topRight" state="frozen"/>
      <selection pane="topRight" activeCell="P130" sqref="P130"/>
    </sheetView>
  </sheetViews>
  <sheetFormatPr baseColWidth="10" defaultColWidth="8.83203125" defaultRowHeight="15"/>
  <cols>
    <col min="1" max="1" width="22.1640625" bestFit="1" customWidth="1"/>
    <col min="15" max="15" width="11.1640625" bestFit="1" customWidth="1"/>
    <col min="16" max="16" width="10.83203125" bestFit="1" customWidth="1"/>
    <col min="17" max="17" width="12.6640625" bestFit="1" customWidth="1"/>
    <col min="21" max="21" width="9.83203125" bestFit="1" customWidth="1"/>
  </cols>
  <sheetData>
    <row r="1" spans="1:24" s="9" customFormat="1" ht="15" customHeight="1">
      <c r="A1" s="68"/>
      <c r="B1" s="139" t="s">
        <v>0</v>
      </c>
      <c r="C1" s="140" t="s">
        <v>2225</v>
      </c>
      <c r="D1" s="140" t="s">
        <v>413</v>
      </c>
      <c r="E1" s="140" t="s">
        <v>1</v>
      </c>
      <c r="F1" s="140" t="s">
        <v>345</v>
      </c>
      <c r="G1" s="140" t="s">
        <v>344</v>
      </c>
      <c r="H1" s="140" t="s">
        <v>349</v>
      </c>
      <c r="I1" s="141" t="s">
        <v>409</v>
      </c>
      <c r="J1" s="140" t="s">
        <v>3</v>
      </c>
      <c r="K1" s="140" t="s">
        <v>4</v>
      </c>
      <c r="L1" s="140" t="s">
        <v>346</v>
      </c>
      <c r="M1" s="140" t="s">
        <v>2560</v>
      </c>
      <c r="N1" s="140" t="s">
        <v>347</v>
      </c>
      <c r="O1" s="140" t="s">
        <v>348</v>
      </c>
      <c r="P1" s="140" t="s">
        <v>2718</v>
      </c>
      <c r="Q1" s="140" t="s">
        <v>5</v>
      </c>
      <c r="R1" s="140" t="s">
        <v>2101</v>
      </c>
      <c r="S1" s="140" t="s">
        <v>7</v>
      </c>
      <c r="T1" s="140" t="s">
        <v>1748</v>
      </c>
      <c r="U1" s="142" t="s">
        <v>1749</v>
      </c>
      <c r="V1" s="140" t="s">
        <v>9</v>
      </c>
      <c r="W1" s="140" t="s">
        <v>10</v>
      </c>
      <c r="X1" s="140" t="s">
        <v>2553</v>
      </c>
    </row>
    <row r="2" spans="1:24" ht="16">
      <c r="B2" s="143" t="s">
        <v>3256</v>
      </c>
      <c r="C2" s="144" t="s">
        <v>1744</v>
      </c>
      <c r="D2" s="144" t="s">
        <v>3551</v>
      </c>
      <c r="E2" s="144" t="s">
        <v>3194</v>
      </c>
      <c r="F2" s="144">
        <v>81</v>
      </c>
      <c r="G2" s="144"/>
      <c r="H2" s="144"/>
      <c r="I2" s="145">
        <v>42095</v>
      </c>
      <c r="J2" s="144" t="s">
        <v>36</v>
      </c>
      <c r="K2" s="144" t="s">
        <v>154</v>
      </c>
      <c r="L2" s="144" t="s">
        <v>2566</v>
      </c>
      <c r="M2" s="144" t="s">
        <v>2574</v>
      </c>
      <c r="N2" s="144" t="s">
        <v>3191</v>
      </c>
      <c r="O2" s="144" t="s">
        <v>2111</v>
      </c>
      <c r="P2" s="144" t="s">
        <v>2739</v>
      </c>
      <c r="Q2" s="144" t="s">
        <v>2399</v>
      </c>
      <c r="R2" s="144" t="s">
        <v>917</v>
      </c>
      <c r="S2" s="144">
        <v>5.4800000000000001E-2</v>
      </c>
      <c r="T2" s="144">
        <v>3.5361290322580646E-2</v>
      </c>
      <c r="U2" s="144">
        <f>S2-T2</f>
        <v>1.9438709677419355E-2</v>
      </c>
      <c r="V2" s="144">
        <v>4.1639999999999997</v>
      </c>
      <c r="W2" s="144">
        <f>7.729+4.511+4.271</f>
        <v>16.510999999999999</v>
      </c>
      <c r="X2" s="144"/>
    </row>
    <row r="3" spans="1:24" ht="16">
      <c r="B3" s="143" t="s">
        <v>3257</v>
      </c>
      <c r="C3" s="144" t="s">
        <v>1744</v>
      </c>
      <c r="D3" s="144" t="s">
        <v>3551</v>
      </c>
      <c r="E3" s="144" t="s">
        <v>3195</v>
      </c>
      <c r="F3" s="144" t="s">
        <v>36</v>
      </c>
      <c r="G3" s="144"/>
      <c r="H3" s="144"/>
      <c r="I3" s="145">
        <v>42096</v>
      </c>
      <c r="J3" s="144" t="s">
        <v>36</v>
      </c>
      <c r="K3" s="144" t="s">
        <v>154</v>
      </c>
      <c r="L3" s="144" t="s">
        <v>2566</v>
      </c>
      <c r="M3" s="144" t="s">
        <v>2574</v>
      </c>
      <c r="N3" s="144" t="s">
        <v>3191</v>
      </c>
      <c r="O3" s="144" t="s">
        <v>2111</v>
      </c>
      <c r="P3" s="144" t="s">
        <v>2739</v>
      </c>
      <c r="Q3" s="144" t="s">
        <v>2399</v>
      </c>
      <c r="R3" s="144" t="s">
        <v>917</v>
      </c>
      <c r="S3" s="144">
        <v>5.79E-2</v>
      </c>
      <c r="T3" s="144">
        <v>3.5361290322580646E-2</v>
      </c>
      <c r="U3" s="144">
        <f t="shared" ref="U3:U66" si="0">S3-T3</f>
        <v>2.2538709677419354E-2</v>
      </c>
      <c r="V3" s="144">
        <v>4.2729999999999997</v>
      </c>
      <c r="W3" s="144">
        <f>8.358+3.367+4.703</f>
        <v>16.428000000000001</v>
      </c>
      <c r="X3" s="144"/>
    </row>
    <row r="4" spans="1:24" ht="16">
      <c r="B4" s="143" t="s">
        <v>3258</v>
      </c>
      <c r="C4" s="144" t="s">
        <v>1744</v>
      </c>
      <c r="D4" s="144" t="s">
        <v>3551</v>
      </c>
      <c r="E4" s="144" t="s">
        <v>3196</v>
      </c>
      <c r="F4" s="144">
        <v>74</v>
      </c>
      <c r="G4" s="144"/>
      <c r="H4" s="144"/>
      <c r="I4" s="145">
        <v>42097</v>
      </c>
      <c r="J4" s="144" t="s">
        <v>36</v>
      </c>
      <c r="K4" s="144" t="s">
        <v>154</v>
      </c>
      <c r="L4" s="144" t="s">
        <v>2566</v>
      </c>
      <c r="M4" s="144" t="s">
        <v>2574</v>
      </c>
      <c r="N4" s="144" t="s">
        <v>3191</v>
      </c>
      <c r="O4" s="144" t="s">
        <v>2111</v>
      </c>
      <c r="P4" s="144" t="s">
        <v>2739</v>
      </c>
      <c r="Q4" s="144" t="s">
        <v>2399</v>
      </c>
      <c r="R4" s="144" t="s">
        <v>946</v>
      </c>
      <c r="S4" s="144">
        <v>5.4800000000000001E-2</v>
      </c>
      <c r="T4" s="144">
        <v>3.5361290322580646E-2</v>
      </c>
      <c r="U4" s="144">
        <f t="shared" si="0"/>
        <v>1.9438709677419355E-2</v>
      </c>
      <c r="V4" s="144">
        <v>4.1109999999999998</v>
      </c>
      <c r="W4" s="144">
        <f>7.567+3.711+4.605</f>
        <v>15.883000000000001</v>
      </c>
      <c r="X4" s="144"/>
    </row>
    <row r="5" spans="1:24" ht="16">
      <c r="B5" s="143" t="s">
        <v>3255</v>
      </c>
      <c r="C5" s="144" t="s">
        <v>1744</v>
      </c>
      <c r="D5" s="144" t="s">
        <v>3551</v>
      </c>
      <c r="E5" s="144" t="s">
        <v>3197</v>
      </c>
      <c r="F5" s="144">
        <v>15</v>
      </c>
      <c r="G5" s="144"/>
      <c r="H5" s="144"/>
      <c r="I5" s="145">
        <v>42098</v>
      </c>
      <c r="J5" s="144" t="s">
        <v>36</v>
      </c>
      <c r="K5" s="144" t="s">
        <v>154</v>
      </c>
      <c r="L5" s="144" t="s">
        <v>2566</v>
      </c>
      <c r="M5" s="144" t="s">
        <v>2574</v>
      </c>
      <c r="N5" s="144" t="s">
        <v>3191</v>
      </c>
      <c r="O5" s="144" t="s">
        <v>2111</v>
      </c>
      <c r="P5" s="144" t="s">
        <v>2739</v>
      </c>
      <c r="Q5" s="144" t="s">
        <v>2399</v>
      </c>
      <c r="R5" s="144" t="s">
        <v>917</v>
      </c>
      <c r="S5" s="144">
        <v>5.4899999999999997E-2</v>
      </c>
      <c r="T5" s="144">
        <v>3.5361290322580646E-2</v>
      </c>
      <c r="U5" s="144">
        <f t="shared" si="0"/>
        <v>1.9538709677419351E-2</v>
      </c>
      <c r="V5" s="144">
        <v>4.125</v>
      </c>
      <c r="W5" s="144">
        <f>7.954+9.355</f>
        <v>17.309000000000001</v>
      </c>
      <c r="X5" s="144"/>
    </row>
    <row r="6" spans="1:24" ht="16">
      <c r="B6" s="143" t="s">
        <v>3259</v>
      </c>
      <c r="C6" s="144" t="s">
        <v>1744</v>
      </c>
      <c r="D6" s="144" t="s">
        <v>3551</v>
      </c>
      <c r="E6" s="144" t="s">
        <v>3198</v>
      </c>
      <c r="F6" s="144">
        <v>386</v>
      </c>
      <c r="G6" s="144"/>
      <c r="H6" s="144"/>
      <c r="I6" s="145">
        <v>42099</v>
      </c>
      <c r="J6" s="144" t="s">
        <v>36</v>
      </c>
      <c r="K6" s="144" t="s">
        <v>154</v>
      </c>
      <c r="L6" s="144" t="s">
        <v>2566</v>
      </c>
      <c r="M6" s="144" t="s">
        <v>2574</v>
      </c>
      <c r="N6" s="144" t="s">
        <v>3191</v>
      </c>
      <c r="O6" s="144" t="s">
        <v>2111</v>
      </c>
      <c r="P6" s="144" t="s">
        <v>2739</v>
      </c>
      <c r="Q6" s="144" t="s">
        <v>2399</v>
      </c>
      <c r="R6" s="144" t="s">
        <v>917</v>
      </c>
      <c r="S6" s="144">
        <v>5.6300000000000003E-2</v>
      </c>
      <c r="T6" s="144">
        <v>3.5361290322580646E-2</v>
      </c>
      <c r="U6" s="144">
        <f t="shared" si="0"/>
        <v>2.0938709677419357E-2</v>
      </c>
      <c r="V6" s="144">
        <v>4.37</v>
      </c>
      <c r="W6" s="144">
        <f>7.924+8.865</f>
        <v>16.789000000000001</v>
      </c>
      <c r="X6" s="144"/>
    </row>
    <row r="7" spans="1:24" ht="16">
      <c r="B7" s="143" t="s">
        <v>3260</v>
      </c>
      <c r="C7" s="144" t="s">
        <v>1744</v>
      </c>
      <c r="D7" s="144" t="s">
        <v>3551</v>
      </c>
      <c r="E7" s="144" t="s">
        <v>3197</v>
      </c>
      <c r="F7" s="144">
        <v>24</v>
      </c>
      <c r="G7" s="144"/>
      <c r="H7" s="144"/>
      <c r="I7" s="145">
        <v>42100</v>
      </c>
      <c r="J7" s="144" t="s">
        <v>36</v>
      </c>
      <c r="K7" s="144" t="s">
        <v>154</v>
      </c>
      <c r="L7" s="144" t="s">
        <v>2566</v>
      </c>
      <c r="M7" s="144" t="s">
        <v>2574</v>
      </c>
      <c r="N7" s="144" t="s">
        <v>3191</v>
      </c>
      <c r="O7" s="144" t="s">
        <v>2111</v>
      </c>
      <c r="P7" s="144" t="s">
        <v>2739</v>
      </c>
      <c r="Q7" s="144" t="s">
        <v>2399</v>
      </c>
      <c r="R7" s="144" t="s">
        <v>917</v>
      </c>
      <c r="S7" s="144">
        <v>5.4399999999999997E-2</v>
      </c>
      <c r="T7" s="144">
        <v>3.5361290322580646E-2</v>
      </c>
      <c r="U7" s="144">
        <f t="shared" si="0"/>
        <v>1.9038709677419351E-2</v>
      </c>
      <c r="V7" s="144">
        <v>4.1740000000000004</v>
      </c>
      <c r="W7" s="144">
        <f>7.492+9.102</f>
        <v>16.594000000000001</v>
      </c>
      <c r="X7" s="144"/>
    </row>
    <row r="8" spans="1:24" ht="16">
      <c r="B8" s="143" t="s">
        <v>3261</v>
      </c>
      <c r="C8" s="144" t="s">
        <v>1744</v>
      </c>
      <c r="D8" s="144" t="s">
        <v>3551</v>
      </c>
      <c r="E8" s="144" t="s">
        <v>3199</v>
      </c>
      <c r="F8" s="144" t="s">
        <v>36</v>
      </c>
      <c r="G8" s="144"/>
      <c r="H8" s="144"/>
      <c r="I8" s="145">
        <v>42101</v>
      </c>
      <c r="J8" s="144" t="s">
        <v>36</v>
      </c>
      <c r="K8" s="144" t="s">
        <v>154</v>
      </c>
      <c r="L8" s="144" t="s">
        <v>2566</v>
      </c>
      <c r="M8" s="144" t="s">
        <v>2574</v>
      </c>
      <c r="N8" s="144" t="s">
        <v>3191</v>
      </c>
      <c r="O8" s="144" t="s">
        <v>2111</v>
      </c>
      <c r="P8" s="144" t="s">
        <v>2739</v>
      </c>
      <c r="Q8" s="144" t="s">
        <v>2399</v>
      </c>
      <c r="R8" s="144" t="s">
        <v>917</v>
      </c>
      <c r="S8" s="144">
        <v>5.3600000000000002E-2</v>
      </c>
      <c r="T8" s="144">
        <v>3.5361290322580646E-2</v>
      </c>
      <c r="U8" s="144">
        <f t="shared" si="0"/>
        <v>1.8238709677419356E-2</v>
      </c>
      <c r="V8" s="144">
        <v>3.8730000000000002</v>
      </c>
      <c r="W8" s="144">
        <f>7.739+8.027</f>
        <v>15.765999999999998</v>
      </c>
      <c r="X8" s="144"/>
    </row>
    <row r="9" spans="1:24" ht="17" thickBot="1">
      <c r="B9" s="143" t="s">
        <v>3262</v>
      </c>
      <c r="C9" s="144" t="s">
        <v>1744</v>
      </c>
      <c r="D9" s="144" t="s">
        <v>3551</v>
      </c>
      <c r="E9" s="144" t="s">
        <v>3201</v>
      </c>
      <c r="F9" s="144" t="s">
        <v>36</v>
      </c>
      <c r="G9" s="144"/>
      <c r="H9" s="144"/>
      <c r="I9" s="145">
        <v>42102</v>
      </c>
      <c r="J9" s="144" t="s">
        <v>36</v>
      </c>
      <c r="K9" s="144" t="s">
        <v>154</v>
      </c>
      <c r="L9" s="144" t="s">
        <v>2566</v>
      </c>
      <c r="M9" s="144" t="s">
        <v>2574</v>
      </c>
      <c r="N9" s="144" t="s">
        <v>3191</v>
      </c>
      <c r="O9" s="144" t="s">
        <v>2111</v>
      </c>
      <c r="P9" s="144" t="s">
        <v>2739</v>
      </c>
      <c r="Q9" s="144" t="s">
        <v>2399</v>
      </c>
      <c r="R9" s="144" t="s">
        <v>917</v>
      </c>
      <c r="S9" s="144">
        <v>5.1499999999999997E-2</v>
      </c>
      <c r="T9" s="144">
        <v>3.5361290322580646E-2</v>
      </c>
      <c r="U9" s="144">
        <f t="shared" si="0"/>
        <v>1.6138709677419351E-2</v>
      </c>
      <c r="V9" s="144">
        <v>3.5510000000000002</v>
      </c>
      <c r="W9" s="144">
        <f>7.37+7.005</f>
        <v>14.375</v>
      </c>
      <c r="X9" s="144"/>
    </row>
    <row r="10" spans="1:24" s="132" customFormat="1" ht="17" thickTop="1">
      <c r="B10" s="143" t="s">
        <v>3263</v>
      </c>
      <c r="C10" s="144" t="s">
        <v>1744</v>
      </c>
      <c r="D10" s="144" t="s">
        <v>3551</v>
      </c>
      <c r="E10" s="144" t="s">
        <v>3202</v>
      </c>
      <c r="F10" s="144">
        <v>680</v>
      </c>
      <c r="G10" s="144"/>
      <c r="H10" s="144"/>
      <c r="I10" s="145">
        <v>42103</v>
      </c>
      <c r="J10" s="144" t="s">
        <v>36</v>
      </c>
      <c r="K10" s="144" t="s">
        <v>154</v>
      </c>
      <c r="L10" s="144" t="s">
        <v>2566</v>
      </c>
      <c r="M10" s="144" t="s">
        <v>2574</v>
      </c>
      <c r="N10" s="144" t="s">
        <v>3191</v>
      </c>
      <c r="O10" s="144" t="s">
        <v>2111</v>
      </c>
      <c r="P10" s="144" t="s">
        <v>2739</v>
      </c>
      <c r="Q10" s="140" t="s">
        <v>3546</v>
      </c>
      <c r="R10" s="144" t="s">
        <v>917</v>
      </c>
      <c r="S10" s="144">
        <v>4.2999999999999997E-2</v>
      </c>
      <c r="T10" s="144">
        <v>3.5361290322580646E-2</v>
      </c>
      <c r="U10" s="144">
        <f t="shared" si="0"/>
        <v>7.6387096774193503E-3</v>
      </c>
      <c r="V10" s="144">
        <v>2.798</v>
      </c>
      <c r="W10" s="144">
        <v>10.964</v>
      </c>
      <c r="X10" s="144"/>
    </row>
    <row r="11" spans="1:24" ht="16">
      <c r="B11" s="143" t="s">
        <v>3264</v>
      </c>
      <c r="C11" s="144" t="s">
        <v>1744</v>
      </c>
      <c r="D11" s="144" t="s">
        <v>3551</v>
      </c>
      <c r="E11" s="140" t="s">
        <v>3203</v>
      </c>
      <c r="F11" s="144" t="s">
        <v>36</v>
      </c>
      <c r="G11" s="144"/>
      <c r="H11" s="144"/>
      <c r="I11" s="145">
        <v>42104</v>
      </c>
      <c r="J11" s="144" t="s">
        <v>36</v>
      </c>
      <c r="K11" s="144" t="s">
        <v>154</v>
      </c>
      <c r="L11" s="144" t="s">
        <v>2566</v>
      </c>
      <c r="M11" s="144" t="s">
        <v>2574</v>
      </c>
      <c r="N11" s="144" t="s">
        <v>3191</v>
      </c>
      <c r="O11" s="140" t="s">
        <v>2111</v>
      </c>
      <c r="P11" s="144" t="s">
        <v>2739</v>
      </c>
      <c r="Q11" s="140" t="s">
        <v>3546</v>
      </c>
      <c r="R11" s="140" t="s">
        <v>917</v>
      </c>
      <c r="S11" s="140">
        <v>4.02E-2</v>
      </c>
      <c r="T11" s="144">
        <v>3.5361290322580646E-2</v>
      </c>
      <c r="U11" s="144">
        <f t="shared" si="0"/>
        <v>4.8387096774193533E-3</v>
      </c>
      <c r="V11" s="140">
        <v>2.4</v>
      </c>
      <c r="W11" s="144">
        <f>4.785+4.623</f>
        <v>9.4080000000000013</v>
      </c>
      <c r="X11" s="144"/>
    </row>
    <row r="12" spans="1:24" ht="16">
      <c r="B12" s="143" t="s">
        <v>3265</v>
      </c>
      <c r="C12" s="144" t="s">
        <v>1744</v>
      </c>
      <c r="D12" s="144" t="s">
        <v>3551</v>
      </c>
      <c r="E12" s="140" t="s">
        <v>3204</v>
      </c>
      <c r="F12" s="144" t="s">
        <v>36</v>
      </c>
      <c r="G12" s="144"/>
      <c r="H12" s="144"/>
      <c r="I12" s="145">
        <v>42105</v>
      </c>
      <c r="J12" s="144" t="s">
        <v>36</v>
      </c>
      <c r="K12" s="144" t="s">
        <v>154</v>
      </c>
      <c r="L12" s="144" t="s">
        <v>2566</v>
      </c>
      <c r="M12" s="144" t="s">
        <v>2574</v>
      </c>
      <c r="N12" s="144" t="s">
        <v>3191</v>
      </c>
      <c r="O12" s="140" t="s">
        <v>2111</v>
      </c>
      <c r="P12" s="144" t="s">
        <v>2739</v>
      </c>
      <c r="Q12" s="140" t="s">
        <v>3546</v>
      </c>
      <c r="R12" s="140" t="s">
        <v>917</v>
      </c>
      <c r="S12" s="140">
        <v>4.2900000000000001E-2</v>
      </c>
      <c r="T12" s="144">
        <v>3.5361290322580646E-2</v>
      </c>
      <c r="U12" s="144">
        <f t="shared" si="0"/>
        <v>7.5387096774193543E-3</v>
      </c>
      <c r="V12" s="140">
        <v>2.669</v>
      </c>
      <c r="W12" s="144">
        <f>5.961+5.605</f>
        <v>11.566000000000001</v>
      </c>
      <c r="X12" s="144"/>
    </row>
    <row r="13" spans="1:24" s="133" customFormat="1" ht="16">
      <c r="B13" s="143" t="s">
        <v>3266</v>
      </c>
      <c r="C13" s="144" t="s">
        <v>1744</v>
      </c>
      <c r="D13" s="144" t="s">
        <v>3551</v>
      </c>
      <c r="E13" s="144" t="s">
        <v>3206</v>
      </c>
      <c r="F13" s="144">
        <v>84</v>
      </c>
      <c r="G13" s="144"/>
      <c r="H13" s="144"/>
      <c r="I13" s="145">
        <v>42106</v>
      </c>
      <c r="J13" s="144" t="s">
        <v>36</v>
      </c>
      <c r="K13" s="144" t="s">
        <v>154</v>
      </c>
      <c r="L13" s="144" t="s">
        <v>2566</v>
      </c>
      <c r="M13" s="144" t="s">
        <v>2574</v>
      </c>
      <c r="N13" s="144" t="s">
        <v>3191</v>
      </c>
      <c r="O13" s="144" t="s">
        <v>2111</v>
      </c>
      <c r="P13" s="144" t="s">
        <v>2739</v>
      </c>
      <c r="Q13" s="144" t="s">
        <v>3547</v>
      </c>
      <c r="R13" s="144" t="s">
        <v>917</v>
      </c>
      <c r="S13" s="144">
        <v>4.5199999999999997E-2</v>
      </c>
      <c r="T13" s="144">
        <v>3.5361290322580646E-2</v>
      </c>
      <c r="U13" s="144">
        <f t="shared" si="0"/>
        <v>9.8387096774193508E-3</v>
      </c>
      <c r="V13" s="144">
        <v>2.9470000000000001</v>
      </c>
      <c r="W13" s="144">
        <f>6.359+5.274</f>
        <v>11.632999999999999</v>
      </c>
      <c r="X13" s="144"/>
    </row>
    <row r="14" spans="1:24" ht="16">
      <c r="B14" s="143" t="s">
        <v>3267</v>
      </c>
      <c r="C14" s="144" t="s">
        <v>1744</v>
      </c>
      <c r="D14" s="144" t="s">
        <v>3551</v>
      </c>
      <c r="E14" s="140" t="s">
        <v>3207</v>
      </c>
      <c r="F14" s="144">
        <v>55</v>
      </c>
      <c r="G14" s="144"/>
      <c r="H14" s="144"/>
      <c r="I14" s="145">
        <v>42107</v>
      </c>
      <c r="J14" s="144" t="s">
        <v>36</v>
      </c>
      <c r="K14" s="144" t="s">
        <v>154</v>
      </c>
      <c r="L14" s="144" t="s">
        <v>2566</v>
      </c>
      <c r="M14" s="144" t="s">
        <v>2574</v>
      </c>
      <c r="N14" s="144" t="s">
        <v>3191</v>
      </c>
      <c r="O14" s="140" t="s">
        <v>2111</v>
      </c>
      <c r="P14" s="144" t="s">
        <v>2739</v>
      </c>
      <c r="Q14" s="144" t="s">
        <v>3547</v>
      </c>
      <c r="R14" s="140" t="s">
        <v>917</v>
      </c>
      <c r="S14" s="140">
        <v>4.48E-2</v>
      </c>
      <c r="T14" s="144">
        <v>3.5361290322580646E-2</v>
      </c>
      <c r="U14" s="144">
        <f t="shared" si="0"/>
        <v>9.4387096774193532E-3</v>
      </c>
      <c r="V14" s="140">
        <v>3.0569999999999999</v>
      </c>
      <c r="W14" s="144">
        <f>5.948+5.947</f>
        <v>11.895</v>
      </c>
      <c r="X14" s="144"/>
    </row>
    <row r="15" spans="1:24" ht="16">
      <c r="B15" s="143" t="s">
        <v>3268</v>
      </c>
      <c r="C15" s="144" t="s">
        <v>1744</v>
      </c>
      <c r="D15" s="144" t="s">
        <v>3551</v>
      </c>
      <c r="E15" s="140" t="s">
        <v>3208</v>
      </c>
      <c r="F15" s="144" t="s">
        <v>36</v>
      </c>
      <c r="G15" s="144"/>
      <c r="H15" s="144"/>
      <c r="I15" s="145">
        <v>42108</v>
      </c>
      <c r="J15" s="144" t="s">
        <v>36</v>
      </c>
      <c r="K15" s="144" t="s">
        <v>154</v>
      </c>
      <c r="L15" s="144" t="s">
        <v>2566</v>
      </c>
      <c r="M15" s="144" t="s">
        <v>2574</v>
      </c>
      <c r="N15" s="144" t="s">
        <v>3191</v>
      </c>
      <c r="O15" s="140" t="s">
        <v>2111</v>
      </c>
      <c r="P15" s="144" t="s">
        <v>2739</v>
      </c>
      <c r="Q15" s="144" t="s">
        <v>3547</v>
      </c>
      <c r="R15" s="140" t="s">
        <v>917</v>
      </c>
      <c r="S15" s="140">
        <v>4.5499999999999999E-2</v>
      </c>
      <c r="T15" s="144">
        <v>3.5361290322580646E-2</v>
      </c>
      <c r="U15" s="144">
        <f t="shared" si="0"/>
        <v>1.0138709677419352E-2</v>
      </c>
      <c r="V15" s="140">
        <v>2.9510000000000001</v>
      </c>
      <c r="W15" s="144">
        <f>5.805+6.409</f>
        <v>12.213999999999999</v>
      </c>
      <c r="X15" s="144"/>
    </row>
    <row r="16" spans="1:24" ht="16">
      <c r="B16" s="143" t="s">
        <v>3269</v>
      </c>
      <c r="C16" s="144" t="s">
        <v>1744</v>
      </c>
      <c r="D16" s="144" t="s">
        <v>3551</v>
      </c>
      <c r="E16" s="140" t="s">
        <v>3209</v>
      </c>
      <c r="F16" s="144">
        <v>225</v>
      </c>
      <c r="G16" s="144"/>
      <c r="H16" s="144"/>
      <c r="I16" s="145">
        <v>42109</v>
      </c>
      <c r="J16" s="144" t="s">
        <v>36</v>
      </c>
      <c r="K16" s="144" t="s">
        <v>154</v>
      </c>
      <c r="L16" s="144" t="s">
        <v>2566</v>
      </c>
      <c r="M16" s="144" t="s">
        <v>2574</v>
      </c>
      <c r="N16" s="144" t="s">
        <v>3191</v>
      </c>
      <c r="O16" s="140" t="s">
        <v>2111</v>
      </c>
      <c r="P16" s="144" t="s">
        <v>2739</v>
      </c>
      <c r="Q16" s="144" t="s">
        <v>3547</v>
      </c>
      <c r="R16" s="140" t="s">
        <v>917</v>
      </c>
      <c r="S16" s="140">
        <v>4.5999999999999999E-2</v>
      </c>
      <c r="T16" s="144">
        <v>3.5361290322580646E-2</v>
      </c>
      <c r="U16" s="144">
        <f t="shared" si="0"/>
        <v>1.0638709677419353E-2</v>
      </c>
      <c r="V16" s="140">
        <v>3.2040000000000002</v>
      </c>
      <c r="W16" s="144">
        <f>5.943+7.258</f>
        <v>13.201000000000001</v>
      </c>
      <c r="X16" s="144"/>
    </row>
    <row r="17" spans="2:24" ht="16">
      <c r="B17" s="143" t="s">
        <v>3270</v>
      </c>
      <c r="C17" s="144" t="s">
        <v>1744</v>
      </c>
      <c r="D17" s="144" t="s">
        <v>3551</v>
      </c>
      <c r="E17" s="140" t="s">
        <v>3210</v>
      </c>
      <c r="F17" s="144">
        <v>347</v>
      </c>
      <c r="G17" s="144"/>
      <c r="H17" s="144"/>
      <c r="I17" s="145">
        <v>42110</v>
      </c>
      <c r="J17" s="144" t="s">
        <v>36</v>
      </c>
      <c r="K17" s="144" t="s">
        <v>154</v>
      </c>
      <c r="L17" s="144" t="s">
        <v>2566</v>
      </c>
      <c r="M17" s="144" t="s">
        <v>2574</v>
      </c>
      <c r="N17" s="144" t="s">
        <v>3191</v>
      </c>
      <c r="O17" s="140" t="s">
        <v>2111</v>
      </c>
      <c r="P17" s="144" t="s">
        <v>2739</v>
      </c>
      <c r="Q17" s="144" t="s">
        <v>3547</v>
      </c>
      <c r="R17" s="140" t="s">
        <v>917</v>
      </c>
      <c r="S17" s="140">
        <v>4.41E-2</v>
      </c>
      <c r="T17" s="144">
        <v>3.5361290322580646E-2</v>
      </c>
      <c r="U17" s="144">
        <f t="shared" si="0"/>
        <v>8.738709677419354E-3</v>
      </c>
      <c r="V17" s="140">
        <v>2.7759999999999998</v>
      </c>
      <c r="W17" s="144">
        <f>5.415+5.846</f>
        <v>11.260999999999999</v>
      </c>
      <c r="X17" s="144"/>
    </row>
    <row r="18" spans="2:24" ht="16">
      <c r="B18" s="143" t="s">
        <v>3271</v>
      </c>
      <c r="C18" s="144" t="s">
        <v>1744</v>
      </c>
      <c r="D18" s="144" t="s">
        <v>3551</v>
      </c>
      <c r="E18" s="140" t="s">
        <v>3211</v>
      </c>
      <c r="F18" s="144" t="s">
        <v>36</v>
      </c>
      <c r="G18" s="144"/>
      <c r="H18" s="144"/>
      <c r="I18" s="145">
        <v>42111</v>
      </c>
      <c r="J18" s="144" t="s">
        <v>36</v>
      </c>
      <c r="K18" s="144" t="s">
        <v>154</v>
      </c>
      <c r="L18" s="144" t="s">
        <v>2566</v>
      </c>
      <c r="M18" s="144" t="s">
        <v>2574</v>
      </c>
      <c r="N18" s="144" t="s">
        <v>3191</v>
      </c>
      <c r="O18" s="140" t="s">
        <v>2111</v>
      </c>
      <c r="P18" s="144" t="s">
        <v>2739</v>
      </c>
      <c r="Q18" s="144" t="s">
        <v>3547</v>
      </c>
      <c r="R18" s="140" t="s">
        <v>917</v>
      </c>
      <c r="S18" s="140">
        <v>4.4299999999999999E-2</v>
      </c>
      <c r="T18" s="144">
        <v>3.5361290322580646E-2</v>
      </c>
      <c r="U18" s="144">
        <f t="shared" si="0"/>
        <v>8.9387096774193528E-3</v>
      </c>
      <c r="V18" s="140">
        <v>2.831</v>
      </c>
      <c r="W18" s="144">
        <f>5.621+6.436</f>
        <v>12.057</v>
      </c>
      <c r="X18" s="144"/>
    </row>
    <row r="19" spans="2:24" ht="16">
      <c r="B19" s="143" t="s">
        <v>3272</v>
      </c>
      <c r="C19" s="144" t="s">
        <v>1744</v>
      </c>
      <c r="D19" s="144" t="s">
        <v>3551</v>
      </c>
      <c r="E19" s="140" t="s">
        <v>3212</v>
      </c>
      <c r="F19" s="144">
        <v>144</v>
      </c>
      <c r="G19" s="144"/>
      <c r="H19" s="144"/>
      <c r="I19" s="145">
        <v>42112</v>
      </c>
      <c r="J19" s="144" t="s">
        <v>36</v>
      </c>
      <c r="K19" s="144" t="s">
        <v>154</v>
      </c>
      <c r="L19" s="144" t="s">
        <v>2566</v>
      </c>
      <c r="M19" s="144" t="s">
        <v>2574</v>
      </c>
      <c r="N19" s="144" t="s">
        <v>3191</v>
      </c>
      <c r="O19" s="140" t="s">
        <v>2111</v>
      </c>
      <c r="P19" s="144" t="s">
        <v>2739</v>
      </c>
      <c r="Q19" s="144" t="s">
        <v>3547</v>
      </c>
      <c r="R19" s="140" t="s">
        <v>917</v>
      </c>
      <c r="S19" s="140">
        <v>4.53E-2</v>
      </c>
      <c r="T19" s="144">
        <v>3.5361290322580646E-2</v>
      </c>
      <c r="U19" s="144">
        <f t="shared" si="0"/>
        <v>9.9387096774193537E-3</v>
      </c>
      <c r="V19" s="140">
        <v>2.9590000000000001</v>
      </c>
      <c r="W19" s="144">
        <f>6.145+6.161</f>
        <v>12.305999999999999</v>
      </c>
      <c r="X19" s="144"/>
    </row>
    <row r="20" spans="2:24" ht="16">
      <c r="B20" s="143" t="s">
        <v>3273</v>
      </c>
      <c r="C20" s="144" t="s">
        <v>1744</v>
      </c>
      <c r="D20" s="144" t="s">
        <v>3551</v>
      </c>
      <c r="E20" s="140" t="s">
        <v>3213</v>
      </c>
      <c r="F20" s="144" t="s">
        <v>36</v>
      </c>
      <c r="G20" s="144"/>
      <c r="H20" s="144"/>
      <c r="I20" s="145">
        <v>42113</v>
      </c>
      <c r="J20" s="144" t="s">
        <v>36</v>
      </c>
      <c r="K20" s="144" t="s">
        <v>154</v>
      </c>
      <c r="L20" s="144" t="s">
        <v>2566</v>
      </c>
      <c r="M20" s="144" t="s">
        <v>2574</v>
      </c>
      <c r="N20" s="144" t="s">
        <v>3191</v>
      </c>
      <c r="O20" s="140" t="s">
        <v>2111</v>
      </c>
      <c r="P20" s="144" t="s">
        <v>2739</v>
      </c>
      <c r="Q20" s="144" t="s">
        <v>3547</v>
      </c>
      <c r="R20" s="140" t="s">
        <v>917</v>
      </c>
      <c r="S20" s="140">
        <v>4.4600000000000001E-2</v>
      </c>
      <c r="T20" s="144">
        <v>3.5361290322580646E-2</v>
      </c>
      <c r="U20" s="144">
        <f t="shared" si="0"/>
        <v>9.2387096774193544E-3</v>
      </c>
      <c r="V20" s="140">
        <v>3.0419999999999998</v>
      </c>
      <c r="W20" s="144">
        <f>6.029+6.628</f>
        <v>12.657</v>
      </c>
      <c r="X20" s="144"/>
    </row>
    <row r="21" spans="2:24" ht="16">
      <c r="B21" s="143" t="s">
        <v>3274</v>
      </c>
      <c r="C21" s="144" t="s">
        <v>1744</v>
      </c>
      <c r="D21" s="144" t="s">
        <v>3551</v>
      </c>
      <c r="E21" s="140" t="s">
        <v>3214</v>
      </c>
      <c r="F21" s="144" t="s">
        <v>36</v>
      </c>
      <c r="G21" s="144"/>
      <c r="H21" s="144"/>
      <c r="I21" s="145">
        <v>42114</v>
      </c>
      <c r="J21" s="144" t="s">
        <v>36</v>
      </c>
      <c r="K21" s="144" t="s">
        <v>154</v>
      </c>
      <c r="L21" s="144" t="s">
        <v>2566</v>
      </c>
      <c r="M21" s="144" t="s">
        <v>2574</v>
      </c>
      <c r="N21" s="144" t="s">
        <v>3191</v>
      </c>
      <c r="O21" s="140" t="s">
        <v>2111</v>
      </c>
      <c r="P21" s="144" t="s">
        <v>2739</v>
      </c>
      <c r="Q21" s="144" t="s">
        <v>3547</v>
      </c>
      <c r="R21" s="140" t="s">
        <v>917</v>
      </c>
      <c r="S21" s="140">
        <v>4.5100000000000001E-2</v>
      </c>
      <c r="T21" s="144">
        <v>3.5361290322580646E-2</v>
      </c>
      <c r="U21" s="144">
        <f t="shared" si="0"/>
        <v>9.7387096774193549E-3</v>
      </c>
      <c r="V21" s="140">
        <v>2.8130000000000002</v>
      </c>
      <c r="W21" s="144">
        <f>5.484+6.945</f>
        <v>12.429</v>
      </c>
      <c r="X21" s="144"/>
    </row>
    <row r="22" spans="2:24" ht="16">
      <c r="B22" s="143" t="s">
        <v>3275</v>
      </c>
      <c r="C22" s="144" t="s">
        <v>1744</v>
      </c>
      <c r="D22" s="144" t="s">
        <v>3551</v>
      </c>
      <c r="E22" s="140" t="s">
        <v>3215</v>
      </c>
      <c r="F22" s="144" t="s">
        <v>36</v>
      </c>
      <c r="G22" s="144"/>
      <c r="H22" s="144"/>
      <c r="I22" s="145">
        <v>42115</v>
      </c>
      <c r="J22" s="144" t="s">
        <v>36</v>
      </c>
      <c r="K22" s="144" t="s">
        <v>154</v>
      </c>
      <c r="L22" s="144" t="s">
        <v>2566</v>
      </c>
      <c r="M22" s="144" t="s">
        <v>2574</v>
      </c>
      <c r="N22" s="144" t="s">
        <v>3191</v>
      </c>
      <c r="O22" s="140" t="s">
        <v>2111</v>
      </c>
      <c r="P22" s="144" t="s">
        <v>2739</v>
      </c>
      <c r="Q22" s="144" t="s">
        <v>3547</v>
      </c>
      <c r="R22" s="140" t="s">
        <v>917</v>
      </c>
      <c r="S22" s="140">
        <v>4.58E-2</v>
      </c>
      <c r="T22" s="144">
        <v>3.5361290322580646E-2</v>
      </c>
      <c r="U22" s="144">
        <f t="shared" si="0"/>
        <v>1.0438709677419354E-2</v>
      </c>
      <c r="V22" s="140">
        <v>2.9159999999999999</v>
      </c>
      <c r="W22" s="144">
        <f>6.172+5.609</f>
        <v>11.780999999999999</v>
      </c>
      <c r="X22" s="144"/>
    </row>
    <row r="23" spans="2:24" ht="16">
      <c r="B23" s="143" t="s">
        <v>3276</v>
      </c>
      <c r="C23" s="144" t="s">
        <v>1744</v>
      </c>
      <c r="D23" s="144" t="s">
        <v>3551</v>
      </c>
      <c r="E23" s="140" t="s">
        <v>3216</v>
      </c>
      <c r="F23" s="144" t="s">
        <v>36</v>
      </c>
      <c r="G23" s="144"/>
      <c r="H23" s="144"/>
      <c r="I23" s="145">
        <v>42116</v>
      </c>
      <c r="J23" s="144" t="s">
        <v>36</v>
      </c>
      <c r="K23" s="144" t="s">
        <v>154</v>
      </c>
      <c r="L23" s="144" t="s">
        <v>2566</v>
      </c>
      <c r="M23" s="144" t="s">
        <v>2574</v>
      </c>
      <c r="N23" s="144" t="s">
        <v>3191</v>
      </c>
      <c r="O23" s="140" t="s">
        <v>2111</v>
      </c>
      <c r="P23" s="144" t="s">
        <v>2739</v>
      </c>
      <c r="Q23" s="144" t="s">
        <v>3547</v>
      </c>
      <c r="R23" s="140" t="s">
        <v>917</v>
      </c>
      <c r="S23" s="140">
        <v>4.41E-2</v>
      </c>
      <c r="T23" s="144">
        <v>3.5361290322580646E-2</v>
      </c>
      <c r="U23" s="144">
        <f t="shared" si="0"/>
        <v>8.738709677419354E-3</v>
      </c>
      <c r="V23" s="140">
        <v>2.8460000000000001</v>
      </c>
      <c r="W23" s="144">
        <f>5.653+6.067</f>
        <v>11.719999999999999</v>
      </c>
      <c r="X23" s="144"/>
    </row>
    <row r="24" spans="2:24" ht="16">
      <c r="B24" s="143" t="s">
        <v>3277</v>
      </c>
      <c r="C24" s="144" t="s">
        <v>1744</v>
      </c>
      <c r="D24" s="144" t="s">
        <v>3551</v>
      </c>
      <c r="E24" s="140" t="s">
        <v>3217</v>
      </c>
      <c r="F24" s="144">
        <v>661</v>
      </c>
      <c r="G24" s="144"/>
      <c r="H24" s="144"/>
      <c r="I24" s="145">
        <v>42117</v>
      </c>
      <c r="J24" s="144" t="s">
        <v>36</v>
      </c>
      <c r="K24" s="144" t="s">
        <v>154</v>
      </c>
      <c r="L24" s="144" t="s">
        <v>2566</v>
      </c>
      <c r="M24" s="144" t="s">
        <v>2574</v>
      </c>
      <c r="N24" s="144" t="s">
        <v>3191</v>
      </c>
      <c r="O24" s="140" t="s">
        <v>2111</v>
      </c>
      <c r="P24" s="144" t="s">
        <v>2739</v>
      </c>
      <c r="Q24" s="144" t="s">
        <v>3547</v>
      </c>
      <c r="R24" s="140" t="s">
        <v>917</v>
      </c>
      <c r="S24" s="140">
        <v>4.4499999999999998E-2</v>
      </c>
      <c r="T24" s="144">
        <v>3.5361290322580646E-2</v>
      </c>
      <c r="U24" s="144">
        <f t="shared" si="0"/>
        <v>9.1387096774193516E-3</v>
      </c>
      <c r="V24" s="140">
        <v>2.9940000000000002</v>
      </c>
      <c r="W24" s="144">
        <f>5.988+7.248</f>
        <v>13.236000000000001</v>
      </c>
      <c r="X24" s="144"/>
    </row>
    <row r="25" spans="2:24" ht="16">
      <c r="B25" s="143" t="s">
        <v>3278</v>
      </c>
      <c r="C25" s="144" t="s">
        <v>1744</v>
      </c>
      <c r="D25" s="144" t="s">
        <v>3551</v>
      </c>
      <c r="E25" s="140" t="s">
        <v>3218</v>
      </c>
      <c r="F25" s="144">
        <v>663</v>
      </c>
      <c r="G25" s="144"/>
      <c r="H25" s="144"/>
      <c r="I25" s="145">
        <v>42118</v>
      </c>
      <c r="J25" s="144" t="s">
        <v>36</v>
      </c>
      <c r="K25" s="144" t="s">
        <v>154</v>
      </c>
      <c r="L25" s="144" t="s">
        <v>2566</v>
      </c>
      <c r="M25" s="144" t="s">
        <v>2574</v>
      </c>
      <c r="N25" s="144" t="s">
        <v>3191</v>
      </c>
      <c r="O25" s="140" t="s">
        <v>2111</v>
      </c>
      <c r="P25" s="144" t="s">
        <v>2739</v>
      </c>
      <c r="Q25" s="144" t="s">
        <v>3547</v>
      </c>
      <c r="R25" s="140" t="s">
        <v>917</v>
      </c>
      <c r="S25" s="140">
        <v>4.3499999999999997E-2</v>
      </c>
      <c r="T25" s="144">
        <v>3.5361290322580646E-2</v>
      </c>
      <c r="U25" s="144">
        <f t="shared" si="0"/>
        <v>8.1387096774193507E-3</v>
      </c>
      <c r="V25" s="140">
        <v>2.887</v>
      </c>
      <c r="W25" s="144">
        <f>7.242+4.811</f>
        <v>12.053000000000001</v>
      </c>
      <c r="X25" s="144"/>
    </row>
    <row r="26" spans="2:24" ht="16">
      <c r="B26" s="143" t="s">
        <v>3279</v>
      </c>
      <c r="C26" s="144" t="s">
        <v>1744</v>
      </c>
      <c r="D26" s="144" t="s">
        <v>3551</v>
      </c>
      <c r="E26" s="140" t="s">
        <v>3219</v>
      </c>
      <c r="F26" s="144" t="s">
        <v>36</v>
      </c>
      <c r="G26" s="144"/>
      <c r="H26" s="144"/>
      <c r="I26" s="145">
        <v>42119</v>
      </c>
      <c r="J26" s="144" t="s">
        <v>36</v>
      </c>
      <c r="K26" s="144" t="s">
        <v>154</v>
      </c>
      <c r="L26" s="144" t="s">
        <v>2566</v>
      </c>
      <c r="M26" s="144" t="s">
        <v>2574</v>
      </c>
      <c r="N26" s="144" t="s">
        <v>3191</v>
      </c>
      <c r="O26" s="140" t="s">
        <v>2111</v>
      </c>
      <c r="P26" s="144" t="s">
        <v>2739</v>
      </c>
      <c r="Q26" s="144" t="s">
        <v>3547</v>
      </c>
      <c r="R26" s="140" t="s">
        <v>917</v>
      </c>
      <c r="S26" s="140">
        <v>4.5499999999999999E-2</v>
      </c>
      <c r="T26" s="144">
        <v>3.5361290322580646E-2</v>
      </c>
      <c r="U26" s="144">
        <f t="shared" si="0"/>
        <v>1.0138709677419352E-2</v>
      </c>
      <c r="V26" s="140">
        <v>3.056</v>
      </c>
      <c r="W26" s="144">
        <f>5.98+6.871</f>
        <v>12.851000000000001</v>
      </c>
      <c r="X26" s="144"/>
    </row>
    <row r="27" spans="2:24" s="133" customFormat="1" ht="16">
      <c r="B27" s="143" t="s">
        <v>3280</v>
      </c>
      <c r="C27" s="144" t="s">
        <v>1744</v>
      </c>
      <c r="D27" s="144" t="s">
        <v>3551</v>
      </c>
      <c r="E27" s="144" t="s">
        <v>3200</v>
      </c>
      <c r="F27" s="144" t="s">
        <v>3205</v>
      </c>
      <c r="G27" s="144"/>
      <c r="H27" s="144"/>
      <c r="I27" s="145">
        <v>42120</v>
      </c>
      <c r="J27" s="144" t="s">
        <v>36</v>
      </c>
      <c r="K27" s="144" t="s">
        <v>154</v>
      </c>
      <c r="L27" s="140" t="s">
        <v>2572</v>
      </c>
      <c r="M27" s="140" t="s">
        <v>2576</v>
      </c>
      <c r="N27" s="140" t="s">
        <v>3192</v>
      </c>
      <c r="O27" s="144" t="s">
        <v>2777</v>
      </c>
      <c r="P27" s="144" t="s">
        <v>2777</v>
      </c>
      <c r="Q27" s="144" t="s">
        <v>3220</v>
      </c>
      <c r="R27" s="144" t="s">
        <v>917</v>
      </c>
      <c r="S27" s="144">
        <v>4.5999999999999999E-2</v>
      </c>
      <c r="T27" s="144">
        <v>3.5361290322580646E-2</v>
      </c>
      <c r="U27" s="144">
        <f t="shared" si="0"/>
        <v>1.0638709677419353E-2</v>
      </c>
      <c r="V27" s="144">
        <v>3.6869999999999998</v>
      </c>
      <c r="W27" s="144">
        <f>7.037+7.622</f>
        <v>14.658999999999999</v>
      </c>
      <c r="X27" s="144"/>
    </row>
    <row r="28" spans="2:24" s="133" customFormat="1" ht="16">
      <c r="B28" s="143" t="s">
        <v>3281</v>
      </c>
      <c r="C28" s="144" t="s">
        <v>1744</v>
      </c>
      <c r="D28" s="144" t="s">
        <v>3551</v>
      </c>
      <c r="E28" s="144" t="s">
        <v>3221</v>
      </c>
      <c r="F28" s="144" t="s">
        <v>3205</v>
      </c>
      <c r="G28" s="144"/>
      <c r="H28" s="144"/>
      <c r="I28" s="145">
        <v>42121</v>
      </c>
      <c r="J28" s="144" t="s">
        <v>36</v>
      </c>
      <c r="K28" s="144" t="s">
        <v>154</v>
      </c>
      <c r="L28" s="140" t="s">
        <v>2572</v>
      </c>
      <c r="M28" s="140" t="s">
        <v>2576</v>
      </c>
      <c r="N28" s="140" t="s">
        <v>3192</v>
      </c>
      <c r="O28" s="144" t="s">
        <v>2777</v>
      </c>
      <c r="P28" s="144" t="s">
        <v>2777</v>
      </c>
      <c r="Q28" s="144" t="s">
        <v>3222</v>
      </c>
      <c r="R28" s="144" t="s">
        <v>946</v>
      </c>
      <c r="S28" s="144">
        <v>4.36E-2</v>
      </c>
      <c r="T28" s="144">
        <v>3.5361290322580646E-2</v>
      </c>
      <c r="U28" s="144">
        <f t="shared" si="0"/>
        <v>8.2387096774193536E-3</v>
      </c>
      <c r="V28" s="144">
        <v>3.18</v>
      </c>
      <c r="W28" s="144">
        <v>12.297000000000001</v>
      </c>
      <c r="X28" s="144"/>
    </row>
    <row r="29" spans="2:24" ht="16">
      <c r="B29" s="143" t="s">
        <v>3282</v>
      </c>
      <c r="C29" s="144" t="s">
        <v>1744</v>
      </c>
      <c r="D29" s="144" t="s">
        <v>3551</v>
      </c>
      <c r="E29" s="140" t="s">
        <v>3223</v>
      </c>
      <c r="F29" s="144">
        <v>387</v>
      </c>
      <c r="G29" s="144"/>
      <c r="H29" s="144"/>
      <c r="I29" s="145">
        <v>42122</v>
      </c>
      <c r="J29" s="144" t="s">
        <v>36</v>
      </c>
      <c r="K29" s="144" t="s">
        <v>154</v>
      </c>
      <c r="L29" s="140" t="s">
        <v>2572</v>
      </c>
      <c r="M29" s="140" t="s">
        <v>2576</v>
      </c>
      <c r="N29" s="140" t="s">
        <v>3192</v>
      </c>
      <c r="O29" s="140" t="s">
        <v>2777</v>
      </c>
      <c r="P29" s="140" t="s">
        <v>2777</v>
      </c>
      <c r="Q29" s="140" t="s">
        <v>3222</v>
      </c>
      <c r="R29" s="140" t="s">
        <v>946</v>
      </c>
      <c r="S29" s="140">
        <v>4.1700000000000001E-2</v>
      </c>
      <c r="T29" s="144">
        <v>3.5361290322580646E-2</v>
      </c>
      <c r="U29" s="144">
        <f t="shared" si="0"/>
        <v>6.3387096774193546E-3</v>
      </c>
      <c r="V29" s="140">
        <v>2.665</v>
      </c>
      <c r="W29" s="144">
        <f>5.496+5.051</f>
        <v>10.547000000000001</v>
      </c>
      <c r="X29" s="144"/>
    </row>
    <row r="30" spans="2:24" ht="16">
      <c r="B30" s="143" t="s">
        <v>3283</v>
      </c>
      <c r="C30" s="144" t="s">
        <v>1744</v>
      </c>
      <c r="D30" s="144" t="s">
        <v>3551</v>
      </c>
      <c r="E30" s="140" t="s">
        <v>3224</v>
      </c>
      <c r="F30" s="144">
        <v>111</v>
      </c>
      <c r="G30" s="144"/>
      <c r="H30" s="144"/>
      <c r="I30" s="145">
        <v>42123</v>
      </c>
      <c r="J30" s="144" t="s">
        <v>36</v>
      </c>
      <c r="K30" s="144" t="s">
        <v>154</v>
      </c>
      <c r="L30" s="140" t="s">
        <v>2572</v>
      </c>
      <c r="M30" s="140" t="s">
        <v>2576</v>
      </c>
      <c r="N30" s="140" t="s">
        <v>3192</v>
      </c>
      <c r="O30" s="140" t="s">
        <v>2777</v>
      </c>
      <c r="P30" s="140" t="s">
        <v>2777</v>
      </c>
      <c r="Q30" s="140" t="s">
        <v>3222</v>
      </c>
      <c r="R30" s="140" t="s">
        <v>946</v>
      </c>
      <c r="S30" s="140">
        <v>4.2900000000000001E-2</v>
      </c>
      <c r="T30" s="144">
        <v>3.5361290322580646E-2</v>
      </c>
      <c r="U30" s="144">
        <f t="shared" si="0"/>
        <v>7.5387096774193543E-3</v>
      </c>
      <c r="V30" s="140">
        <v>3.0670000000000002</v>
      </c>
      <c r="W30" s="144">
        <v>13.292</v>
      </c>
      <c r="X30" s="144"/>
    </row>
    <row r="31" spans="2:24" ht="16">
      <c r="B31" s="143" t="s">
        <v>3284</v>
      </c>
      <c r="C31" s="144" t="s">
        <v>1744</v>
      </c>
      <c r="D31" s="144" t="s">
        <v>3551</v>
      </c>
      <c r="E31" s="140" t="s">
        <v>3223</v>
      </c>
      <c r="F31" s="144">
        <v>368</v>
      </c>
      <c r="G31" s="144"/>
      <c r="H31" s="144"/>
      <c r="I31" s="145">
        <v>42124</v>
      </c>
      <c r="J31" s="144" t="s">
        <v>36</v>
      </c>
      <c r="K31" s="144" t="s">
        <v>154</v>
      </c>
      <c r="L31" s="140" t="s">
        <v>2572</v>
      </c>
      <c r="M31" s="140" t="s">
        <v>2576</v>
      </c>
      <c r="N31" s="140" t="s">
        <v>3192</v>
      </c>
      <c r="O31" s="140" t="s">
        <v>2777</v>
      </c>
      <c r="P31" s="140" t="s">
        <v>2777</v>
      </c>
      <c r="Q31" s="140" t="s">
        <v>3222</v>
      </c>
      <c r="R31" s="140" t="s">
        <v>946</v>
      </c>
      <c r="S31" s="140">
        <v>4.1500000000000002E-2</v>
      </c>
      <c r="T31" s="144">
        <v>3.5361290322580646E-2</v>
      </c>
      <c r="U31" s="144">
        <f t="shared" si="0"/>
        <v>6.1387096774193559E-3</v>
      </c>
      <c r="V31" s="140">
        <v>3.1110000000000002</v>
      </c>
      <c r="W31" s="144">
        <v>12.523</v>
      </c>
      <c r="X31" s="144"/>
    </row>
    <row r="32" spans="2:24" ht="16">
      <c r="B32" s="143" t="s">
        <v>3285</v>
      </c>
      <c r="C32" s="144" t="s">
        <v>1744</v>
      </c>
      <c r="D32" s="144" t="s">
        <v>3551</v>
      </c>
      <c r="E32" s="140" t="s">
        <v>3225</v>
      </c>
      <c r="F32" s="144">
        <v>9</v>
      </c>
      <c r="G32" s="144"/>
      <c r="H32" s="144"/>
      <c r="I32" s="145">
        <v>42125</v>
      </c>
      <c r="J32" s="144" t="s">
        <v>36</v>
      </c>
      <c r="K32" s="144" t="s">
        <v>154</v>
      </c>
      <c r="L32" s="140" t="s">
        <v>2572</v>
      </c>
      <c r="M32" s="140" t="s">
        <v>2576</v>
      </c>
      <c r="N32" s="140" t="s">
        <v>3192</v>
      </c>
      <c r="O32" s="140" t="s">
        <v>2777</v>
      </c>
      <c r="P32" s="140" t="s">
        <v>2777</v>
      </c>
      <c r="Q32" s="140" t="s">
        <v>3222</v>
      </c>
      <c r="R32" s="140" t="s">
        <v>946</v>
      </c>
      <c r="S32" s="140">
        <v>4.1099999999999998E-2</v>
      </c>
      <c r="T32" s="144">
        <v>3.5361290322580646E-2</v>
      </c>
      <c r="U32" s="144">
        <f t="shared" si="0"/>
        <v>5.7387096774193513E-3</v>
      </c>
      <c r="V32" s="140">
        <v>2.8210000000000002</v>
      </c>
      <c r="W32" s="144">
        <f>5.833+5.445</f>
        <v>11.278</v>
      </c>
      <c r="X32" s="144"/>
    </row>
    <row r="33" spans="2:24" ht="16">
      <c r="B33" s="143" t="s">
        <v>3286</v>
      </c>
      <c r="C33" s="144" t="s">
        <v>1744</v>
      </c>
      <c r="D33" s="144" t="s">
        <v>3551</v>
      </c>
      <c r="E33" s="140" t="s">
        <v>3225</v>
      </c>
      <c r="F33" s="144">
        <v>2</v>
      </c>
      <c r="G33" s="144"/>
      <c r="H33" s="144"/>
      <c r="I33" s="145">
        <v>42126</v>
      </c>
      <c r="J33" s="144" t="s">
        <v>36</v>
      </c>
      <c r="K33" s="144" t="s">
        <v>154</v>
      </c>
      <c r="L33" s="140" t="s">
        <v>2572</v>
      </c>
      <c r="M33" s="140" t="s">
        <v>2576</v>
      </c>
      <c r="N33" s="140" t="s">
        <v>3192</v>
      </c>
      <c r="O33" s="140" t="s">
        <v>2777</v>
      </c>
      <c r="P33" s="140" t="s">
        <v>2777</v>
      </c>
      <c r="Q33" s="140" t="s">
        <v>3222</v>
      </c>
      <c r="R33" s="140" t="s">
        <v>946</v>
      </c>
      <c r="S33" s="140">
        <v>4.1799999999999997E-2</v>
      </c>
      <c r="T33" s="144">
        <v>3.5361290322580646E-2</v>
      </c>
      <c r="U33" s="144">
        <f t="shared" si="0"/>
        <v>6.4387096774193506E-3</v>
      </c>
      <c r="V33" s="140">
        <v>2.899</v>
      </c>
      <c r="W33" s="144">
        <f>5.692+5.819</f>
        <v>11.510999999999999</v>
      </c>
      <c r="X33" s="144"/>
    </row>
    <row r="34" spans="2:24" ht="16">
      <c r="B34" s="143" t="s">
        <v>3287</v>
      </c>
      <c r="C34" s="144" t="s">
        <v>1744</v>
      </c>
      <c r="D34" s="144" t="s">
        <v>3551</v>
      </c>
      <c r="E34" s="140" t="s">
        <v>3226</v>
      </c>
      <c r="F34" s="144">
        <v>119</v>
      </c>
      <c r="G34" s="144"/>
      <c r="H34" s="144"/>
      <c r="I34" s="145">
        <v>42127</v>
      </c>
      <c r="J34" s="144" t="s">
        <v>36</v>
      </c>
      <c r="K34" s="144" t="s">
        <v>154</v>
      </c>
      <c r="L34" s="140" t="s">
        <v>2572</v>
      </c>
      <c r="M34" s="140" t="s">
        <v>2576</v>
      </c>
      <c r="N34" s="140" t="s">
        <v>3192</v>
      </c>
      <c r="O34" s="140" t="s">
        <v>2777</v>
      </c>
      <c r="P34" s="140" t="s">
        <v>2777</v>
      </c>
      <c r="Q34" s="140" t="s">
        <v>3222</v>
      </c>
      <c r="R34" s="140" t="s">
        <v>946</v>
      </c>
      <c r="S34" s="140">
        <v>4.2900000000000001E-2</v>
      </c>
      <c r="T34" s="144">
        <v>3.5361290322580646E-2</v>
      </c>
      <c r="U34" s="144">
        <f t="shared" si="0"/>
        <v>7.5387096774193543E-3</v>
      </c>
      <c r="V34" s="140">
        <v>3.2080000000000002</v>
      </c>
      <c r="W34" s="144">
        <v>11.914</v>
      </c>
      <c r="X34" s="144"/>
    </row>
    <row r="35" spans="2:24" ht="16">
      <c r="B35" s="143" t="s">
        <v>3288</v>
      </c>
      <c r="C35" s="144" t="s">
        <v>1744</v>
      </c>
      <c r="D35" s="144" t="s">
        <v>3551</v>
      </c>
      <c r="E35" s="140" t="s">
        <v>3227</v>
      </c>
      <c r="F35" s="144">
        <v>120</v>
      </c>
      <c r="G35" s="144"/>
      <c r="H35" s="144"/>
      <c r="I35" s="145">
        <v>42128</v>
      </c>
      <c r="J35" s="144" t="s">
        <v>36</v>
      </c>
      <c r="K35" s="144" t="s">
        <v>154</v>
      </c>
      <c r="L35" s="140" t="s">
        <v>2572</v>
      </c>
      <c r="M35" s="140" t="s">
        <v>2576</v>
      </c>
      <c r="N35" s="140" t="s">
        <v>3192</v>
      </c>
      <c r="O35" s="140" t="s">
        <v>2777</v>
      </c>
      <c r="P35" s="140" t="s">
        <v>2777</v>
      </c>
      <c r="Q35" s="140" t="s">
        <v>3222</v>
      </c>
      <c r="R35" s="140" t="s">
        <v>946</v>
      </c>
      <c r="S35" s="140">
        <v>4.2299999999999997E-2</v>
      </c>
      <c r="T35" s="144">
        <v>3.5361290322580646E-2</v>
      </c>
      <c r="U35" s="144">
        <f t="shared" si="0"/>
        <v>6.938709677419351E-3</v>
      </c>
      <c r="V35" s="140">
        <v>3.1379999999999999</v>
      </c>
      <c r="W35" s="144">
        <v>11.95</v>
      </c>
      <c r="X35" s="144"/>
    </row>
    <row r="36" spans="2:24" ht="16">
      <c r="B36" s="143" t="s">
        <v>3289</v>
      </c>
      <c r="C36" s="144" t="s">
        <v>1744</v>
      </c>
      <c r="D36" s="144" t="s">
        <v>3551</v>
      </c>
      <c r="E36" s="140" t="s">
        <v>3227</v>
      </c>
      <c r="F36" s="144">
        <v>8</v>
      </c>
      <c r="G36" s="144"/>
      <c r="H36" s="144"/>
      <c r="I36" s="145">
        <v>42129</v>
      </c>
      <c r="J36" s="144" t="s">
        <v>36</v>
      </c>
      <c r="K36" s="144" t="s">
        <v>154</v>
      </c>
      <c r="L36" s="140" t="s">
        <v>2572</v>
      </c>
      <c r="M36" s="140" t="s">
        <v>2576</v>
      </c>
      <c r="N36" s="140" t="s">
        <v>3192</v>
      </c>
      <c r="O36" s="140" t="s">
        <v>2777</v>
      </c>
      <c r="P36" s="140" t="s">
        <v>2777</v>
      </c>
      <c r="Q36" s="140" t="s">
        <v>3222</v>
      </c>
      <c r="R36" s="140" t="s">
        <v>946</v>
      </c>
      <c r="S36" s="140">
        <v>4.24E-2</v>
      </c>
      <c r="T36" s="144">
        <v>3.5361290322580646E-2</v>
      </c>
      <c r="U36" s="144">
        <f t="shared" si="0"/>
        <v>7.0387096774193539E-3</v>
      </c>
      <c r="V36" s="140">
        <v>2.996</v>
      </c>
      <c r="W36" s="144">
        <f>6.172+6.469</f>
        <v>12.641</v>
      </c>
      <c r="X36" s="144"/>
    </row>
    <row r="37" spans="2:24" ht="16">
      <c r="B37" s="143" t="s">
        <v>3290</v>
      </c>
      <c r="C37" s="144" t="s">
        <v>1744</v>
      </c>
      <c r="D37" s="144" t="s">
        <v>3551</v>
      </c>
      <c r="E37" s="140" t="s">
        <v>3227</v>
      </c>
      <c r="F37" s="144">
        <v>5</v>
      </c>
      <c r="G37" s="144"/>
      <c r="H37" s="144"/>
      <c r="I37" s="145">
        <v>42130</v>
      </c>
      <c r="J37" s="144" t="s">
        <v>36</v>
      </c>
      <c r="K37" s="144" t="s">
        <v>154</v>
      </c>
      <c r="L37" s="140" t="s">
        <v>2572</v>
      </c>
      <c r="M37" s="140" t="s">
        <v>2576</v>
      </c>
      <c r="N37" s="140" t="s">
        <v>3192</v>
      </c>
      <c r="O37" s="140" t="s">
        <v>2777</v>
      </c>
      <c r="P37" s="140" t="s">
        <v>2777</v>
      </c>
      <c r="Q37" s="140" t="s">
        <v>3222</v>
      </c>
      <c r="R37" s="140" t="s">
        <v>946</v>
      </c>
      <c r="S37" s="140">
        <v>4.2999999999999997E-2</v>
      </c>
      <c r="T37" s="144">
        <v>3.5361290322580646E-2</v>
      </c>
      <c r="U37" s="144">
        <f t="shared" si="0"/>
        <v>7.6387096774193503E-3</v>
      </c>
      <c r="V37" s="140">
        <v>3.4609999999999999</v>
      </c>
      <c r="W37" s="144">
        <f>6.214+5.908</f>
        <v>12.122</v>
      </c>
      <c r="X37" s="144"/>
    </row>
    <row r="38" spans="2:24" ht="16">
      <c r="B38" s="143" t="s">
        <v>3291</v>
      </c>
      <c r="C38" s="144" t="s">
        <v>1744</v>
      </c>
      <c r="D38" s="144" t="s">
        <v>3551</v>
      </c>
      <c r="E38" s="140" t="s">
        <v>3227</v>
      </c>
      <c r="F38" s="144">
        <v>117</v>
      </c>
      <c r="G38" s="144"/>
      <c r="H38" s="144"/>
      <c r="I38" s="145">
        <v>42131</v>
      </c>
      <c r="J38" s="144" t="s">
        <v>36</v>
      </c>
      <c r="K38" s="144" t="s">
        <v>154</v>
      </c>
      <c r="L38" s="140" t="s">
        <v>2572</v>
      </c>
      <c r="M38" s="140" t="s">
        <v>2576</v>
      </c>
      <c r="N38" s="140" t="s">
        <v>3192</v>
      </c>
      <c r="O38" s="140" t="s">
        <v>2777</v>
      </c>
      <c r="P38" s="140" t="s">
        <v>2777</v>
      </c>
      <c r="Q38" s="140" t="s">
        <v>3222</v>
      </c>
      <c r="R38" s="140" t="s">
        <v>946</v>
      </c>
      <c r="S38" s="140">
        <v>4.2200000000000001E-2</v>
      </c>
      <c r="T38" s="144">
        <v>3.5361290322580646E-2</v>
      </c>
      <c r="U38" s="144">
        <f t="shared" si="0"/>
        <v>6.8387096774193551E-3</v>
      </c>
      <c r="V38" s="140">
        <v>3.0720000000000001</v>
      </c>
      <c r="W38" s="144">
        <f>5.838+6.323</f>
        <v>12.161000000000001</v>
      </c>
      <c r="X38" s="144"/>
    </row>
    <row r="39" spans="2:24" ht="16">
      <c r="B39" s="143" t="s">
        <v>3292</v>
      </c>
      <c r="C39" s="144" t="s">
        <v>1744</v>
      </c>
      <c r="D39" s="144" t="s">
        <v>3551</v>
      </c>
      <c r="E39" s="140" t="s">
        <v>3227</v>
      </c>
      <c r="F39" s="144">
        <v>118</v>
      </c>
      <c r="G39" s="144"/>
      <c r="H39" s="144"/>
      <c r="I39" s="145">
        <v>42132</v>
      </c>
      <c r="J39" s="144" t="s">
        <v>36</v>
      </c>
      <c r="K39" s="144" t="s">
        <v>154</v>
      </c>
      <c r="L39" s="140" t="s">
        <v>2572</v>
      </c>
      <c r="M39" s="140" t="s">
        <v>2576</v>
      </c>
      <c r="N39" s="140" t="s">
        <v>3192</v>
      </c>
      <c r="O39" s="140" t="s">
        <v>2777</v>
      </c>
      <c r="P39" s="140" t="s">
        <v>2777</v>
      </c>
      <c r="Q39" s="140" t="s">
        <v>3222</v>
      </c>
      <c r="R39" s="140" t="s">
        <v>946</v>
      </c>
      <c r="S39" s="140">
        <v>4.2500000000000003E-2</v>
      </c>
      <c r="T39" s="144">
        <v>3.5361290322580646E-2</v>
      </c>
      <c r="U39" s="144">
        <f t="shared" si="0"/>
        <v>7.1387096774193567E-3</v>
      </c>
      <c r="V39" s="140">
        <v>3.1240000000000001</v>
      </c>
      <c r="W39" s="144">
        <f>5.961+6.32</f>
        <v>12.281000000000001</v>
      </c>
      <c r="X39" s="144"/>
    </row>
    <row r="40" spans="2:24" ht="16">
      <c r="B40" s="143" t="s">
        <v>3293</v>
      </c>
      <c r="C40" s="144" t="s">
        <v>1744</v>
      </c>
      <c r="D40" s="144" t="s">
        <v>3551</v>
      </c>
      <c r="E40" s="140" t="s">
        <v>3228</v>
      </c>
      <c r="F40" s="144" t="s">
        <v>36</v>
      </c>
      <c r="G40" s="144"/>
      <c r="H40" s="144"/>
      <c r="I40" s="145">
        <v>42133</v>
      </c>
      <c r="J40" s="144" t="s">
        <v>36</v>
      </c>
      <c r="K40" s="144" t="s">
        <v>154</v>
      </c>
      <c r="L40" s="140" t="s">
        <v>2572</v>
      </c>
      <c r="M40" s="140" t="s">
        <v>2576</v>
      </c>
      <c r="N40" s="140" t="s">
        <v>3192</v>
      </c>
      <c r="O40" s="140" t="s">
        <v>2777</v>
      </c>
      <c r="P40" s="140" t="s">
        <v>2777</v>
      </c>
      <c r="Q40" s="140" t="s">
        <v>3222</v>
      </c>
      <c r="R40" s="140" t="s">
        <v>946</v>
      </c>
      <c r="S40" s="140">
        <v>4.2000000000000003E-2</v>
      </c>
      <c r="T40" s="144">
        <v>3.5361290322580646E-2</v>
      </c>
      <c r="U40" s="144">
        <f t="shared" si="0"/>
        <v>6.6387096774193563E-3</v>
      </c>
      <c r="V40" s="140">
        <v>2.8919999999999999</v>
      </c>
      <c r="W40" s="144">
        <f>5.482+5.476</f>
        <v>10.958</v>
      </c>
      <c r="X40" s="144"/>
    </row>
    <row r="41" spans="2:24" ht="16">
      <c r="B41" s="143" t="s">
        <v>3294</v>
      </c>
      <c r="C41" s="144" t="s">
        <v>1744</v>
      </c>
      <c r="D41" s="144" t="s">
        <v>3551</v>
      </c>
      <c r="E41" s="140" t="s">
        <v>3228</v>
      </c>
      <c r="F41" s="144" t="s">
        <v>36</v>
      </c>
      <c r="G41" s="144"/>
      <c r="H41" s="144"/>
      <c r="I41" s="145">
        <v>42134</v>
      </c>
      <c r="J41" s="144" t="s">
        <v>36</v>
      </c>
      <c r="K41" s="144" t="s">
        <v>154</v>
      </c>
      <c r="L41" s="140" t="s">
        <v>2572</v>
      </c>
      <c r="M41" s="140" t="s">
        <v>2576</v>
      </c>
      <c r="N41" s="140" t="s">
        <v>3192</v>
      </c>
      <c r="O41" s="140" t="s">
        <v>2777</v>
      </c>
      <c r="P41" s="140" t="s">
        <v>2777</v>
      </c>
      <c r="Q41" s="140" t="s">
        <v>3222</v>
      </c>
      <c r="R41" s="140" t="s">
        <v>946</v>
      </c>
      <c r="S41" s="140">
        <v>4.2500000000000003E-2</v>
      </c>
      <c r="T41" s="144">
        <v>3.5361290322580646E-2</v>
      </c>
      <c r="U41" s="144">
        <f t="shared" si="0"/>
        <v>7.1387096774193567E-3</v>
      </c>
      <c r="V41" s="140">
        <v>3.0070000000000001</v>
      </c>
      <c r="W41" s="144">
        <f>6.332+5.63</f>
        <v>11.962</v>
      </c>
      <c r="X41" s="144"/>
    </row>
    <row r="42" spans="2:24" ht="16">
      <c r="B42" s="143" t="s">
        <v>3295</v>
      </c>
      <c r="C42" s="144" t="s">
        <v>1744</v>
      </c>
      <c r="D42" s="144" t="s">
        <v>3551</v>
      </c>
      <c r="E42" s="140" t="s">
        <v>3229</v>
      </c>
      <c r="F42" s="144" t="s">
        <v>36</v>
      </c>
      <c r="G42" s="144"/>
      <c r="H42" s="144"/>
      <c r="I42" s="145">
        <v>42135</v>
      </c>
      <c r="J42" s="144" t="s">
        <v>36</v>
      </c>
      <c r="K42" s="144" t="s">
        <v>154</v>
      </c>
      <c r="L42" s="140" t="s">
        <v>2572</v>
      </c>
      <c r="M42" s="140" t="s">
        <v>2576</v>
      </c>
      <c r="N42" s="140" t="s">
        <v>3192</v>
      </c>
      <c r="O42" s="140" t="s">
        <v>2777</v>
      </c>
      <c r="P42" s="140" t="s">
        <v>2777</v>
      </c>
      <c r="Q42" s="140" t="s">
        <v>3222</v>
      </c>
      <c r="R42" s="140" t="s">
        <v>946</v>
      </c>
      <c r="S42" s="140">
        <v>4.2200000000000001E-2</v>
      </c>
      <c r="T42" s="144">
        <v>3.5361290322580646E-2</v>
      </c>
      <c r="U42" s="144">
        <f t="shared" si="0"/>
        <v>6.8387096774193551E-3</v>
      </c>
      <c r="V42" s="140">
        <v>3.069</v>
      </c>
      <c r="W42" s="144">
        <f>5.975+5.595</f>
        <v>11.57</v>
      </c>
      <c r="X42" s="144"/>
    </row>
    <row r="43" spans="2:24" ht="16">
      <c r="B43" s="143" t="s">
        <v>3296</v>
      </c>
      <c r="C43" s="144" t="s">
        <v>1744</v>
      </c>
      <c r="D43" s="144" t="s">
        <v>3551</v>
      </c>
      <c r="E43" s="140" t="s">
        <v>3201</v>
      </c>
      <c r="F43" s="144" t="s">
        <v>36</v>
      </c>
      <c r="G43" s="144"/>
      <c r="H43" s="144"/>
      <c r="I43" s="145">
        <v>42136</v>
      </c>
      <c r="J43" s="144" t="s">
        <v>36</v>
      </c>
      <c r="K43" s="144" t="s">
        <v>154</v>
      </c>
      <c r="L43" s="140" t="s">
        <v>2572</v>
      </c>
      <c r="M43" s="140" t="s">
        <v>2576</v>
      </c>
      <c r="N43" s="140" t="s">
        <v>3192</v>
      </c>
      <c r="O43" s="140" t="s">
        <v>2777</v>
      </c>
      <c r="P43" s="140" t="s">
        <v>2777</v>
      </c>
      <c r="Q43" s="140" t="s">
        <v>3222</v>
      </c>
      <c r="R43" s="140" t="s">
        <v>946</v>
      </c>
      <c r="S43" s="140">
        <v>4.36E-2</v>
      </c>
      <c r="T43" s="144">
        <v>3.5361290322580646E-2</v>
      </c>
      <c r="U43" s="144">
        <f t="shared" si="0"/>
        <v>8.2387096774193536E-3</v>
      </c>
      <c r="V43" s="140">
        <v>3.0630000000000002</v>
      </c>
      <c r="W43" s="144">
        <f>6.49+6.488</f>
        <v>12.978000000000002</v>
      </c>
      <c r="X43" s="144"/>
    </row>
    <row r="44" spans="2:24" ht="16">
      <c r="B44" s="143" t="s">
        <v>3297</v>
      </c>
      <c r="C44" s="144" t="s">
        <v>1744</v>
      </c>
      <c r="D44" s="144" t="s">
        <v>3551</v>
      </c>
      <c r="E44" s="140" t="s">
        <v>3230</v>
      </c>
      <c r="F44" s="144" t="s">
        <v>36</v>
      </c>
      <c r="G44" s="144"/>
      <c r="H44" s="144"/>
      <c r="I44" s="145">
        <v>42137</v>
      </c>
      <c r="J44" s="144" t="s">
        <v>36</v>
      </c>
      <c r="K44" s="144" t="s">
        <v>154</v>
      </c>
      <c r="L44" s="140" t="s">
        <v>2572</v>
      </c>
      <c r="M44" s="140" t="s">
        <v>2576</v>
      </c>
      <c r="N44" s="140" t="s">
        <v>3192</v>
      </c>
      <c r="O44" s="140" t="s">
        <v>2777</v>
      </c>
      <c r="P44" s="140" t="s">
        <v>2777</v>
      </c>
      <c r="Q44" s="140" t="s">
        <v>3222</v>
      </c>
      <c r="R44" s="140" t="s">
        <v>946</v>
      </c>
      <c r="S44" s="140">
        <v>4.1200000000000001E-2</v>
      </c>
      <c r="T44" s="144">
        <v>3.5361290322580646E-2</v>
      </c>
      <c r="U44" s="144">
        <f t="shared" si="0"/>
        <v>5.8387096774193542E-3</v>
      </c>
      <c r="V44" s="140">
        <v>2.6850000000000001</v>
      </c>
      <c r="W44" s="144">
        <f>5.939+5.762</f>
        <v>11.701000000000001</v>
      </c>
      <c r="X44" s="144"/>
    </row>
    <row r="45" spans="2:24" ht="16">
      <c r="B45" s="143" t="s">
        <v>3298</v>
      </c>
      <c r="C45" s="144" t="s">
        <v>1744</v>
      </c>
      <c r="D45" s="144" t="s">
        <v>3551</v>
      </c>
      <c r="E45" s="140" t="s">
        <v>3230</v>
      </c>
      <c r="F45" s="144" t="s">
        <v>36</v>
      </c>
      <c r="G45" s="144"/>
      <c r="H45" s="144"/>
      <c r="I45" s="145">
        <v>42138</v>
      </c>
      <c r="J45" s="144" t="s">
        <v>36</v>
      </c>
      <c r="K45" s="144" t="s">
        <v>154</v>
      </c>
      <c r="L45" s="140" t="s">
        <v>2572</v>
      </c>
      <c r="M45" s="140" t="s">
        <v>2576</v>
      </c>
      <c r="N45" s="140" t="s">
        <v>3192</v>
      </c>
      <c r="O45" s="140" t="s">
        <v>2777</v>
      </c>
      <c r="P45" s="140" t="s">
        <v>2777</v>
      </c>
      <c r="Q45" s="140" t="s">
        <v>3222</v>
      </c>
      <c r="R45" s="140" t="s">
        <v>946</v>
      </c>
      <c r="S45" s="140">
        <v>4.1799999999999997E-2</v>
      </c>
      <c r="T45" s="144">
        <v>3.5361290322580646E-2</v>
      </c>
      <c r="U45" s="144">
        <f t="shared" si="0"/>
        <v>6.4387096774193506E-3</v>
      </c>
      <c r="V45" s="140">
        <v>2.9550000000000001</v>
      </c>
      <c r="W45" s="144">
        <f>6.037+6.078</f>
        <v>12.115</v>
      </c>
      <c r="X45" s="144"/>
    </row>
    <row r="46" spans="2:24" ht="16">
      <c r="B46" s="143" t="s">
        <v>3299</v>
      </c>
      <c r="C46" s="144" t="s">
        <v>1744</v>
      </c>
      <c r="D46" s="144" t="s">
        <v>3551</v>
      </c>
      <c r="E46" s="140" t="s">
        <v>3230</v>
      </c>
      <c r="F46" s="144" t="s">
        <v>36</v>
      </c>
      <c r="G46" s="144"/>
      <c r="H46" s="144"/>
      <c r="I46" s="145">
        <v>42139</v>
      </c>
      <c r="J46" s="144" t="s">
        <v>36</v>
      </c>
      <c r="K46" s="144" t="s">
        <v>154</v>
      </c>
      <c r="L46" s="140" t="s">
        <v>2572</v>
      </c>
      <c r="M46" s="140" t="s">
        <v>2576</v>
      </c>
      <c r="N46" s="140" t="s">
        <v>3192</v>
      </c>
      <c r="O46" s="140" t="s">
        <v>2777</v>
      </c>
      <c r="P46" s="140" t="s">
        <v>2777</v>
      </c>
      <c r="Q46" s="140" t="s">
        <v>3222</v>
      </c>
      <c r="R46" s="140" t="s">
        <v>946</v>
      </c>
      <c r="S46" s="140">
        <v>4.36E-2</v>
      </c>
      <c r="T46" s="144">
        <v>3.5361290322580646E-2</v>
      </c>
      <c r="U46" s="144">
        <f t="shared" si="0"/>
        <v>8.2387096774193536E-3</v>
      </c>
      <c r="V46" s="140">
        <v>3.0979999999999999</v>
      </c>
      <c r="W46" s="144">
        <f>6.33+6.363</f>
        <v>12.693000000000001</v>
      </c>
      <c r="X46" s="144"/>
    </row>
    <row r="47" spans="2:24" ht="16">
      <c r="B47" s="143" t="s">
        <v>3300</v>
      </c>
      <c r="C47" s="144" t="s">
        <v>1744</v>
      </c>
      <c r="D47" s="144" t="s">
        <v>3551</v>
      </c>
      <c r="E47" s="140" t="s">
        <v>3230</v>
      </c>
      <c r="F47" s="144" t="s">
        <v>36</v>
      </c>
      <c r="G47" s="144"/>
      <c r="H47" s="144"/>
      <c r="I47" s="145">
        <v>42140</v>
      </c>
      <c r="J47" s="144" t="s">
        <v>36</v>
      </c>
      <c r="K47" s="144" t="s">
        <v>154</v>
      </c>
      <c r="L47" s="140" t="s">
        <v>2572</v>
      </c>
      <c r="M47" s="140" t="s">
        <v>2576</v>
      </c>
      <c r="N47" s="140" t="s">
        <v>3192</v>
      </c>
      <c r="O47" s="140" t="s">
        <v>2777</v>
      </c>
      <c r="P47" s="140" t="s">
        <v>2777</v>
      </c>
      <c r="Q47" s="140" t="s">
        <v>3222</v>
      </c>
      <c r="R47" s="140" t="s">
        <v>946</v>
      </c>
      <c r="S47" s="140">
        <v>4.2999999999999997E-2</v>
      </c>
      <c r="T47" s="144">
        <v>3.5361290322580646E-2</v>
      </c>
      <c r="U47" s="144">
        <f t="shared" si="0"/>
        <v>7.6387096774193503E-3</v>
      </c>
      <c r="V47" s="140">
        <v>3.266</v>
      </c>
      <c r="W47" s="144">
        <v>12.067</v>
      </c>
      <c r="X47" s="144"/>
    </row>
    <row r="48" spans="2:24" ht="16">
      <c r="B48" s="143" t="s">
        <v>3301</v>
      </c>
      <c r="C48" s="144" t="s">
        <v>1744</v>
      </c>
      <c r="D48" s="144" t="s">
        <v>3551</v>
      </c>
      <c r="E48" s="140" t="s">
        <v>3230</v>
      </c>
      <c r="F48" s="144" t="s">
        <v>36</v>
      </c>
      <c r="G48" s="144"/>
      <c r="H48" s="144"/>
      <c r="I48" s="145">
        <v>42141</v>
      </c>
      <c r="J48" s="144" t="s">
        <v>36</v>
      </c>
      <c r="K48" s="144" t="s">
        <v>154</v>
      </c>
      <c r="L48" s="140" t="s">
        <v>2572</v>
      </c>
      <c r="M48" s="140" t="s">
        <v>2576</v>
      </c>
      <c r="N48" s="140" t="s">
        <v>3192</v>
      </c>
      <c r="O48" s="140" t="s">
        <v>2777</v>
      </c>
      <c r="P48" s="140" t="s">
        <v>2777</v>
      </c>
      <c r="Q48" s="140" t="s">
        <v>3222</v>
      </c>
      <c r="R48" s="140" t="s">
        <v>946</v>
      </c>
      <c r="S48" s="140">
        <v>4.24E-2</v>
      </c>
      <c r="T48" s="144">
        <v>3.5361290322580646E-2</v>
      </c>
      <c r="U48" s="144">
        <f t="shared" si="0"/>
        <v>7.0387096774193539E-3</v>
      </c>
      <c r="V48" s="140">
        <v>3.0590000000000002</v>
      </c>
      <c r="W48" s="144">
        <f>5.897+5.733</f>
        <v>11.629999999999999</v>
      </c>
      <c r="X48" s="144"/>
    </row>
    <row r="49" spans="2:24" ht="16">
      <c r="B49" s="143" t="s">
        <v>3302</v>
      </c>
      <c r="C49" s="144" t="s">
        <v>1744</v>
      </c>
      <c r="D49" s="144" t="s">
        <v>3551</v>
      </c>
      <c r="E49" s="140" t="s">
        <v>3230</v>
      </c>
      <c r="F49" s="144" t="s">
        <v>36</v>
      </c>
      <c r="G49" s="144"/>
      <c r="H49" s="144"/>
      <c r="I49" s="145">
        <v>42142</v>
      </c>
      <c r="J49" s="144" t="s">
        <v>36</v>
      </c>
      <c r="K49" s="144" t="s">
        <v>154</v>
      </c>
      <c r="L49" s="140" t="s">
        <v>2572</v>
      </c>
      <c r="M49" s="140" t="s">
        <v>2576</v>
      </c>
      <c r="N49" s="140" t="s">
        <v>3192</v>
      </c>
      <c r="O49" s="140" t="s">
        <v>2777</v>
      </c>
      <c r="P49" s="140" t="s">
        <v>2777</v>
      </c>
      <c r="Q49" s="140" t="s">
        <v>3222</v>
      </c>
      <c r="R49" s="140" t="s">
        <v>946</v>
      </c>
      <c r="S49" s="140">
        <v>4.1399999999999999E-2</v>
      </c>
      <c r="T49" s="144">
        <v>3.5361290322580646E-2</v>
      </c>
      <c r="U49" s="144">
        <f t="shared" si="0"/>
        <v>6.038709677419353E-3</v>
      </c>
      <c r="V49" s="140">
        <v>2.9089999999999998</v>
      </c>
      <c r="W49" s="144">
        <v>12.071999999999999</v>
      </c>
      <c r="X49" s="144"/>
    </row>
    <row r="50" spans="2:24" ht="16">
      <c r="B50" s="143" t="s">
        <v>3303</v>
      </c>
      <c r="C50" s="144" t="s">
        <v>1744</v>
      </c>
      <c r="D50" s="144" t="s">
        <v>3551</v>
      </c>
      <c r="E50" s="140" t="s">
        <v>3230</v>
      </c>
      <c r="F50" s="144" t="s">
        <v>36</v>
      </c>
      <c r="G50" s="144"/>
      <c r="H50" s="144"/>
      <c r="I50" s="145">
        <v>42143</v>
      </c>
      <c r="J50" s="144" t="s">
        <v>36</v>
      </c>
      <c r="K50" s="144" t="s">
        <v>154</v>
      </c>
      <c r="L50" s="140" t="s">
        <v>2572</v>
      </c>
      <c r="M50" s="140" t="s">
        <v>2576</v>
      </c>
      <c r="N50" s="140" t="s">
        <v>3192</v>
      </c>
      <c r="O50" s="140" t="s">
        <v>2777</v>
      </c>
      <c r="P50" s="140" t="s">
        <v>2777</v>
      </c>
      <c r="Q50" s="140" t="s">
        <v>3222</v>
      </c>
      <c r="R50" s="140" t="s">
        <v>946</v>
      </c>
      <c r="S50" s="140">
        <v>4.1500000000000002E-2</v>
      </c>
      <c r="T50" s="144">
        <v>3.5361290322580646E-2</v>
      </c>
      <c r="U50" s="144">
        <f t="shared" si="0"/>
        <v>6.1387096774193559E-3</v>
      </c>
      <c r="V50" s="140">
        <v>3.101</v>
      </c>
      <c r="W50" s="144">
        <f>5.622+5.784</f>
        <v>11.405999999999999</v>
      </c>
      <c r="X50" s="144"/>
    </row>
    <row r="51" spans="2:24" ht="16">
      <c r="B51" s="143" t="s">
        <v>3304</v>
      </c>
      <c r="C51" s="144" t="s">
        <v>1744</v>
      </c>
      <c r="D51" s="144" t="s">
        <v>3551</v>
      </c>
      <c r="E51" s="140" t="s">
        <v>3231</v>
      </c>
      <c r="F51" s="144" t="s">
        <v>36</v>
      </c>
      <c r="G51" s="144"/>
      <c r="H51" s="144"/>
      <c r="I51" s="145">
        <v>42144</v>
      </c>
      <c r="J51" s="144" t="s">
        <v>36</v>
      </c>
      <c r="K51" s="144" t="s">
        <v>154</v>
      </c>
      <c r="L51" s="140" t="s">
        <v>2572</v>
      </c>
      <c r="M51" s="140" t="s">
        <v>2576</v>
      </c>
      <c r="N51" s="140" t="s">
        <v>3192</v>
      </c>
      <c r="O51" s="140" t="s">
        <v>2777</v>
      </c>
      <c r="P51" s="140" t="s">
        <v>2777</v>
      </c>
      <c r="Q51" s="140" t="s">
        <v>3222</v>
      </c>
      <c r="R51" s="140" t="s">
        <v>946</v>
      </c>
      <c r="S51" s="140">
        <v>4.24E-2</v>
      </c>
      <c r="T51" s="144">
        <v>3.5361290322580646E-2</v>
      </c>
      <c r="U51" s="144">
        <f t="shared" si="0"/>
        <v>7.0387096774193539E-3</v>
      </c>
      <c r="V51" s="140">
        <v>3.1840000000000002</v>
      </c>
      <c r="W51" s="144">
        <f>6.089+5.95</f>
        <v>12.039000000000001</v>
      </c>
      <c r="X51" s="144"/>
    </row>
    <row r="52" spans="2:24" ht="16">
      <c r="B52" s="143" t="s">
        <v>3305</v>
      </c>
      <c r="C52" s="144" t="s">
        <v>1744</v>
      </c>
      <c r="D52" s="144" t="s">
        <v>3551</v>
      </c>
      <c r="E52" s="140" t="s">
        <v>3232</v>
      </c>
      <c r="F52" s="144">
        <v>390</v>
      </c>
      <c r="G52" s="144"/>
      <c r="H52" s="144"/>
      <c r="I52" s="145">
        <v>42145</v>
      </c>
      <c r="J52" s="144" t="s">
        <v>36</v>
      </c>
      <c r="K52" s="144" t="s">
        <v>154</v>
      </c>
      <c r="L52" s="140" t="s">
        <v>2572</v>
      </c>
      <c r="M52" s="140" t="s">
        <v>2576</v>
      </c>
      <c r="N52" s="140" t="s">
        <v>3192</v>
      </c>
      <c r="O52" s="140" t="s">
        <v>2777</v>
      </c>
      <c r="P52" s="140" t="s">
        <v>2777</v>
      </c>
      <c r="Q52" s="140" t="s">
        <v>3222</v>
      </c>
      <c r="R52" s="140" t="s">
        <v>946</v>
      </c>
      <c r="S52" s="140">
        <v>4.3299999999999998E-2</v>
      </c>
      <c r="T52" s="144">
        <v>3.5361290322580646E-2</v>
      </c>
      <c r="U52" s="144">
        <f t="shared" si="0"/>
        <v>7.9387096774193519E-3</v>
      </c>
      <c r="V52" s="140">
        <v>3.266</v>
      </c>
      <c r="W52" s="144">
        <f>7.567+6.359</f>
        <v>13.926</v>
      </c>
      <c r="X52" s="144"/>
    </row>
    <row r="53" spans="2:24" ht="16">
      <c r="B53" s="143" t="s">
        <v>3306</v>
      </c>
      <c r="C53" s="144" t="s">
        <v>1744</v>
      </c>
      <c r="D53" s="144" t="s">
        <v>3551</v>
      </c>
      <c r="E53" s="140" t="s">
        <v>3233</v>
      </c>
      <c r="F53" s="144" t="s">
        <v>36</v>
      </c>
      <c r="G53" s="144"/>
      <c r="H53" s="144"/>
      <c r="I53" s="145">
        <v>42146</v>
      </c>
      <c r="J53" s="144" t="s">
        <v>36</v>
      </c>
      <c r="K53" s="144" t="s">
        <v>154</v>
      </c>
      <c r="L53" s="140" t="s">
        <v>2572</v>
      </c>
      <c r="M53" s="140" t="s">
        <v>2576</v>
      </c>
      <c r="N53" s="140" t="s">
        <v>3192</v>
      </c>
      <c r="O53" s="140" t="s">
        <v>2777</v>
      </c>
      <c r="P53" s="140" t="s">
        <v>2777</v>
      </c>
      <c r="Q53" s="140" t="s">
        <v>3222</v>
      </c>
      <c r="R53" s="140" t="s">
        <v>946</v>
      </c>
      <c r="S53" s="140">
        <v>4.2500000000000003E-2</v>
      </c>
      <c r="T53" s="144">
        <v>3.5361290322580646E-2</v>
      </c>
      <c r="U53" s="144">
        <f t="shared" si="0"/>
        <v>7.1387096774193567E-3</v>
      </c>
      <c r="V53" s="140">
        <v>2.956</v>
      </c>
      <c r="W53" s="144">
        <f>6.663+4.958</f>
        <v>11.621</v>
      </c>
      <c r="X53" s="144"/>
    </row>
    <row r="54" spans="2:24" ht="16">
      <c r="B54" s="143" t="s">
        <v>3307</v>
      </c>
      <c r="C54" s="144" t="s">
        <v>1744</v>
      </c>
      <c r="D54" s="144" t="s">
        <v>3551</v>
      </c>
      <c r="E54" s="140" t="s">
        <v>3234</v>
      </c>
      <c r="F54" s="144" t="s">
        <v>36</v>
      </c>
      <c r="G54" s="144"/>
      <c r="H54" s="144"/>
      <c r="I54" s="145">
        <v>42147</v>
      </c>
      <c r="J54" s="144" t="s">
        <v>36</v>
      </c>
      <c r="K54" s="144" t="s">
        <v>154</v>
      </c>
      <c r="L54" s="140" t="s">
        <v>2572</v>
      </c>
      <c r="M54" s="140" t="s">
        <v>2576</v>
      </c>
      <c r="N54" s="140" t="s">
        <v>3192</v>
      </c>
      <c r="O54" s="140" t="s">
        <v>2777</v>
      </c>
      <c r="P54" s="140" t="s">
        <v>2777</v>
      </c>
      <c r="Q54" s="140" t="s">
        <v>3222</v>
      </c>
      <c r="R54" s="140" t="s">
        <v>946</v>
      </c>
      <c r="S54" s="140">
        <v>4.2500000000000003E-2</v>
      </c>
      <c r="T54" s="144">
        <v>3.5361290322580646E-2</v>
      </c>
      <c r="U54" s="144">
        <f t="shared" si="0"/>
        <v>7.1387096774193567E-3</v>
      </c>
      <c r="V54" s="140">
        <v>3.1640000000000001</v>
      </c>
      <c r="W54" s="144">
        <f>6.552+6.583</f>
        <v>13.135</v>
      </c>
      <c r="X54" s="144"/>
    </row>
    <row r="55" spans="2:24" ht="16">
      <c r="B55" s="143" t="s">
        <v>3308</v>
      </c>
      <c r="C55" s="144" t="s">
        <v>1744</v>
      </c>
      <c r="D55" s="144" t="s">
        <v>3551</v>
      </c>
      <c r="E55" s="140" t="s">
        <v>3234</v>
      </c>
      <c r="F55" s="144" t="s">
        <v>36</v>
      </c>
      <c r="G55" s="144"/>
      <c r="H55" s="144"/>
      <c r="I55" s="145">
        <v>42148</v>
      </c>
      <c r="J55" s="144" t="s">
        <v>36</v>
      </c>
      <c r="K55" s="144" t="s">
        <v>154</v>
      </c>
      <c r="L55" s="140" t="s">
        <v>2572</v>
      </c>
      <c r="M55" s="140" t="s">
        <v>2576</v>
      </c>
      <c r="N55" s="140" t="s">
        <v>3192</v>
      </c>
      <c r="O55" s="140" t="s">
        <v>2777</v>
      </c>
      <c r="P55" s="140" t="s">
        <v>2777</v>
      </c>
      <c r="Q55" s="140" t="s">
        <v>3222</v>
      </c>
      <c r="R55" s="140" t="s">
        <v>946</v>
      </c>
      <c r="S55" s="140">
        <v>4.2099999999999999E-2</v>
      </c>
      <c r="T55" s="144">
        <v>3.5361290322580646E-2</v>
      </c>
      <c r="U55" s="144">
        <f t="shared" si="0"/>
        <v>6.7387096774193522E-3</v>
      </c>
      <c r="V55" s="140">
        <v>2.9350000000000001</v>
      </c>
      <c r="W55" s="144">
        <f>6.328+6.246</f>
        <v>12.574000000000002</v>
      </c>
      <c r="X55" s="144"/>
    </row>
    <row r="56" spans="2:24" s="133" customFormat="1" ht="16">
      <c r="B56" s="143" t="s">
        <v>3309</v>
      </c>
      <c r="C56" s="144" t="s">
        <v>1744</v>
      </c>
      <c r="D56" s="144" t="s">
        <v>3551</v>
      </c>
      <c r="E56" s="144" t="s">
        <v>3235</v>
      </c>
      <c r="F56" s="144">
        <v>640</v>
      </c>
      <c r="G56" s="144"/>
      <c r="H56" s="144"/>
      <c r="I56" s="145">
        <v>42149</v>
      </c>
      <c r="J56" s="144" t="s">
        <v>36</v>
      </c>
      <c r="K56" s="144" t="s">
        <v>154</v>
      </c>
      <c r="L56" s="140" t="s">
        <v>2572</v>
      </c>
      <c r="M56" s="140" t="s">
        <v>2576</v>
      </c>
      <c r="N56" s="140" t="s">
        <v>3192</v>
      </c>
      <c r="O56" s="144" t="s">
        <v>2777</v>
      </c>
      <c r="P56" s="144" t="s">
        <v>2777</v>
      </c>
      <c r="Q56" s="144" t="s">
        <v>3548</v>
      </c>
      <c r="R56" s="144" t="s">
        <v>917</v>
      </c>
      <c r="S56" s="144">
        <v>4.6300000000000001E-2</v>
      </c>
      <c r="T56" s="144">
        <v>3.5361290322580646E-2</v>
      </c>
      <c r="U56" s="144">
        <f t="shared" si="0"/>
        <v>1.0938709677419355E-2</v>
      </c>
      <c r="V56" s="144">
        <v>3.4220000000000002</v>
      </c>
      <c r="W56" s="144">
        <f>7.037+2.163+1.414+2.17</f>
        <v>12.783999999999999</v>
      </c>
      <c r="X56" s="144"/>
    </row>
    <row r="57" spans="2:24" ht="16">
      <c r="B57" s="143" t="s">
        <v>3310</v>
      </c>
      <c r="C57" s="144" t="s">
        <v>1744</v>
      </c>
      <c r="D57" s="144" t="s">
        <v>3551</v>
      </c>
      <c r="E57" s="140" t="s">
        <v>3233</v>
      </c>
      <c r="F57" s="144">
        <v>705</v>
      </c>
      <c r="G57" s="144"/>
      <c r="H57" s="144"/>
      <c r="I57" s="145">
        <v>42150</v>
      </c>
      <c r="J57" s="144" t="s">
        <v>36</v>
      </c>
      <c r="K57" s="144" t="s">
        <v>154</v>
      </c>
      <c r="L57" s="140" t="s">
        <v>2572</v>
      </c>
      <c r="M57" s="140" t="s">
        <v>2576</v>
      </c>
      <c r="N57" s="140" t="s">
        <v>3192</v>
      </c>
      <c r="O57" s="140" t="s">
        <v>2777</v>
      </c>
      <c r="P57" s="140" t="s">
        <v>2777</v>
      </c>
      <c r="Q57" s="144" t="s">
        <v>3548</v>
      </c>
      <c r="R57" s="140" t="s">
        <v>917</v>
      </c>
      <c r="S57" s="140">
        <v>4.4699999999999997E-2</v>
      </c>
      <c r="T57" s="144">
        <v>3.5361290322580646E-2</v>
      </c>
      <c r="U57" s="144">
        <f t="shared" si="0"/>
        <v>9.3387096774193504E-3</v>
      </c>
      <c r="V57" s="140">
        <v>3.3319999999999999</v>
      </c>
      <c r="W57" s="144">
        <f>6.795+6.775</f>
        <v>13.57</v>
      </c>
      <c r="X57" s="144"/>
    </row>
    <row r="58" spans="2:24" ht="16">
      <c r="B58" s="143" t="s">
        <v>3311</v>
      </c>
      <c r="C58" s="144" t="s">
        <v>1744</v>
      </c>
      <c r="D58" s="144" t="s">
        <v>3551</v>
      </c>
      <c r="E58" s="140" t="s">
        <v>3203</v>
      </c>
      <c r="F58" s="144">
        <v>806</v>
      </c>
      <c r="G58" s="144"/>
      <c r="H58" s="144"/>
      <c r="I58" s="145">
        <v>42151</v>
      </c>
      <c r="J58" s="144" t="s">
        <v>36</v>
      </c>
      <c r="K58" s="144" t="s">
        <v>154</v>
      </c>
      <c r="L58" s="140" t="s">
        <v>2572</v>
      </c>
      <c r="M58" s="140" t="s">
        <v>2576</v>
      </c>
      <c r="N58" s="140" t="s">
        <v>3192</v>
      </c>
      <c r="O58" s="140" t="s">
        <v>2777</v>
      </c>
      <c r="P58" s="140" t="s">
        <v>2777</v>
      </c>
      <c r="Q58" s="144" t="s">
        <v>3548</v>
      </c>
      <c r="R58" s="140" t="s">
        <v>917</v>
      </c>
      <c r="S58" s="140">
        <v>4.5600000000000002E-2</v>
      </c>
      <c r="T58" s="144">
        <v>3.5361290322580646E-2</v>
      </c>
      <c r="U58" s="144">
        <f t="shared" si="0"/>
        <v>1.0238709677419355E-2</v>
      </c>
      <c r="V58" s="140">
        <v>3.3959999999999999</v>
      </c>
      <c r="W58" s="144">
        <f>6.953+7.403</f>
        <v>14.356</v>
      </c>
      <c r="X58" s="144"/>
    </row>
    <row r="59" spans="2:24" s="133" customFormat="1" ht="16">
      <c r="B59" s="143" t="s">
        <v>3312</v>
      </c>
      <c r="C59" s="144" t="s">
        <v>1744</v>
      </c>
      <c r="D59" s="144" t="s">
        <v>3551</v>
      </c>
      <c r="E59" s="144" t="s">
        <v>3236</v>
      </c>
      <c r="F59" s="144" t="s">
        <v>36</v>
      </c>
      <c r="G59" s="144"/>
      <c r="H59" s="144"/>
      <c r="I59" s="145">
        <v>42152</v>
      </c>
      <c r="J59" s="144" t="s">
        <v>36</v>
      </c>
      <c r="K59" s="144" t="s">
        <v>154</v>
      </c>
      <c r="L59" s="140" t="s">
        <v>2572</v>
      </c>
      <c r="M59" s="140" t="s">
        <v>2576</v>
      </c>
      <c r="N59" s="140" t="s">
        <v>3192</v>
      </c>
      <c r="O59" s="144" t="s">
        <v>2777</v>
      </c>
      <c r="P59" s="144" t="s">
        <v>2777</v>
      </c>
      <c r="Q59" s="144" t="s">
        <v>3549</v>
      </c>
      <c r="R59" s="144" t="s">
        <v>946</v>
      </c>
      <c r="S59" s="144">
        <v>4.1599999999999998E-2</v>
      </c>
      <c r="T59" s="144">
        <v>3.5361290322580646E-2</v>
      </c>
      <c r="U59" s="144">
        <f t="shared" si="0"/>
        <v>6.2387096774193518E-3</v>
      </c>
      <c r="V59" s="144">
        <v>2.69</v>
      </c>
      <c r="W59" s="144">
        <f>5.509+6.115</f>
        <v>11.624000000000001</v>
      </c>
      <c r="X59" s="144"/>
    </row>
    <row r="60" spans="2:24" ht="16">
      <c r="B60" s="143" t="s">
        <v>3313</v>
      </c>
      <c r="C60" s="144" t="s">
        <v>1744</v>
      </c>
      <c r="D60" s="144" t="s">
        <v>3551</v>
      </c>
      <c r="E60" s="140" t="s">
        <v>3237</v>
      </c>
      <c r="F60" s="144" t="s">
        <v>36</v>
      </c>
      <c r="G60" s="144"/>
      <c r="H60" s="144"/>
      <c r="I60" s="145">
        <v>42153</v>
      </c>
      <c r="J60" s="144" t="s">
        <v>36</v>
      </c>
      <c r="K60" s="144" t="s">
        <v>154</v>
      </c>
      <c r="L60" s="140" t="s">
        <v>2572</v>
      </c>
      <c r="M60" s="140" t="s">
        <v>2576</v>
      </c>
      <c r="N60" s="140" t="s">
        <v>3192</v>
      </c>
      <c r="O60" s="140" t="s">
        <v>2777</v>
      </c>
      <c r="P60" s="140" t="s">
        <v>2777</v>
      </c>
      <c r="Q60" s="144" t="s">
        <v>3549</v>
      </c>
      <c r="R60" s="140" t="s">
        <v>946</v>
      </c>
      <c r="S60" s="140">
        <v>4.0300000000000002E-2</v>
      </c>
      <c r="T60" s="144">
        <v>3.5361290322580646E-2</v>
      </c>
      <c r="U60" s="144">
        <f t="shared" si="0"/>
        <v>4.9387096774193562E-3</v>
      </c>
      <c r="V60" s="140">
        <v>2.7989999999999999</v>
      </c>
      <c r="W60" s="144">
        <f>5.953+5.773</f>
        <v>11.725999999999999</v>
      </c>
      <c r="X60" s="144"/>
    </row>
    <row r="61" spans="2:24" s="133" customFormat="1" ht="16">
      <c r="B61" s="143" t="s">
        <v>3314</v>
      </c>
      <c r="C61" s="144" t="s">
        <v>1744</v>
      </c>
      <c r="D61" s="144" t="s">
        <v>3551</v>
      </c>
      <c r="E61" s="144" t="s">
        <v>3238</v>
      </c>
      <c r="F61" s="144">
        <v>628</v>
      </c>
      <c r="G61" s="144"/>
      <c r="H61" s="144"/>
      <c r="I61" s="145">
        <v>42154</v>
      </c>
      <c r="J61" s="144" t="s">
        <v>36</v>
      </c>
      <c r="K61" s="144" t="s">
        <v>154</v>
      </c>
      <c r="L61" s="140" t="s">
        <v>2572</v>
      </c>
      <c r="M61" s="140" t="s">
        <v>2576</v>
      </c>
      <c r="N61" s="140" t="s">
        <v>3192</v>
      </c>
      <c r="O61" s="144" t="s">
        <v>2777</v>
      </c>
      <c r="P61" s="144" t="s">
        <v>2777</v>
      </c>
      <c r="Q61" s="144" t="s">
        <v>3239</v>
      </c>
      <c r="R61" s="144" t="s">
        <v>917</v>
      </c>
      <c r="S61" s="144">
        <v>4.7600000000000003E-2</v>
      </c>
      <c r="T61" s="144">
        <v>3.5361290322580646E-2</v>
      </c>
      <c r="U61" s="144">
        <f t="shared" si="0"/>
        <v>1.2238709677419357E-2</v>
      </c>
      <c r="V61" s="144">
        <v>3.53</v>
      </c>
      <c r="W61" s="144">
        <f>7.435+9.234</f>
        <v>16.669</v>
      </c>
      <c r="X61" s="144"/>
    </row>
    <row r="62" spans="2:24" ht="16">
      <c r="B62" s="143" t="s">
        <v>3315</v>
      </c>
      <c r="C62" s="144" t="s">
        <v>1744</v>
      </c>
      <c r="D62" s="144" t="s">
        <v>3551</v>
      </c>
      <c r="E62" s="140" t="s">
        <v>3240</v>
      </c>
      <c r="F62" s="140">
        <v>645</v>
      </c>
      <c r="G62" s="144"/>
      <c r="H62" s="144"/>
      <c r="I62" s="145">
        <v>42155</v>
      </c>
      <c r="J62" s="144" t="s">
        <v>36</v>
      </c>
      <c r="K62" s="144" t="s">
        <v>154</v>
      </c>
      <c r="L62" s="140" t="s">
        <v>2572</v>
      </c>
      <c r="M62" s="140" t="s">
        <v>2576</v>
      </c>
      <c r="N62" s="140" t="s">
        <v>3192</v>
      </c>
      <c r="O62" s="140" t="s">
        <v>2777</v>
      </c>
      <c r="P62" s="140" t="s">
        <v>2777</v>
      </c>
      <c r="Q62" s="140" t="s">
        <v>3239</v>
      </c>
      <c r="R62" s="140" t="s">
        <v>917</v>
      </c>
      <c r="S62" s="140">
        <v>4.48E-2</v>
      </c>
      <c r="T62" s="144">
        <v>3.5361290322580646E-2</v>
      </c>
      <c r="U62" s="144">
        <f t="shared" si="0"/>
        <v>9.4387096774193532E-3</v>
      </c>
      <c r="V62" s="140">
        <v>3.2709999999999999</v>
      </c>
      <c r="W62" s="144">
        <f>8.148+6.891</f>
        <v>15.039</v>
      </c>
      <c r="X62" s="144"/>
    </row>
    <row r="63" spans="2:24" ht="16">
      <c r="B63" s="143" t="s">
        <v>3316</v>
      </c>
      <c r="C63" s="144" t="s">
        <v>1744</v>
      </c>
      <c r="D63" s="144" t="s">
        <v>3551</v>
      </c>
      <c r="E63" s="140" t="s">
        <v>3240</v>
      </c>
      <c r="F63" s="140">
        <v>644</v>
      </c>
      <c r="G63" s="144"/>
      <c r="H63" s="144"/>
      <c r="I63" s="145">
        <v>42156</v>
      </c>
      <c r="J63" s="144" t="s">
        <v>36</v>
      </c>
      <c r="K63" s="144" t="s">
        <v>154</v>
      </c>
      <c r="L63" s="140" t="s">
        <v>2572</v>
      </c>
      <c r="M63" s="140" t="s">
        <v>2576</v>
      </c>
      <c r="N63" s="140" t="s">
        <v>3192</v>
      </c>
      <c r="O63" s="140" t="s">
        <v>2777</v>
      </c>
      <c r="P63" s="140" t="s">
        <v>2777</v>
      </c>
      <c r="Q63" s="140" t="s">
        <v>3239</v>
      </c>
      <c r="R63" s="140" t="s">
        <v>917</v>
      </c>
      <c r="S63" s="140">
        <v>4.5900000000000003E-2</v>
      </c>
      <c r="T63" s="144">
        <v>3.5361290322580646E-2</v>
      </c>
      <c r="U63" s="144">
        <f t="shared" si="0"/>
        <v>1.0538709677419357E-2</v>
      </c>
      <c r="V63" s="140">
        <v>3.302</v>
      </c>
      <c r="W63" s="144">
        <f>6.574+8.529</f>
        <v>15.103</v>
      </c>
      <c r="X63" s="144"/>
    </row>
    <row r="64" spans="2:24" ht="16">
      <c r="B64" s="143" t="s">
        <v>3317</v>
      </c>
      <c r="C64" s="144" t="s">
        <v>1744</v>
      </c>
      <c r="D64" s="144" t="s">
        <v>3551</v>
      </c>
      <c r="E64" s="140" t="s">
        <v>3241</v>
      </c>
      <c r="F64" s="140">
        <v>627</v>
      </c>
      <c r="G64" s="144"/>
      <c r="H64" s="144"/>
      <c r="I64" s="145">
        <v>42157</v>
      </c>
      <c r="J64" s="144" t="s">
        <v>36</v>
      </c>
      <c r="K64" s="144" t="s">
        <v>154</v>
      </c>
      <c r="L64" s="140" t="s">
        <v>2572</v>
      </c>
      <c r="M64" s="140" t="s">
        <v>2576</v>
      </c>
      <c r="N64" s="140" t="s">
        <v>3192</v>
      </c>
      <c r="O64" s="140" t="s">
        <v>2777</v>
      </c>
      <c r="P64" s="140" t="s">
        <v>2777</v>
      </c>
      <c r="Q64" s="140" t="s">
        <v>3239</v>
      </c>
      <c r="R64" s="140" t="s">
        <v>917</v>
      </c>
      <c r="S64" s="140">
        <v>4.48E-2</v>
      </c>
      <c r="T64" s="144">
        <v>3.5361290322580646E-2</v>
      </c>
      <c r="U64" s="144">
        <f t="shared" si="0"/>
        <v>9.4387096774193532E-3</v>
      </c>
      <c r="V64" s="140">
        <v>3.282</v>
      </c>
      <c r="W64" s="144">
        <f>7.635+8.065</f>
        <v>15.7</v>
      </c>
      <c r="X64" s="144"/>
    </row>
    <row r="65" spans="2:24" ht="16">
      <c r="B65" s="143" t="s">
        <v>3318</v>
      </c>
      <c r="C65" s="144" t="s">
        <v>1744</v>
      </c>
      <c r="D65" s="144" t="s">
        <v>3551</v>
      </c>
      <c r="E65" s="140" t="s">
        <v>3242</v>
      </c>
      <c r="F65" s="140">
        <v>647</v>
      </c>
      <c r="G65" s="144"/>
      <c r="H65" s="144"/>
      <c r="I65" s="145">
        <v>42158</v>
      </c>
      <c r="J65" s="144" t="s">
        <v>36</v>
      </c>
      <c r="K65" s="144" t="s">
        <v>154</v>
      </c>
      <c r="L65" s="140" t="s">
        <v>2572</v>
      </c>
      <c r="M65" s="140" t="s">
        <v>2576</v>
      </c>
      <c r="N65" s="140" t="s">
        <v>3192</v>
      </c>
      <c r="O65" s="140" t="s">
        <v>2777</v>
      </c>
      <c r="P65" s="140" t="s">
        <v>2777</v>
      </c>
      <c r="Q65" s="140" t="s">
        <v>3239</v>
      </c>
      <c r="R65" s="140" t="s">
        <v>917</v>
      </c>
      <c r="S65" s="140">
        <v>4.58E-2</v>
      </c>
      <c r="T65" s="144">
        <v>3.5361290322580646E-2</v>
      </c>
      <c r="U65" s="144">
        <f t="shared" si="0"/>
        <v>1.0438709677419354E-2</v>
      </c>
      <c r="V65" s="140">
        <v>3.39</v>
      </c>
      <c r="W65" s="144">
        <v>16.885000000000002</v>
      </c>
      <c r="X65" s="144"/>
    </row>
    <row r="66" spans="2:24" ht="16">
      <c r="B66" s="143" t="s">
        <v>3319</v>
      </c>
      <c r="C66" s="144" t="s">
        <v>1744</v>
      </c>
      <c r="D66" s="144" t="s">
        <v>3551</v>
      </c>
      <c r="E66" s="140" t="s">
        <v>3242</v>
      </c>
      <c r="F66" s="140">
        <v>648</v>
      </c>
      <c r="G66" s="144"/>
      <c r="H66" s="144"/>
      <c r="I66" s="145">
        <v>42159</v>
      </c>
      <c r="J66" s="144" t="s">
        <v>36</v>
      </c>
      <c r="K66" s="144" t="s">
        <v>154</v>
      </c>
      <c r="L66" s="140" t="s">
        <v>2572</v>
      </c>
      <c r="M66" s="140" t="s">
        <v>2576</v>
      </c>
      <c r="N66" s="140" t="s">
        <v>3192</v>
      </c>
      <c r="O66" s="140" t="s">
        <v>2777</v>
      </c>
      <c r="P66" s="140" t="s">
        <v>2777</v>
      </c>
      <c r="Q66" s="140" t="s">
        <v>3239</v>
      </c>
      <c r="R66" s="140" t="s">
        <v>917</v>
      </c>
      <c r="S66" s="140">
        <v>4.5900000000000003E-2</v>
      </c>
      <c r="T66" s="144">
        <v>3.5361290322580646E-2</v>
      </c>
      <c r="U66" s="144">
        <f t="shared" si="0"/>
        <v>1.0538709677419357E-2</v>
      </c>
      <c r="V66" s="140">
        <v>3.3820000000000001</v>
      </c>
      <c r="W66" s="144">
        <v>16.568000000000001</v>
      </c>
      <c r="X66" s="144"/>
    </row>
    <row r="67" spans="2:24" ht="16">
      <c r="B67" s="143" t="s">
        <v>3320</v>
      </c>
      <c r="C67" s="144" t="s">
        <v>1744</v>
      </c>
      <c r="D67" s="144" t="s">
        <v>3551</v>
      </c>
      <c r="E67" s="140" t="s">
        <v>3243</v>
      </c>
      <c r="F67" s="140">
        <v>657</v>
      </c>
      <c r="G67" s="144"/>
      <c r="H67" s="144"/>
      <c r="I67" s="145">
        <v>42160</v>
      </c>
      <c r="J67" s="144" t="s">
        <v>36</v>
      </c>
      <c r="K67" s="144" t="s">
        <v>154</v>
      </c>
      <c r="L67" s="140" t="s">
        <v>2572</v>
      </c>
      <c r="M67" s="140" t="s">
        <v>2576</v>
      </c>
      <c r="N67" s="140" t="s">
        <v>3192</v>
      </c>
      <c r="O67" s="140" t="s">
        <v>2777</v>
      </c>
      <c r="P67" s="140" t="s">
        <v>2777</v>
      </c>
      <c r="Q67" s="140" t="s">
        <v>3239</v>
      </c>
      <c r="R67" s="140" t="s">
        <v>917</v>
      </c>
      <c r="S67" s="140">
        <v>4.3799999999999999E-2</v>
      </c>
      <c r="T67" s="144">
        <v>3.5361290322580646E-2</v>
      </c>
      <c r="U67" s="144">
        <f t="shared" ref="U67:U130" si="1">S67-T67</f>
        <v>8.4387096774193524E-3</v>
      </c>
      <c r="V67" s="140">
        <v>3.1080000000000001</v>
      </c>
      <c r="W67" s="144">
        <f>7.077+6.736</f>
        <v>13.812999999999999</v>
      </c>
      <c r="X67" s="144"/>
    </row>
    <row r="68" spans="2:24" ht="16">
      <c r="B68" s="143" t="s">
        <v>3321</v>
      </c>
      <c r="C68" s="144" t="s">
        <v>1744</v>
      </c>
      <c r="D68" s="144" t="s">
        <v>3551</v>
      </c>
      <c r="E68" s="140" t="s">
        <v>3244</v>
      </c>
      <c r="F68" s="140">
        <v>80</v>
      </c>
      <c r="G68" s="144"/>
      <c r="H68" s="144"/>
      <c r="I68" s="145">
        <v>42161</v>
      </c>
      <c r="J68" s="144" t="s">
        <v>36</v>
      </c>
      <c r="K68" s="144" t="s">
        <v>154</v>
      </c>
      <c r="L68" s="140" t="s">
        <v>2572</v>
      </c>
      <c r="M68" s="140" t="s">
        <v>2576</v>
      </c>
      <c r="N68" s="140" t="s">
        <v>3192</v>
      </c>
      <c r="O68" s="140" t="s">
        <v>2777</v>
      </c>
      <c r="P68" s="140" t="s">
        <v>2777</v>
      </c>
      <c r="Q68" s="140" t="s">
        <v>3239</v>
      </c>
      <c r="R68" s="140" t="s">
        <v>917</v>
      </c>
      <c r="S68" s="140">
        <v>4.5999999999999999E-2</v>
      </c>
      <c r="T68" s="144">
        <v>3.5361290322580646E-2</v>
      </c>
      <c r="U68" s="144">
        <f t="shared" si="1"/>
        <v>1.0638709677419353E-2</v>
      </c>
      <c r="V68" s="140">
        <v>3.4180000000000001</v>
      </c>
      <c r="W68" s="144">
        <v>15.707000000000001</v>
      </c>
      <c r="X68" s="144"/>
    </row>
    <row r="69" spans="2:24" ht="16">
      <c r="B69" s="143" t="s">
        <v>3322</v>
      </c>
      <c r="C69" s="144" t="s">
        <v>1744</v>
      </c>
      <c r="D69" s="144" t="s">
        <v>3551</v>
      </c>
      <c r="E69" s="140" t="s">
        <v>3244</v>
      </c>
      <c r="F69" s="140">
        <v>77</v>
      </c>
      <c r="G69" s="144"/>
      <c r="H69" s="144"/>
      <c r="I69" s="145">
        <v>42162</v>
      </c>
      <c r="J69" s="144" t="s">
        <v>36</v>
      </c>
      <c r="K69" s="144" t="s">
        <v>154</v>
      </c>
      <c r="L69" s="140" t="s">
        <v>2572</v>
      </c>
      <c r="M69" s="140" t="s">
        <v>2576</v>
      </c>
      <c r="N69" s="140" t="s">
        <v>3192</v>
      </c>
      <c r="O69" s="140" t="s">
        <v>2777</v>
      </c>
      <c r="P69" s="140" t="s">
        <v>2777</v>
      </c>
      <c r="Q69" s="140" t="s">
        <v>3239</v>
      </c>
      <c r="R69" s="140" t="s">
        <v>917</v>
      </c>
      <c r="S69" s="140">
        <v>4.5600000000000002E-2</v>
      </c>
      <c r="T69" s="144">
        <v>3.5361290322580646E-2</v>
      </c>
      <c r="U69" s="144">
        <f t="shared" si="1"/>
        <v>1.0238709677419355E-2</v>
      </c>
      <c r="V69" s="140">
        <v>3.5190000000000001</v>
      </c>
      <c r="W69" s="144">
        <f>7+8.95</f>
        <v>15.95</v>
      </c>
      <c r="X69" s="144"/>
    </row>
    <row r="70" spans="2:24" ht="16">
      <c r="B70" s="143" t="s">
        <v>3323</v>
      </c>
      <c r="C70" s="144" t="s">
        <v>1744</v>
      </c>
      <c r="D70" s="144" t="s">
        <v>3551</v>
      </c>
      <c r="E70" s="140" t="s">
        <v>3245</v>
      </c>
      <c r="F70" s="140">
        <v>76</v>
      </c>
      <c r="G70" s="144"/>
      <c r="H70" s="144"/>
      <c r="I70" s="145">
        <v>42163</v>
      </c>
      <c r="J70" s="144" t="s">
        <v>36</v>
      </c>
      <c r="K70" s="144" t="s">
        <v>154</v>
      </c>
      <c r="L70" s="140" t="s">
        <v>2572</v>
      </c>
      <c r="M70" s="140" t="s">
        <v>2576</v>
      </c>
      <c r="N70" s="140" t="s">
        <v>3192</v>
      </c>
      <c r="O70" s="140" t="s">
        <v>2777</v>
      </c>
      <c r="P70" s="140" t="s">
        <v>2777</v>
      </c>
      <c r="Q70" s="140" t="s">
        <v>3239</v>
      </c>
      <c r="R70" s="140" t="s">
        <v>917</v>
      </c>
      <c r="S70" s="140">
        <v>4.4900000000000002E-2</v>
      </c>
      <c r="T70" s="144">
        <v>3.5361290322580646E-2</v>
      </c>
      <c r="U70" s="144">
        <f t="shared" si="1"/>
        <v>9.5387096774193561E-3</v>
      </c>
      <c r="V70" s="140">
        <v>3.3410000000000002</v>
      </c>
      <c r="W70" s="144">
        <v>15.239000000000001</v>
      </c>
      <c r="X70" s="144"/>
    </row>
    <row r="71" spans="2:24" ht="16">
      <c r="B71" s="143" t="s">
        <v>3324</v>
      </c>
      <c r="C71" s="144" t="s">
        <v>1744</v>
      </c>
      <c r="D71" s="144" t="s">
        <v>3551</v>
      </c>
      <c r="E71" s="140" t="s">
        <v>3246</v>
      </c>
      <c r="F71" s="144" t="s">
        <v>36</v>
      </c>
      <c r="G71" s="144"/>
      <c r="H71" s="144"/>
      <c r="I71" s="145">
        <v>42164</v>
      </c>
      <c r="J71" s="144" t="s">
        <v>36</v>
      </c>
      <c r="K71" s="144" t="s">
        <v>154</v>
      </c>
      <c r="L71" s="140" t="s">
        <v>2572</v>
      </c>
      <c r="M71" s="140" t="s">
        <v>2576</v>
      </c>
      <c r="N71" s="140" t="s">
        <v>3192</v>
      </c>
      <c r="O71" s="140" t="s">
        <v>2777</v>
      </c>
      <c r="P71" s="140" t="s">
        <v>2777</v>
      </c>
      <c r="Q71" s="140" t="s">
        <v>3239</v>
      </c>
      <c r="R71" s="140" t="s">
        <v>917</v>
      </c>
      <c r="S71" s="140">
        <v>4.5999999999999999E-2</v>
      </c>
      <c r="T71" s="144">
        <v>3.5361290322580646E-2</v>
      </c>
      <c r="U71" s="144">
        <f t="shared" si="1"/>
        <v>1.0638709677419353E-2</v>
      </c>
      <c r="V71" s="140">
        <v>3.302</v>
      </c>
      <c r="W71" s="144">
        <f>6.931+8.326</f>
        <v>15.257000000000001</v>
      </c>
      <c r="X71" s="144"/>
    </row>
    <row r="72" spans="2:24" ht="16">
      <c r="B72" s="143" t="s">
        <v>3325</v>
      </c>
      <c r="C72" s="144" t="s">
        <v>1744</v>
      </c>
      <c r="D72" s="144" t="s">
        <v>3551</v>
      </c>
      <c r="E72" s="140" t="s">
        <v>3247</v>
      </c>
      <c r="F72" s="144" t="s">
        <v>36</v>
      </c>
      <c r="G72" s="144"/>
      <c r="H72" s="144"/>
      <c r="I72" s="145">
        <v>42165</v>
      </c>
      <c r="J72" s="144" t="s">
        <v>36</v>
      </c>
      <c r="K72" s="144" t="s">
        <v>154</v>
      </c>
      <c r="L72" s="140" t="s">
        <v>2572</v>
      </c>
      <c r="M72" s="140" t="s">
        <v>2576</v>
      </c>
      <c r="N72" s="140" t="s">
        <v>3192</v>
      </c>
      <c r="O72" s="140" t="s">
        <v>2777</v>
      </c>
      <c r="P72" s="140" t="s">
        <v>2777</v>
      </c>
      <c r="Q72" s="140" t="s">
        <v>3239</v>
      </c>
      <c r="R72" s="140" t="s">
        <v>917</v>
      </c>
      <c r="S72" s="140">
        <v>4.4999999999999998E-2</v>
      </c>
      <c r="T72" s="144">
        <v>3.5361290322580646E-2</v>
      </c>
      <c r="U72" s="144">
        <f t="shared" si="1"/>
        <v>9.638709677419352E-3</v>
      </c>
      <c r="V72" s="140">
        <v>3.343</v>
      </c>
      <c r="W72" s="144">
        <f>6.645+7.611</f>
        <v>14.256</v>
      </c>
      <c r="X72" s="144"/>
    </row>
    <row r="73" spans="2:24" ht="16">
      <c r="B73" s="143" t="s">
        <v>3326</v>
      </c>
      <c r="C73" s="144" t="s">
        <v>1744</v>
      </c>
      <c r="D73" s="144" t="s">
        <v>3551</v>
      </c>
      <c r="E73" s="140" t="s">
        <v>3248</v>
      </c>
      <c r="F73" s="144" t="s">
        <v>36</v>
      </c>
      <c r="G73" s="144"/>
      <c r="H73" s="144"/>
      <c r="I73" s="145">
        <v>42166</v>
      </c>
      <c r="J73" s="144" t="s">
        <v>36</v>
      </c>
      <c r="K73" s="144" t="s">
        <v>154</v>
      </c>
      <c r="L73" s="140" t="s">
        <v>2572</v>
      </c>
      <c r="M73" s="140" t="s">
        <v>2576</v>
      </c>
      <c r="N73" s="140" t="s">
        <v>3192</v>
      </c>
      <c r="O73" s="140" t="s">
        <v>2777</v>
      </c>
      <c r="P73" s="140" t="s">
        <v>2777</v>
      </c>
      <c r="Q73" s="140" t="s">
        <v>3239</v>
      </c>
      <c r="R73" s="140" t="s">
        <v>917</v>
      </c>
      <c r="S73" s="140">
        <v>4.6600000000000003E-2</v>
      </c>
      <c r="T73" s="144">
        <v>3.5361290322580646E-2</v>
      </c>
      <c r="U73" s="144">
        <f t="shared" si="1"/>
        <v>1.1238709677419356E-2</v>
      </c>
      <c r="V73" s="140">
        <v>3.399</v>
      </c>
      <c r="W73" s="144">
        <v>15.489000000000001</v>
      </c>
      <c r="X73" s="144"/>
    </row>
    <row r="74" spans="2:24" ht="16">
      <c r="B74" s="143" t="s">
        <v>3327</v>
      </c>
      <c r="C74" s="144" t="s">
        <v>1744</v>
      </c>
      <c r="D74" s="144" t="s">
        <v>3551</v>
      </c>
      <c r="E74" s="140" t="s">
        <v>3249</v>
      </c>
      <c r="F74" s="144" t="s">
        <v>3205</v>
      </c>
      <c r="G74" s="144"/>
      <c r="H74" s="144"/>
      <c r="I74" s="145">
        <v>42167</v>
      </c>
      <c r="J74" s="144" t="s">
        <v>36</v>
      </c>
      <c r="K74" s="144" t="s">
        <v>154</v>
      </c>
      <c r="L74" s="140" t="s">
        <v>2572</v>
      </c>
      <c r="M74" s="140" t="s">
        <v>2576</v>
      </c>
      <c r="N74" s="140" t="s">
        <v>3192</v>
      </c>
      <c r="O74" s="140" t="s">
        <v>2777</v>
      </c>
      <c r="P74" s="140" t="s">
        <v>2777</v>
      </c>
      <c r="Q74" s="140" t="s">
        <v>3239</v>
      </c>
      <c r="R74" s="140" t="s">
        <v>917</v>
      </c>
      <c r="S74" s="140">
        <v>4.53E-2</v>
      </c>
      <c r="T74" s="144">
        <v>3.5361290322580646E-2</v>
      </c>
      <c r="U74" s="144">
        <f t="shared" si="1"/>
        <v>9.9387096774193537E-3</v>
      </c>
      <c r="V74" s="140">
        <v>3.3039999999999998</v>
      </c>
      <c r="W74" s="144">
        <v>15.836</v>
      </c>
      <c r="X74" s="144"/>
    </row>
    <row r="75" spans="2:24" ht="16">
      <c r="B75" s="143" t="s">
        <v>3328</v>
      </c>
      <c r="C75" s="144" t="s">
        <v>1744</v>
      </c>
      <c r="D75" s="144" t="s">
        <v>3551</v>
      </c>
      <c r="E75" s="140" t="s">
        <v>3250</v>
      </c>
      <c r="F75" s="144" t="s">
        <v>36</v>
      </c>
      <c r="G75" s="144"/>
      <c r="H75" s="144"/>
      <c r="I75" s="145">
        <v>42168</v>
      </c>
      <c r="J75" s="144" t="s">
        <v>36</v>
      </c>
      <c r="K75" s="144" t="s">
        <v>154</v>
      </c>
      <c r="L75" s="140" t="s">
        <v>2572</v>
      </c>
      <c r="M75" s="140" t="s">
        <v>2576</v>
      </c>
      <c r="N75" s="140" t="s">
        <v>3192</v>
      </c>
      <c r="O75" s="140" t="s">
        <v>2777</v>
      </c>
      <c r="P75" s="140" t="s">
        <v>2777</v>
      </c>
      <c r="Q75" s="140" t="s">
        <v>3239</v>
      </c>
      <c r="R75" s="140" t="s">
        <v>917</v>
      </c>
      <c r="S75" s="140">
        <v>4.5900000000000003E-2</v>
      </c>
      <c r="T75" s="144">
        <v>3.5361290322580646E-2</v>
      </c>
      <c r="U75" s="144">
        <f t="shared" si="1"/>
        <v>1.0538709677419357E-2</v>
      </c>
      <c r="V75" s="140">
        <v>3.0649999999999999</v>
      </c>
      <c r="W75" s="144">
        <f>6.543+7.623</f>
        <v>14.166</v>
      </c>
      <c r="X75" s="144"/>
    </row>
    <row r="76" spans="2:24" ht="16">
      <c r="B76" s="143" t="s">
        <v>3329</v>
      </c>
      <c r="C76" s="144" t="s">
        <v>1744</v>
      </c>
      <c r="D76" s="144" t="s">
        <v>3551</v>
      </c>
      <c r="E76" s="140" t="s">
        <v>3251</v>
      </c>
      <c r="F76" s="144">
        <v>368</v>
      </c>
      <c r="G76" s="144"/>
      <c r="H76" s="144"/>
      <c r="I76" s="145">
        <v>42169</v>
      </c>
      <c r="J76" s="144" t="s">
        <v>36</v>
      </c>
      <c r="K76" s="144" t="s">
        <v>154</v>
      </c>
      <c r="L76" s="140" t="s">
        <v>2572</v>
      </c>
      <c r="M76" s="140" t="s">
        <v>2576</v>
      </c>
      <c r="N76" s="140" t="s">
        <v>3192</v>
      </c>
      <c r="O76" s="140" t="s">
        <v>2777</v>
      </c>
      <c r="P76" s="140" t="s">
        <v>2777</v>
      </c>
      <c r="Q76" s="140" t="s">
        <v>3239</v>
      </c>
      <c r="R76" s="140" t="s">
        <v>917</v>
      </c>
      <c r="S76" s="140">
        <v>4.41E-2</v>
      </c>
      <c r="T76" s="144">
        <v>3.5361290322580646E-2</v>
      </c>
      <c r="U76" s="144">
        <f t="shared" si="1"/>
        <v>8.738709677419354E-3</v>
      </c>
      <c r="V76" s="140">
        <v>3.2440000000000002</v>
      </c>
      <c r="W76" s="144">
        <v>15.679</v>
      </c>
      <c r="X76" s="144"/>
    </row>
    <row r="77" spans="2:24" ht="16">
      <c r="B77" s="143" t="s">
        <v>3330</v>
      </c>
      <c r="C77" s="144" t="s">
        <v>1744</v>
      </c>
      <c r="D77" s="144" t="s">
        <v>3551</v>
      </c>
      <c r="E77" s="140" t="s">
        <v>3252</v>
      </c>
      <c r="F77" s="144">
        <v>366</v>
      </c>
      <c r="G77" s="144"/>
      <c r="H77" s="144"/>
      <c r="I77" s="145">
        <v>42170</v>
      </c>
      <c r="J77" s="144" t="s">
        <v>36</v>
      </c>
      <c r="K77" s="144" t="s">
        <v>154</v>
      </c>
      <c r="L77" s="140" t="s">
        <v>2572</v>
      </c>
      <c r="M77" s="140" t="s">
        <v>2576</v>
      </c>
      <c r="N77" s="140" t="s">
        <v>3192</v>
      </c>
      <c r="O77" s="140" t="s">
        <v>2777</v>
      </c>
      <c r="P77" s="140" t="s">
        <v>2777</v>
      </c>
      <c r="Q77" s="140" t="s">
        <v>3239</v>
      </c>
      <c r="R77" s="140" t="s">
        <v>917</v>
      </c>
      <c r="S77" s="140">
        <v>4.48E-2</v>
      </c>
      <c r="T77" s="144">
        <v>3.5361290322580646E-2</v>
      </c>
      <c r="U77" s="144">
        <f t="shared" si="1"/>
        <v>9.4387096774193532E-3</v>
      </c>
      <c r="V77" s="140">
        <v>3.2309999999999999</v>
      </c>
      <c r="W77" s="144">
        <f>7.125+9.396</f>
        <v>16.521000000000001</v>
      </c>
      <c r="X77" s="144"/>
    </row>
    <row r="78" spans="2:24" ht="16">
      <c r="B78" s="143" t="s">
        <v>3331</v>
      </c>
      <c r="C78" s="144" t="s">
        <v>1744</v>
      </c>
      <c r="D78" s="144" t="s">
        <v>3551</v>
      </c>
      <c r="E78" s="140" t="s">
        <v>3253</v>
      </c>
      <c r="F78" s="144">
        <v>367</v>
      </c>
      <c r="G78" s="144"/>
      <c r="H78" s="144"/>
      <c r="I78" s="145">
        <v>42171</v>
      </c>
      <c r="J78" s="144" t="s">
        <v>36</v>
      </c>
      <c r="K78" s="144" t="s">
        <v>154</v>
      </c>
      <c r="L78" s="140" t="s">
        <v>2572</v>
      </c>
      <c r="M78" s="140" t="s">
        <v>2576</v>
      </c>
      <c r="N78" s="140" t="s">
        <v>3192</v>
      </c>
      <c r="O78" s="140" t="s">
        <v>2777</v>
      </c>
      <c r="P78" s="140" t="s">
        <v>2777</v>
      </c>
      <c r="Q78" s="140" t="s">
        <v>3239</v>
      </c>
      <c r="R78" s="140" t="s">
        <v>917</v>
      </c>
      <c r="S78" s="140">
        <v>4.6800000000000001E-2</v>
      </c>
      <c r="T78" s="144">
        <v>3.5361290322580646E-2</v>
      </c>
      <c r="U78" s="144">
        <f t="shared" si="1"/>
        <v>1.1438709677419355E-2</v>
      </c>
      <c r="V78" s="140">
        <v>3.4359999999999999</v>
      </c>
      <c r="W78" s="144">
        <f>7.393+9.588</f>
        <v>16.980999999999998</v>
      </c>
      <c r="X78" s="144"/>
    </row>
    <row r="79" spans="2:24" ht="16">
      <c r="B79" s="143" t="s">
        <v>3332</v>
      </c>
      <c r="C79" s="144" t="s">
        <v>1744</v>
      </c>
      <c r="D79" s="144" t="s">
        <v>3551</v>
      </c>
      <c r="E79" s="140" t="s">
        <v>3207</v>
      </c>
      <c r="F79" s="144">
        <v>52</v>
      </c>
      <c r="G79" s="144"/>
      <c r="H79" s="144"/>
      <c r="I79" s="145">
        <v>42172</v>
      </c>
      <c r="J79" s="144" t="s">
        <v>36</v>
      </c>
      <c r="K79" s="144" t="s">
        <v>154</v>
      </c>
      <c r="L79" s="140" t="s">
        <v>2572</v>
      </c>
      <c r="M79" s="140" t="s">
        <v>2576</v>
      </c>
      <c r="N79" s="140" t="s">
        <v>3192</v>
      </c>
      <c r="O79" s="140" t="s">
        <v>2777</v>
      </c>
      <c r="P79" s="140" t="s">
        <v>2777</v>
      </c>
      <c r="Q79" s="140" t="s">
        <v>3239</v>
      </c>
      <c r="R79" s="140" t="s">
        <v>917</v>
      </c>
      <c r="S79" s="140">
        <v>4.5400000000000003E-2</v>
      </c>
      <c r="T79" s="144">
        <v>3.5361290322580646E-2</v>
      </c>
      <c r="U79" s="144">
        <f t="shared" si="1"/>
        <v>1.0038709677419357E-2</v>
      </c>
      <c r="V79" s="140">
        <v>3.2629999999999999</v>
      </c>
      <c r="W79" s="144">
        <f>7.932+6.511</f>
        <v>14.443000000000001</v>
      </c>
      <c r="X79" s="144"/>
    </row>
    <row r="80" spans="2:24" ht="16">
      <c r="B80" s="143" t="s">
        <v>3333</v>
      </c>
      <c r="C80" s="144" t="s">
        <v>1744</v>
      </c>
      <c r="D80" s="144" t="s">
        <v>3551</v>
      </c>
      <c r="E80" s="140" t="s">
        <v>3207</v>
      </c>
      <c r="F80" s="144">
        <v>58</v>
      </c>
      <c r="G80" s="144"/>
      <c r="H80" s="144"/>
      <c r="I80" s="145">
        <v>42173</v>
      </c>
      <c r="J80" s="144" t="s">
        <v>36</v>
      </c>
      <c r="K80" s="144" t="s">
        <v>154</v>
      </c>
      <c r="L80" s="140" t="s">
        <v>2572</v>
      </c>
      <c r="M80" s="140" t="s">
        <v>2576</v>
      </c>
      <c r="N80" s="140" t="s">
        <v>3192</v>
      </c>
      <c r="O80" s="140" t="s">
        <v>2777</v>
      </c>
      <c r="P80" s="140" t="s">
        <v>2777</v>
      </c>
      <c r="Q80" s="140" t="s">
        <v>3239</v>
      </c>
      <c r="R80" s="140" t="s">
        <v>917</v>
      </c>
      <c r="S80" s="140">
        <v>4.5199999999999997E-2</v>
      </c>
      <c r="T80" s="144">
        <v>3.5361290322580646E-2</v>
      </c>
      <c r="U80" s="144">
        <f t="shared" si="1"/>
        <v>9.8387096774193508E-3</v>
      </c>
      <c r="V80" s="140">
        <v>3.3940000000000001</v>
      </c>
      <c r="W80" s="144">
        <f>7.095+9.004</f>
        <v>16.099</v>
      </c>
      <c r="X80" s="144"/>
    </row>
    <row r="81" spans="2:24" ht="16">
      <c r="B81" s="143" t="s">
        <v>3334</v>
      </c>
      <c r="C81" s="144" t="s">
        <v>1744</v>
      </c>
      <c r="D81" s="144" t="s">
        <v>3551</v>
      </c>
      <c r="E81" s="140" t="s">
        <v>3207</v>
      </c>
      <c r="F81" s="144">
        <v>69</v>
      </c>
      <c r="G81" s="144"/>
      <c r="H81" s="144"/>
      <c r="I81" s="145">
        <v>42174</v>
      </c>
      <c r="J81" s="144" t="s">
        <v>36</v>
      </c>
      <c r="K81" s="144" t="s">
        <v>154</v>
      </c>
      <c r="L81" s="140" t="s">
        <v>2572</v>
      </c>
      <c r="M81" s="140" t="s">
        <v>2576</v>
      </c>
      <c r="N81" s="140" t="s">
        <v>3192</v>
      </c>
      <c r="O81" s="140" t="s">
        <v>2777</v>
      </c>
      <c r="P81" s="140" t="s">
        <v>2777</v>
      </c>
      <c r="Q81" s="140" t="s">
        <v>3239</v>
      </c>
      <c r="R81" s="140" t="s">
        <v>917</v>
      </c>
      <c r="S81" s="140">
        <v>4.4900000000000002E-2</v>
      </c>
      <c r="T81" s="144">
        <v>3.5361290322580646E-2</v>
      </c>
      <c r="U81" s="144">
        <f t="shared" si="1"/>
        <v>9.5387096774193561E-3</v>
      </c>
      <c r="V81" s="140">
        <v>3.3679999999999999</v>
      </c>
      <c r="W81" s="144">
        <v>16.567</v>
      </c>
      <c r="X81" s="144"/>
    </row>
    <row r="82" spans="2:24" ht="16">
      <c r="B82" s="143" t="s">
        <v>3335</v>
      </c>
      <c r="C82" s="144" t="s">
        <v>1744</v>
      </c>
      <c r="D82" s="144" t="s">
        <v>3551</v>
      </c>
      <c r="E82" s="140" t="s">
        <v>3207</v>
      </c>
      <c r="F82" s="144">
        <v>59</v>
      </c>
      <c r="G82" s="144"/>
      <c r="H82" s="144"/>
      <c r="I82" s="145">
        <v>42175</v>
      </c>
      <c r="J82" s="144" t="s">
        <v>36</v>
      </c>
      <c r="K82" s="144" t="s">
        <v>154</v>
      </c>
      <c r="L82" s="140" t="s">
        <v>2572</v>
      </c>
      <c r="M82" s="140" t="s">
        <v>2576</v>
      </c>
      <c r="N82" s="140" t="s">
        <v>3192</v>
      </c>
      <c r="O82" s="140" t="s">
        <v>2777</v>
      </c>
      <c r="P82" s="140" t="s">
        <v>2777</v>
      </c>
      <c r="Q82" s="140" t="s">
        <v>3239</v>
      </c>
      <c r="R82" s="140" t="s">
        <v>917</v>
      </c>
      <c r="S82" s="140">
        <v>4.5100000000000001E-2</v>
      </c>
      <c r="T82" s="144">
        <v>3.5361290322580646E-2</v>
      </c>
      <c r="U82" s="144">
        <f t="shared" si="1"/>
        <v>9.7387096774193549E-3</v>
      </c>
      <c r="V82" s="140">
        <v>3.2240000000000002</v>
      </c>
      <c r="W82" s="144">
        <f>9.332+6.884</f>
        <v>16.216000000000001</v>
      </c>
      <c r="X82" s="144"/>
    </row>
    <row r="83" spans="2:24" ht="16">
      <c r="B83" s="143" t="s">
        <v>3336</v>
      </c>
      <c r="C83" s="144" t="s">
        <v>1744</v>
      </c>
      <c r="D83" s="144" t="s">
        <v>3551</v>
      </c>
      <c r="E83" s="140" t="s">
        <v>3207</v>
      </c>
      <c r="F83" s="144">
        <v>64</v>
      </c>
      <c r="G83" s="144"/>
      <c r="H83" s="144"/>
      <c r="I83" s="145">
        <v>42176</v>
      </c>
      <c r="J83" s="144" t="s">
        <v>36</v>
      </c>
      <c r="K83" s="144" t="s">
        <v>154</v>
      </c>
      <c r="L83" s="140" t="s">
        <v>2572</v>
      </c>
      <c r="M83" s="140" t="s">
        <v>2576</v>
      </c>
      <c r="N83" s="140" t="s">
        <v>3192</v>
      </c>
      <c r="O83" s="140" t="s">
        <v>2777</v>
      </c>
      <c r="P83" s="140" t="s">
        <v>2777</v>
      </c>
      <c r="Q83" s="140" t="s">
        <v>3239</v>
      </c>
      <c r="R83" s="140" t="s">
        <v>917</v>
      </c>
      <c r="S83" s="140">
        <v>4.7399999999999998E-2</v>
      </c>
      <c r="T83" s="144">
        <v>3.5361290322580646E-2</v>
      </c>
      <c r="U83" s="144">
        <f t="shared" si="1"/>
        <v>1.2038709677419351E-2</v>
      </c>
      <c r="V83" s="140">
        <v>3.4119999999999999</v>
      </c>
      <c r="W83" s="144">
        <f>8.922+7.274</f>
        <v>16.196000000000002</v>
      </c>
      <c r="X83" s="144"/>
    </row>
    <row r="84" spans="2:24" ht="16">
      <c r="B84" s="143" t="s">
        <v>3337</v>
      </c>
      <c r="C84" s="144" t="s">
        <v>1744</v>
      </c>
      <c r="D84" s="144" t="s">
        <v>3551</v>
      </c>
      <c r="E84" s="140" t="s">
        <v>3207</v>
      </c>
      <c r="F84" s="144">
        <v>62</v>
      </c>
      <c r="G84" s="144"/>
      <c r="H84" s="144"/>
      <c r="I84" s="145">
        <v>42177</v>
      </c>
      <c r="J84" s="144" t="s">
        <v>36</v>
      </c>
      <c r="K84" s="144" t="s">
        <v>154</v>
      </c>
      <c r="L84" s="140" t="s">
        <v>2572</v>
      </c>
      <c r="M84" s="140" t="s">
        <v>2576</v>
      </c>
      <c r="N84" s="140" t="s">
        <v>3192</v>
      </c>
      <c r="O84" s="140" t="s">
        <v>2777</v>
      </c>
      <c r="P84" s="140" t="s">
        <v>2777</v>
      </c>
      <c r="Q84" s="140" t="s">
        <v>3239</v>
      </c>
      <c r="R84" s="140" t="s">
        <v>917</v>
      </c>
      <c r="S84" s="140">
        <v>4.4900000000000002E-2</v>
      </c>
      <c r="T84" s="144">
        <v>3.5361290322580646E-2</v>
      </c>
      <c r="U84" s="144">
        <f t="shared" si="1"/>
        <v>9.5387096774193561E-3</v>
      </c>
      <c r="V84" s="140">
        <v>3.0750000000000002</v>
      </c>
      <c r="W84" s="144">
        <f>6.514+8.705</f>
        <v>15.219000000000001</v>
      </c>
      <c r="X84" s="144"/>
    </row>
    <row r="85" spans="2:24" ht="16">
      <c r="B85" s="143" t="s">
        <v>3338</v>
      </c>
      <c r="C85" s="144" t="s">
        <v>1744</v>
      </c>
      <c r="D85" s="144" t="s">
        <v>3551</v>
      </c>
      <c r="E85" s="140" t="s">
        <v>3254</v>
      </c>
      <c r="F85" s="144">
        <v>65</v>
      </c>
      <c r="G85" s="144"/>
      <c r="H85" s="144"/>
      <c r="I85" s="145">
        <v>42178</v>
      </c>
      <c r="J85" s="144" t="s">
        <v>36</v>
      </c>
      <c r="K85" s="144" t="s">
        <v>154</v>
      </c>
      <c r="L85" s="140" t="s">
        <v>2572</v>
      </c>
      <c r="M85" s="140" t="s">
        <v>2576</v>
      </c>
      <c r="N85" s="140" t="s">
        <v>3192</v>
      </c>
      <c r="O85" s="140" t="s">
        <v>2777</v>
      </c>
      <c r="P85" s="140" t="s">
        <v>2777</v>
      </c>
      <c r="Q85" s="140" t="s">
        <v>3239</v>
      </c>
      <c r="R85" s="140" t="s">
        <v>917</v>
      </c>
      <c r="S85" s="140">
        <v>4.5699999999999998E-2</v>
      </c>
      <c r="T85" s="144">
        <v>3.5361290322580646E-2</v>
      </c>
      <c r="U85" s="144">
        <f t="shared" si="1"/>
        <v>1.0338709677419351E-2</v>
      </c>
      <c r="V85" s="140">
        <v>3.5129999999999999</v>
      </c>
      <c r="W85" s="144">
        <v>16.122</v>
      </c>
      <c r="X85" s="144"/>
    </row>
    <row r="86" spans="2:24" ht="16">
      <c r="B86" s="143" t="s">
        <v>3339</v>
      </c>
      <c r="C86" s="144" t="s">
        <v>1744</v>
      </c>
      <c r="D86" s="144" t="s">
        <v>3551</v>
      </c>
      <c r="E86" s="140" t="s">
        <v>3351</v>
      </c>
      <c r="F86" s="144" t="s">
        <v>36</v>
      </c>
      <c r="G86" s="144"/>
      <c r="H86" s="144"/>
      <c r="I86" s="145">
        <v>42179</v>
      </c>
      <c r="J86" s="144" t="s">
        <v>36</v>
      </c>
      <c r="K86" s="144" t="s">
        <v>154</v>
      </c>
      <c r="L86" s="140" t="s">
        <v>2572</v>
      </c>
      <c r="M86" s="140" t="s">
        <v>2576</v>
      </c>
      <c r="N86" s="140" t="s">
        <v>3192</v>
      </c>
      <c r="O86" s="140" t="s">
        <v>2777</v>
      </c>
      <c r="P86" s="140" t="s">
        <v>2777</v>
      </c>
      <c r="Q86" s="140" t="s">
        <v>3239</v>
      </c>
      <c r="R86" s="140" t="s">
        <v>917</v>
      </c>
      <c r="S86" s="140">
        <v>4.6199999999999998E-2</v>
      </c>
      <c r="T86" s="144">
        <v>3.5361290322580646E-2</v>
      </c>
      <c r="U86" s="144">
        <f t="shared" si="1"/>
        <v>1.0838709677419352E-2</v>
      </c>
      <c r="V86" s="140">
        <v>3.444</v>
      </c>
      <c r="W86" s="144">
        <f>8.727+6.992</f>
        <v>15.719000000000001</v>
      </c>
      <c r="X86" s="144"/>
    </row>
    <row r="87" spans="2:24" ht="16">
      <c r="B87" s="143" t="s">
        <v>3340</v>
      </c>
      <c r="C87" s="144" t="s">
        <v>1744</v>
      </c>
      <c r="D87" s="144" t="s">
        <v>3551</v>
      </c>
      <c r="E87" s="140" t="s">
        <v>3352</v>
      </c>
      <c r="F87" s="144" t="s">
        <v>36</v>
      </c>
      <c r="G87" s="144"/>
      <c r="H87" s="144"/>
      <c r="I87" s="145">
        <v>42180</v>
      </c>
      <c r="J87" s="144" t="s">
        <v>36</v>
      </c>
      <c r="K87" s="144" t="s">
        <v>154</v>
      </c>
      <c r="L87" s="140" t="s">
        <v>2572</v>
      </c>
      <c r="M87" s="140" t="s">
        <v>2576</v>
      </c>
      <c r="N87" s="140" t="s">
        <v>3192</v>
      </c>
      <c r="O87" s="140" t="s">
        <v>2777</v>
      </c>
      <c r="P87" s="140" t="s">
        <v>2777</v>
      </c>
      <c r="Q87" s="140" t="s">
        <v>3239</v>
      </c>
      <c r="R87" s="140" t="s">
        <v>917</v>
      </c>
      <c r="S87" s="140">
        <v>4.3700000000000003E-2</v>
      </c>
      <c r="T87" s="144">
        <v>3.5361290322580646E-2</v>
      </c>
      <c r="U87" s="144">
        <f t="shared" si="1"/>
        <v>8.3387096774193564E-3</v>
      </c>
      <c r="V87" s="140">
        <v>3.42</v>
      </c>
      <c r="W87" s="144">
        <f>8.813+7.056</f>
        <v>15.869</v>
      </c>
      <c r="X87" s="144"/>
    </row>
    <row r="88" spans="2:24" ht="16">
      <c r="B88" s="143" t="s">
        <v>3341</v>
      </c>
      <c r="C88" s="144" t="s">
        <v>1744</v>
      </c>
      <c r="D88" s="144" t="s">
        <v>3551</v>
      </c>
      <c r="E88" s="140" t="s">
        <v>3353</v>
      </c>
      <c r="F88" s="144">
        <v>327</v>
      </c>
      <c r="G88" s="144"/>
      <c r="H88" s="144"/>
      <c r="I88" s="145">
        <v>42181</v>
      </c>
      <c r="J88" s="144" t="s">
        <v>36</v>
      </c>
      <c r="K88" s="144" t="s">
        <v>154</v>
      </c>
      <c r="L88" s="140" t="s">
        <v>2572</v>
      </c>
      <c r="M88" s="140" t="s">
        <v>2576</v>
      </c>
      <c r="N88" s="140" t="s">
        <v>3192</v>
      </c>
      <c r="O88" s="140" t="s">
        <v>2777</v>
      </c>
      <c r="P88" s="140" t="s">
        <v>2777</v>
      </c>
      <c r="Q88" s="140" t="s">
        <v>3239</v>
      </c>
      <c r="R88" s="140" t="s">
        <v>917</v>
      </c>
      <c r="S88" s="140">
        <v>4.5100000000000001E-2</v>
      </c>
      <c r="T88" s="144">
        <v>3.5361290322580646E-2</v>
      </c>
      <c r="U88" s="144">
        <f t="shared" si="1"/>
        <v>9.7387096774193549E-3</v>
      </c>
      <c r="V88" s="140">
        <v>3.4609999999999999</v>
      </c>
      <c r="W88" s="144">
        <v>15.233000000000001</v>
      </c>
      <c r="X88" s="144"/>
    </row>
    <row r="89" spans="2:24" ht="16">
      <c r="B89" s="143" t="s">
        <v>3342</v>
      </c>
      <c r="C89" s="144" t="s">
        <v>1744</v>
      </c>
      <c r="D89" s="144" t="s">
        <v>3551</v>
      </c>
      <c r="E89" s="140" t="s">
        <v>3354</v>
      </c>
      <c r="F89" s="144">
        <v>232</v>
      </c>
      <c r="G89" s="144"/>
      <c r="H89" s="144"/>
      <c r="I89" s="145">
        <v>42182</v>
      </c>
      <c r="J89" s="144" t="s">
        <v>36</v>
      </c>
      <c r="K89" s="144" t="s">
        <v>154</v>
      </c>
      <c r="L89" s="140" t="s">
        <v>2572</v>
      </c>
      <c r="M89" s="140" t="s">
        <v>2576</v>
      </c>
      <c r="N89" s="140" t="s">
        <v>3192</v>
      </c>
      <c r="O89" s="140" t="s">
        <v>2777</v>
      </c>
      <c r="P89" s="140" t="s">
        <v>2777</v>
      </c>
      <c r="Q89" s="140" t="s">
        <v>3239</v>
      </c>
      <c r="R89" s="140" t="s">
        <v>917</v>
      </c>
      <c r="S89" s="140">
        <v>4.3900000000000002E-2</v>
      </c>
      <c r="T89" s="144">
        <v>3.5361290322580646E-2</v>
      </c>
      <c r="U89" s="144">
        <f t="shared" si="1"/>
        <v>8.5387096774193552E-3</v>
      </c>
      <c r="V89" s="140">
        <v>3.4409999999999998</v>
      </c>
      <c r="W89" s="144">
        <v>15.179</v>
      </c>
      <c r="X89" s="144"/>
    </row>
    <row r="90" spans="2:24" ht="16">
      <c r="B90" s="143" t="s">
        <v>3343</v>
      </c>
      <c r="C90" s="144" t="s">
        <v>1744</v>
      </c>
      <c r="D90" s="144" t="s">
        <v>3551</v>
      </c>
      <c r="E90" s="140" t="s">
        <v>3354</v>
      </c>
      <c r="F90" s="144">
        <v>235</v>
      </c>
      <c r="G90" s="144"/>
      <c r="H90" s="144"/>
      <c r="I90" s="145">
        <v>42183</v>
      </c>
      <c r="J90" s="144" t="s">
        <v>36</v>
      </c>
      <c r="K90" s="144" t="s">
        <v>154</v>
      </c>
      <c r="L90" s="140" t="s">
        <v>2572</v>
      </c>
      <c r="M90" s="140" t="s">
        <v>2576</v>
      </c>
      <c r="N90" s="140" t="s">
        <v>3192</v>
      </c>
      <c r="O90" s="140" t="s">
        <v>2777</v>
      </c>
      <c r="P90" s="140" t="s">
        <v>2777</v>
      </c>
      <c r="Q90" s="140" t="s">
        <v>3239</v>
      </c>
      <c r="R90" s="140" t="s">
        <v>917</v>
      </c>
      <c r="S90" s="140">
        <v>4.3999999999999997E-2</v>
      </c>
      <c r="T90" s="144">
        <v>3.5361290322580646E-2</v>
      </c>
      <c r="U90" s="144">
        <f t="shared" si="1"/>
        <v>8.6387096774193511E-3</v>
      </c>
      <c r="V90" s="140">
        <v>3.0259999999999998</v>
      </c>
      <c r="W90" s="144">
        <f>7.116+9.072</f>
        <v>16.187999999999999</v>
      </c>
      <c r="X90" s="144"/>
    </row>
    <row r="91" spans="2:24" ht="16">
      <c r="B91" s="143" t="s">
        <v>3344</v>
      </c>
      <c r="C91" s="144" t="s">
        <v>1744</v>
      </c>
      <c r="D91" s="144" t="s">
        <v>3551</v>
      </c>
      <c r="E91" s="140" t="s">
        <v>3355</v>
      </c>
      <c r="F91" s="144">
        <v>291</v>
      </c>
      <c r="G91" s="144"/>
      <c r="H91" s="144"/>
      <c r="I91" s="145">
        <v>42184</v>
      </c>
      <c r="J91" s="144" t="s">
        <v>36</v>
      </c>
      <c r="K91" s="144" t="s">
        <v>154</v>
      </c>
      <c r="L91" s="140" t="s">
        <v>2572</v>
      </c>
      <c r="M91" s="140" t="s">
        <v>2576</v>
      </c>
      <c r="N91" s="140" t="s">
        <v>3192</v>
      </c>
      <c r="O91" s="140" t="s">
        <v>2777</v>
      </c>
      <c r="P91" s="140" t="s">
        <v>2777</v>
      </c>
      <c r="Q91" s="140" t="s">
        <v>3239</v>
      </c>
      <c r="R91" s="140" t="s">
        <v>917</v>
      </c>
      <c r="S91" s="140">
        <v>4.7300000000000002E-2</v>
      </c>
      <c r="T91" s="144">
        <v>3.5361290322580646E-2</v>
      </c>
      <c r="U91" s="144">
        <f t="shared" si="1"/>
        <v>1.1938709677419355E-2</v>
      </c>
      <c r="V91" s="140">
        <v>3.6360000000000001</v>
      </c>
      <c r="W91" s="144">
        <v>16.585000000000001</v>
      </c>
      <c r="X91" s="144"/>
    </row>
    <row r="92" spans="2:24" ht="16">
      <c r="B92" s="143" t="s">
        <v>3345</v>
      </c>
      <c r="C92" s="144" t="s">
        <v>1744</v>
      </c>
      <c r="D92" s="144" t="s">
        <v>3551</v>
      </c>
      <c r="E92" s="140" t="s">
        <v>3356</v>
      </c>
      <c r="F92" s="144">
        <v>612</v>
      </c>
      <c r="G92" s="144"/>
      <c r="H92" s="144"/>
      <c r="I92" s="145">
        <v>42185</v>
      </c>
      <c r="J92" s="144" t="s">
        <v>36</v>
      </c>
      <c r="K92" s="144" t="s">
        <v>154</v>
      </c>
      <c r="L92" s="140" t="s">
        <v>2572</v>
      </c>
      <c r="M92" s="140" t="s">
        <v>2576</v>
      </c>
      <c r="N92" s="140" t="s">
        <v>3192</v>
      </c>
      <c r="O92" s="140" t="s">
        <v>2777</v>
      </c>
      <c r="P92" s="140" t="s">
        <v>2777</v>
      </c>
      <c r="Q92" s="140" t="s">
        <v>3239</v>
      </c>
      <c r="R92" s="140" t="s">
        <v>917</v>
      </c>
      <c r="S92" s="140">
        <v>4.4999999999999998E-2</v>
      </c>
      <c r="T92" s="144">
        <v>3.5361290322580646E-2</v>
      </c>
      <c r="U92" s="144">
        <f t="shared" si="1"/>
        <v>9.638709677419352E-3</v>
      </c>
      <c r="V92" s="140">
        <v>3.0790000000000002</v>
      </c>
      <c r="W92" s="144">
        <f>8.606+7.101</f>
        <v>15.707000000000001</v>
      </c>
      <c r="X92" s="144"/>
    </row>
    <row r="93" spans="2:24" ht="16">
      <c r="B93" s="143" t="s">
        <v>3346</v>
      </c>
      <c r="C93" s="144" t="s">
        <v>1744</v>
      </c>
      <c r="D93" s="144" t="s">
        <v>3551</v>
      </c>
      <c r="E93" s="140" t="s">
        <v>3356</v>
      </c>
      <c r="F93" s="144">
        <v>611</v>
      </c>
      <c r="G93" s="144"/>
      <c r="H93" s="144"/>
      <c r="I93" s="145">
        <v>42186</v>
      </c>
      <c r="J93" s="144" t="s">
        <v>36</v>
      </c>
      <c r="K93" s="144" t="s">
        <v>154</v>
      </c>
      <c r="L93" s="140" t="s">
        <v>2572</v>
      </c>
      <c r="M93" s="140" t="s">
        <v>2576</v>
      </c>
      <c r="N93" s="140" t="s">
        <v>3192</v>
      </c>
      <c r="O93" s="140" t="s">
        <v>2777</v>
      </c>
      <c r="P93" s="140" t="s">
        <v>2777</v>
      </c>
      <c r="Q93" s="140" t="s">
        <v>3239</v>
      </c>
      <c r="R93" s="140" t="s">
        <v>917</v>
      </c>
      <c r="S93" s="140">
        <v>4.5499999999999999E-2</v>
      </c>
      <c r="T93" s="144">
        <v>3.5361290322580646E-2</v>
      </c>
      <c r="U93" s="144">
        <f t="shared" si="1"/>
        <v>1.0138709677419352E-2</v>
      </c>
      <c r="V93" s="140">
        <v>3.2850000000000001</v>
      </c>
      <c r="W93" s="144">
        <f>7.032+8.367</f>
        <v>15.399000000000001</v>
      </c>
      <c r="X93" s="144"/>
    </row>
    <row r="94" spans="2:24" ht="16">
      <c r="B94" s="143" t="s">
        <v>3347</v>
      </c>
      <c r="C94" s="144" t="s">
        <v>1744</v>
      </c>
      <c r="D94" s="144" t="s">
        <v>3551</v>
      </c>
      <c r="E94" s="144" t="s">
        <v>3357</v>
      </c>
      <c r="F94" s="144">
        <v>604</v>
      </c>
      <c r="G94" s="144"/>
      <c r="H94" s="144"/>
      <c r="I94" s="145">
        <v>42187</v>
      </c>
      <c r="J94" s="144" t="s">
        <v>36</v>
      </c>
      <c r="K94" s="144" t="s">
        <v>154</v>
      </c>
      <c r="L94" s="140" t="s">
        <v>2572</v>
      </c>
      <c r="M94" s="140" t="s">
        <v>2576</v>
      </c>
      <c r="N94" s="140" t="s">
        <v>3192</v>
      </c>
      <c r="O94" s="140" t="s">
        <v>2777</v>
      </c>
      <c r="P94" s="140" t="s">
        <v>2777</v>
      </c>
      <c r="Q94" s="140" t="s">
        <v>3239</v>
      </c>
      <c r="R94" s="140" t="s">
        <v>917</v>
      </c>
      <c r="S94" s="140">
        <v>4.4699999999999997E-2</v>
      </c>
      <c r="T94" s="144">
        <v>3.5361290322580646E-2</v>
      </c>
      <c r="U94" s="144">
        <f t="shared" si="1"/>
        <v>9.3387096774193504E-3</v>
      </c>
      <c r="V94" s="140">
        <v>3.351</v>
      </c>
      <c r="W94" s="144">
        <f>6.932+8.57</f>
        <v>15.502000000000001</v>
      </c>
      <c r="X94" s="144"/>
    </row>
    <row r="95" spans="2:24" ht="16">
      <c r="B95" s="143" t="s">
        <v>3348</v>
      </c>
      <c r="C95" s="144" t="s">
        <v>1744</v>
      </c>
      <c r="D95" s="144" t="s">
        <v>3551</v>
      </c>
      <c r="E95" s="144" t="s">
        <v>3358</v>
      </c>
      <c r="F95" s="144" t="s">
        <v>36</v>
      </c>
      <c r="G95" s="144"/>
      <c r="H95" s="144"/>
      <c r="I95" s="145">
        <v>42188</v>
      </c>
      <c r="J95" s="144" t="s">
        <v>36</v>
      </c>
      <c r="K95" s="144" t="s">
        <v>154</v>
      </c>
      <c r="L95" s="140" t="s">
        <v>2572</v>
      </c>
      <c r="M95" s="140" t="s">
        <v>2576</v>
      </c>
      <c r="N95" s="140" t="s">
        <v>3192</v>
      </c>
      <c r="O95" s="140" t="s">
        <v>2777</v>
      </c>
      <c r="P95" s="140" t="s">
        <v>2777</v>
      </c>
      <c r="Q95" s="140" t="s">
        <v>3239</v>
      </c>
      <c r="R95" s="140" t="s">
        <v>917</v>
      </c>
      <c r="S95" s="140">
        <v>4.4400000000000002E-2</v>
      </c>
      <c r="T95" s="144">
        <v>3.5361290322580646E-2</v>
      </c>
      <c r="U95" s="144">
        <f t="shared" si="1"/>
        <v>9.0387096774193557E-3</v>
      </c>
      <c r="V95" s="144">
        <f>3.332</f>
        <v>3.3319999999999999</v>
      </c>
      <c r="W95" s="144">
        <f>7.371+9.067</f>
        <v>16.438000000000002</v>
      </c>
      <c r="X95" s="144"/>
    </row>
    <row r="96" spans="2:24" ht="16">
      <c r="B96" s="143" t="s">
        <v>3349</v>
      </c>
      <c r="C96" s="144" t="s">
        <v>1744</v>
      </c>
      <c r="D96" s="144" t="s">
        <v>3551</v>
      </c>
      <c r="E96" s="144" t="s">
        <v>3358</v>
      </c>
      <c r="F96" s="144" t="s">
        <v>36</v>
      </c>
      <c r="G96" s="144"/>
      <c r="H96" s="144"/>
      <c r="I96" s="145">
        <v>42189</v>
      </c>
      <c r="J96" s="144" t="s">
        <v>36</v>
      </c>
      <c r="K96" s="144" t="s">
        <v>154</v>
      </c>
      <c r="L96" s="140" t="s">
        <v>2572</v>
      </c>
      <c r="M96" s="140" t="s">
        <v>2576</v>
      </c>
      <c r="N96" s="140" t="s">
        <v>3192</v>
      </c>
      <c r="O96" s="140" t="s">
        <v>2777</v>
      </c>
      <c r="P96" s="140" t="s">
        <v>2777</v>
      </c>
      <c r="Q96" s="140" t="s">
        <v>3239</v>
      </c>
      <c r="R96" s="140" t="s">
        <v>917</v>
      </c>
      <c r="S96" s="140">
        <v>4.4200000000000003E-2</v>
      </c>
      <c r="T96" s="144">
        <v>3.5361290322580646E-2</v>
      </c>
      <c r="U96" s="144">
        <f t="shared" si="1"/>
        <v>8.8387096774193569E-3</v>
      </c>
      <c r="V96" s="144">
        <v>3.2370000000000001</v>
      </c>
      <c r="W96" s="144">
        <v>15.303000000000001</v>
      </c>
      <c r="X96" s="144"/>
    </row>
    <row r="97" spans="2:24" ht="16">
      <c r="B97" s="143" t="s">
        <v>3350</v>
      </c>
      <c r="C97" s="144" t="s">
        <v>1744</v>
      </c>
      <c r="D97" s="144" t="s">
        <v>3551</v>
      </c>
      <c r="E97" s="144" t="s">
        <v>3359</v>
      </c>
      <c r="F97" s="144">
        <v>718</v>
      </c>
      <c r="G97" s="144"/>
      <c r="H97" s="144"/>
      <c r="I97" s="145">
        <v>42190</v>
      </c>
      <c r="J97" s="144" t="s">
        <v>36</v>
      </c>
      <c r="K97" s="144" t="s">
        <v>154</v>
      </c>
      <c r="L97" s="140" t="s">
        <v>2572</v>
      </c>
      <c r="M97" s="140" t="s">
        <v>2576</v>
      </c>
      <c r="N97" s="140" t="s">
        <v>3192</v>
      </c>
      <c r="O97" s="140" t="s">
        <v>2777</v>
      </c>
      <c r="P97" s="140" t="s">
        <v>2777</v>
      </c>
      <c r="Q97" s="140" t="s">
        <v>3239</v>
      </c>
      <c r="R97" s="140" t="s">
        <v>917</v>
      </c>
      <c r="S97" s="140">
        <v>4.4999999999999998E-2</v>
      </c>
      <c r="T97" s="144">
        <v>3.5361290322580646E-2</v>
      </c>
      <c r="U97" s="144">
        <f t="shared" si="1"/>
        <v>9.638709677419352E-3</v>
      </c>
      <c r="V97" s="144">
        <v>3.375</v>
      </c>
      <c r="W97" s="144">
        <f>6.833+8.68</f>
        <v>15.513</v>
      </c>
      <c r="X97" s="144"/>
    </row>
    <row r="98" spans="2:24" s="133" customFormat="1" ht="16">
      <c r="B98" s="143" t="s">
        <v>3360</v>
      </c>
      <c r="C98" s="144" t="s">
        <v>1744</v>
      </c>
      <c r="D98" s="144" t="s">
        <v>3551</v>
      </c>
      <c r="E98" s="144" t="s">
        <v>3380</v>
      </c>
      <c r="F98" s="144">
        <v>122</v>
      </c>
      <c r="G98" s="144"/>
      <c r="H98" s="144"/>
      <c r="I98" s="145">
        <v>42191</v>
      </c>
      <c r="J98" s="144" t="s">
        <v>36</v>
      </c>
      <c r="K98" s="144" t="s">
        <v>154</v>
      </c>
      <c r="L98" s="140" t="s">
        <v>1687</v>
      </c>
      <c r="M98" s="140" t="s">
        <v>2563</v>
      </c>
      <c r="N98" s="140" t="s">
        <v>2568</v>
      </c>
      <c r="O98" s="144" t="s">
        <v>2734</v>
      </c>
      <c r="P98" s="144" t="s">
        <v>2782</v>
      </c>
      <c r="Q98" s="144" t="s">
        <v>2392</v>
      </c>
      <c r="R98" s="144" t="s">
        <v>917</v>
      </c>
      <c r="S98" s="144">
        <v>6.7199999999999996E-2</v>
      </c>
      <c r="T98" s="144">
        <v>3.5361290322580646E-2</v>
      </c>
      <c r="U98" s="144">
        <f t="shared" si="1"/>
        <v>3.183870967741935E-2</v>
      </c>
      <c r="V98" s="144">
        <v>5.649</v>
      </c>
      <c r="W98" s="144">
        <f>9.481+9.424</f>
        <v>18.905000000000001</v>
      </c>
      <c r="X98" s="144"/>
    </row>
    <row r="99" spans="2:24" ht="16">
      <c r="B99" s="143" t="s">
        <v>3361</v>
      </c>
      <c r="C99" s="144" t="s">
        <v>1744</v>
      </c>
      <c r="D99" s="144" t="s">
        <v>3551</v>
      </c>
      <c r="E99" s="140" t="s">
        <v>3380</v>
      </c>
      <c r="F99" s="140">
        <v>123</v>
      </c>
      <c r="G99" s="144"/>
      <c r="H99" s="144"/>
      <c r="I99" s="145">
        <v>42192</v>
      </c>
      <c r="J99" s="144" t="s">
        <v>36</v>
      </c>
      <c r="K99" s="144" t="s">
        <v>154</v>
      </c>
      <c r="L99" s="140" t="s">
        <v>1687</v>
      </c>
      <c r="M99" s="140" t="s">
        <v>2563</v>
      </c>
      <c r="N99" s="140" t="s">
        <v>2568</v>
      </c>
      <c r="O99" s="140" t="s">
        <v>2734</v>
      </c>
      <c r="P99" s="140" t="s">
        <v>2782</v>
      </c>
      <c r="Q99" s="140" t="s">
        <v>2392</v>
      </c>
      <c r="R99" s="140" t="s">
        <v>917</v>
      </c>
      <c r="S99" s="140">
        <v>6.5299999999999997E-2</v>
      </c>
      <c r="T99" s="144">
        <v>3.5361290322580646E-2</v>
      </c>
      <c r="U99" s="144">
        <f t="shared" si="1"/>
        <v>2.9938709677419351E-2</v>
      </c>
      <c r="V99" s="140">
        <v>5.2530000000000001</v>
      </c>
      <c r="W99" s="144">
        <f>8.985+10.839</f>
        <v>19.823999999999998</v>
      </c>
      <c r="X99" s="144"/>
    </row>
    <row r="100" spans="2:24" ht="16">
      <c r="B100" s="143" t="s">
        <v>3362</v>
      </c>
      <c r="C100" s="144" t="s">
        <v>1744</v>
      </c>
      <c r="D100" s="144" t="s">
        <v>3551</v>
      </c>
      <c r="E100" s="140" t="s">
        <v>3381</v>
      </c>
      <c r="F100" s="140">
        <v>128</v>
      </c>
      <c r="G100" s="144"/>
      <c r="H100" s="144"/>
      <c r="I100" s="145">
        <v>42193</v>
      </c>
      <c r="J100" s="144" t="s">
        <v>36</v>
      </c>
      <c r="K100" s="144" t="s">
        <v>154</v>
      </c>
      <c r="L100" s="140" t="s">
        <v>1687</v>
      </c>
      <c r="M100" s="140" t="s">
        <v>2563</v>
      </c>
      <c r="N100" s="140" t="s">
        <v>2568</v>
      </c>
      <c r="O100" s="140" t="s">
        <v>2734</v>
      </c>
      <c r="P100" s="140" t="s">
        <v>2782</v>
      </c>
      <c r="Q100" s="140" t="s">
        <v>2392</v>
      </c>
      <c r="R100" s="140" t="s">
        <v>917</v>
      </c>
      <c r="S100" s="140">
        <v>6.5299999999999997E-2</v>
      </c>
      <c r="T100" s="144">
        <v>3.5361290322580646E-2</v>
      </c>
      <c r="U100" s="144">
        <f t="shared" si="1"/>
        <v>2.9938709677419351E-2</v>
      </c>
      <c r="V100" s="140">
        <v>5.2389999999999999</v>
      </c>
      <c r="W100" s="144">
        <f>8.592+8.61</f>
        <v>17.201999999999998</v>
      </c>
      <c r="X100" s="144"/>
    </row>
    <row r="101" spans="2:24" ht="16">
      <c r="B101" s="143" t="s">
        <v>3363</v>
      </c>
      <c r="C101" s="144" t="s">
        <v>1744</v>
      </c>
      <c r="D101" s="144" t="s">
        <v>3551</v>
      </c>
      <c r="E101" s="140" t="s">
        <v>3382</v>
      </c>
      <c r="F101" s="140">
        <v>141</v>
      </c>
      <c r="G101" s="144"/>
      <c r="H101" s="144"/>
      <c r="I101" s="145">
        <v>42194</v>
      </c>
      <c r="J101" s="144" t="s">
        <v>36</v>
      </c>
      <c r="K101" s="144" t="s">
        <v>154</v>
      </c>
      <c r="L101" s="140" t="s">
        <v>1687</v>
      </c>
      <c r="M101" s="140" t="s">
        <v>2563</v>
      </c>
      <c r="N101" s="140" t="s">
        <v>2568</v>
      </c>
      <c r="O101" s="140" t="s">
        <v>2734</v>
      </c>
      <c r="P101" s="140" t="s">
        <v>2782</v>
      </c>
      <c r="Q101" s="140" t="s">
        <v>2392</v>
      </c>
      <c r="R101" s="140" t="s">
        <v>917</v>
      </c>
      <c r="S101" s="140">
        <v>6.8400000000000002E-2</v>
      </c>
      <c r="T101" s="144">
        <v>3.5361290322580646E-2</v>
      </c>
      <c r="U101" s="144">
        <f t="shared" si="1"/>
        <v>3.3038709677419356E-2</v>
      </c>
      <c r="V101" s="140">
        <v>5.2960000000000003</v>
      </c>
      <c r="W101" s="144">
        <f>11.713+8.834</f>
        <v>20.546999999999997</v>
      </c>
      <c r="X101" s="144"/>
    </row>
    <row r="102" spans="2:24" ht="16">
      <c r="B102" s="143" t="s">
        <v>3364</v>
      </c>
      <c r="C102" s="144" t="s">
        <v>1744</v>
      </c>
      <c r="D102" s="144" t="s">
        <v>3551</v>
      </c>
      <c r="E102" s="140" t="s">
        <v>3383</v>
      </c>
      <c r="F102" s="140">
        <v>142</v>
      </c>
      <c r="G102" s="144"/>
      <c r="H102" s="144"/>
      <c r="I102" s="145">
        <v>42195</v>
      </c>
      <c r="J102" s="144" t="s">
        <v>36</v>
      </c>
      <c r="K102" s="144" t="s">
        <v>154</v>
      </c>
      <c r="L102" s="140" t="s">
        <v>1687</v>
      </c>
      <c r="M102" s="140" t="s">
        <v>2563</v>
      </c>
      <c r="N102" s="140" t="s">
        <v>2568</v>
      </c>
      <c r="O102" s="140" t="s">
        <v>2734</v>
      </c>
      <c r="P102" s="140" t="s">
        <v>2782</v>
      </c>
      <c r="Q102" s="140" t="s">
        <v>2392</v>
      </c>
      <c r="R102" s="140" t="s">
        <v>917</v>
      </c>
      <c r="S102" s="140">
        <v>6.9000000000000006E-2</v>
      </c>
      <c r="T102" s="144">
        <v>3.5361290322580646E-2</v>
      </c>
      <c r="U102" s="144">
        <f t="shared" si="1"/>
        <v>3.3638709677419359E-2</v>
      </c>
      <c r="V102" s="140">
        <v>5.7859999999999996</v>
      </c>
      <c r="W102" s="144">
        <f>8.751+9.329</f>
        <v>18.079999999999998</v>
      </c>
      <c r="X102" s="144"/>
    </row>
    <row r="103" spans="2:24" ht="16">
      <c r="B103" s="143" t="s">
        <v>3365</v>
      </c>
      <c r="C103" s="144" t="s">
        <v>1744</v>
      </c>
      <c r="D103" s="144" t="s">
        <v>3551</v>
      </c>
      <c r="E103" s="140" t="s">
        <v>3384</v>
      </c>
      <c r="F103" s="140">
        <v>75</v>
      </c>
      <c r="G103" s="144"/>
      <c r="H103" s="144"/>
      <c r="I103" s="145">
        <v>42196</v>
      </c>
      <c r="J103" s="144" t="s">
        <v>36</v>
      </c>
      <c r="K103" s="144" t="s">
        <v>154</v>
      </c>
      <c r="L103" s="140" t="s">
        <v>1687</v>
      </c>
      <c r="M103" s="140" t="s">
        <v>2563</v>
      </c>
      <c r="N103" s="140" t="s">
        <v>2568</v>
      </c>
      <c r="O103" s="140" t="s">
        <v>2734</v>
      </c>
      <c r="P103" s="140" t="s">
        <v>2782</v>
      </c>
      <c r="Q103" s="140" t="s">
        <v>2392</v>
      </c>
      <c r="R103" s="140" t="s">
        <v>917</v>
      </c>
      <c r="S103" s="140">
        <v>6.6199999999999995E-2</v>
      </c>
      <c r="T103" s="144">
        <v>3.5361290322580646E-2</v>
      </c>
      <c r="U103" s="144">
        <f t="shared" si="1"/>
        <v>3.0838709677419349E-2</v>
      </c>
      <c r="V103" s="140">
        <v>5.3979999999999997</v>
      </c>
      <c r="W103" s="144">
        <f>9.149+8.966</f>
        <v>18.114999999999998</v>
      </c>
      <c r="X103" s="144"/>
    </row>
    <row r="104" spans="2:24" ht="16">
      <c r="B104" s="143" t="s">
        <v>3366</v>
      </c>
      <c r="C104" s="144" t="s">
        <v>1744</v>
      </c>
      <c r="D104" s="144" t="s">
        <v>3551</v>
      </c>
      <c r="E104" s="140" t="s">
        <v>3385</v>
      </c>
      <c r="F104" s="140">
        <v>165</v>
      </c>
      <c r="G104" s="144"/>
      <c r="H104" s="144"/>
      <c r="I104" s="145">
        <v>42197</v>
      </c>
      <c r="J104" s="144" t="s">
        <v>36</v>
      </c>
      <c r="K104" s="144" t="s">
        <v>154</v>
      </c>
      <c r="L104" s="140" t="s">
        <v>1687</v>
      </c>
      <c r="M104" s="140" t="s">
        <v>2563</v>
      </c>
      <c r="N104" s="140" t="s">
        <v>2568</v>
      </c>
      <c r="O104" s="140" t="s">
        <v>2734</v>
      </c>
      <c r="P104" s="140" t="s">
        <v>2782</v>
      </c>
      <c r="Q104" s="140" t="s">
        <v>2392</v>
      </c>
      <c r="R104" s="140" t="s">
        <v>917</v>
      </c>
      <c r="S104" s="140">
        <v>6.6400000000000001E-2</v>
      </c>
      <c r="T104" s="144">
        <v>3.5361290322580646E-2</v>
      </c>
      <c r="U104" s="144">
        <f t="shared" si="1"/>
        <v>3.1038709677419354E-2</v>
      </c>
      <c r="V104" s="140">
        <v>5.3929999999999998</v>
      </c>
      <c r="W104" s="144">
        <f>8.942+9.101</f>
        <v>18.042999999999999</v>
      </c>
      <c r="X104" s="144"/>
    </row>
    <row r="105" spans="2:24" ht="16">
      <c r="B105" s="143" t="s">
        <v>3367</v>
      </c>
      <c r="C105" s="144" t="s">
        <v>1744</v>
      </c>
      <c r="D105" s="144" t="s">
        <v>3551</v>
      </c>
      <c r="E105" s="140" t="s">
        <v>3385</v>
      </c>
      <c r="F105" s="140">
        <v>166</v>
      </c>
      <c r="G105" s="144"/>
      <c r="H105" s="144"/>
      <c r="I105" s="145">
        <v>42198</v>
      </c>
      <c r="J105" s="144" t="s">
        <v>36</v>
      </c>
      <c r="K105" s="144" t="s">
        <v>154</v>
      </c>
      <c r="L105" s="140" t="s">
        <v>1687</v>
      </c>
      <c r="M105" s="140" t="s">
        <v>2563</v>
      </c>
      <c r="N105" s="140" t="s">
        <v>2568</v>
      </c>
      <c r="O105" s="140" t="s">
        <v>2734</v>
      </c>
      <c r="P105" s="140" t="s">
        <v>2782</v>
      </c>
      <c r="Q105" s="140" t="s">
        <v>2392</v>
      </c>
      <c r="R105" s="140" t="s">
        <v>917</v>
      </c>
      <c r="S105" s="140">
        <v>6.3100000000000003E-2</v>
      </c>
      <c r="T105" s="144">
        <v>3.5361290322580646E-2</v>
      </c>
      <c r="U105" s="144">
        <f t="shared" si="1"/>
        <v>2.7738709677419357E-2</v>
      </c>
      <c r="V105" s="140">
        <v>5.3230000000000004</v>
      </c>
      <c r="W105" s="144">
        <f>8.96+9.813</f>
        <v>18.773000000000003</v>
      </c>
      <c r="X105" s="144"/>
    </row>
    <row r="106" spans="2:24" ht="16">
      <c r="B106" s="143" t="s">
        <v>3368</v>
      </c>
      <c r="C106" s="144" t="s">
        <v>1744</v>
      </c>
      <c r="D106" s="144" t="s">
        <v>3551</v>
      </c>
      <c r="E106" s="140" t="s">
        <v>3385</v>
      </c>
      <c r="F106" s="140">
        <v>167</v>
      </c>
      <c r="G106" s="144"/>
      <c r="H106" s="144"/>
      <c r="I106" s="145">
        <v>42199</v>
      </c>
      <c r="J106" s="144" t="s">
        <v>36</v>
      </c>
      <c r="K106" s="144" t="s">
        <v>154</v>
      </c>
      <c r="L106" s="140" t="s">
        <v>1687</v>
      </c>
      <c r="M106" s="140" t="s">
        <v>2563</v>
      </c>
      <c r="N106" s="140" t="s">
        <v>2568</v>
      </c>
      <c r="O106" s="140" t="s">
        <v>2734</v>
      </c>
      <c r="P106" s="140" t="s">
        <v>2782</v>
      </c>
      <c r="Q106" s="140" t="s">
        <v>2392</v>
      </c>
      <c r="R106" s="140" t="s">
        <v>917</v>
      </c>
      <c r="S106" s="140">
        <v>6.4500000000000002E-2</v>
      </c>
      <c r="T106" s="144">
        <v>3.5361290322580646E-2</v>
      </c>
      <c r="U106" s="144">
        <f t="shared" si="1"/>
        <v>2.9138709677419355E-2</v>
      </c>
      <c r="V106" s="140">
        <v>5.1449999999999996</v>
      </c>
      <c r="W106" s="144">
        <f>9.093+10.812</f>
        <v>19.905000000000001</v>
      </c>
      <c r="X106" s="144"/>
    </row>
    <row r="107" spans="2:24" ht="16">
      <c r="B107" s="143" t="s">
        <v>3369</v>
      </c>
      <c r="C107" s="144" t="s">
        <v>1744</v>
      </c>
      <c r="D107" s="144" t="s">
        <v>3551</v>
      </c>
      <c r="E107" s="140" t="s">
        <v>3385</v>
      </c>
      <c r="F107" s="140">
        <v>168</v>
      </c>
      <c r="G107" s="144"/>
      <c r="H107" s="144"/>
      <c r="I107" s="145">
        <v>42200</v>
      </c>
      <c r="J107" s="144" t="s">
        <v>36</v>
      </c>
      <c r="K107" s="144" t="s">
        <v>154</v>
      </c>
      <c r="L107" s="140" t="s">
        <v>1687</v>
      </c>
      <c r="M107" s="140" t="s">
        <v>2563</v>
      </c>
      <c r="N107" s="140" t="s">
        <v>2568</v>
      </c>
      <c r="O107" s="140" t="s">
        <v>2734</v>
      </c>
      <c r="P107" s="140" t="s">
        <v>2782</v>
      </c>
      <c r="Q107" s="140" t="s">
        <v>2392</v>
      </c>
      <c r="R107" s="140" t="s">
        <v>917</v>
      </c>
      <c r="S107" s="140">
        <v>6.6699999999999995E-2</v>
      </c>
      <c r="T107" s="144">
        <v>3.5361290322580646E-2</v>
      </c>
      <c r="U107" s="144">
        <f t="shared" si="1"/>
        <v>3.1338709677419349E-2</v>
      </c>
      <c r="V107" s="140">
        <v>5.274</v>
      </c>
      <c r="W107" s="144">
        <f>8.884+8.359</f>
        <v>17.243000000000002</v>
      </c>
      <c r="X107" s="144"/>
    </row>
    <row r="108" spans="2:24" ht="16">
      <c r="B108" s="143" t="s">
        <v>3370</v>
      </c>
      <c r="C108" s="144" t="s">
        <v>1744</v>
      </c>
      <c r="D108" s="144" t="s">
        <v>3551</v>
      </c>
      <c r="E108" s="140" t="s">
        <v>3386</v>
      </c>
      <c r="F108" s="140">
        <v>132</v>
      </c>
      <c r="G108" s="144"/>
      <c r="H108" s="144"/>
      <c r="I108" s="145">
        <v>42201</v>
      </c>
      <c r="J108" s="144" t="s">
        <v>36</v>
      </c>
      <c r="K108" s="144" t="s">
        <v>154</v>
      </c>
      <c r="L108" s="140" t="s">
        <v>1687</v>
      </c>
      <c r="M108" s="140" t="s">
        <v>2563</v>
      </c>
      <c r="N108" s="140" t="s">
        <v>2568</v>
      </c>
      <c r="O108" s="140" t="s">
        <v>2734</v>
      </c>
      <c r="P108" s="140" t="s">
        <v>2782</v>
      </c>
      <c r="Q108" s="140" t="s">
        <v>2392</v>
      </c>
      <c r="R108" s="140" t="s">
        <v>917</v>
      </c>
      <c r="S108" s="140">
        <v>5.7799999999999997E-2</v>
      </c>
      <c r="T108" s="144">
        <v>3.5361290322580646E-2</v>
      </c>
      <c r="U108" s="144">
        <f t="shared" si="1"/>
        <v>2.2438709677419351E-2</v>
      </c>
      <c r="V108" s="140">
        <v>5.0380000000000003</v>
      </c>
      <c r="W108" s="144">
        <f>7.807+8.504</f>
        <v>16.311</v>
      </c>
      <c r="X108" s="144"/>
    </row>
    <row r="109" spans="2:24" ht="16">
      <c r="B109" s="143" t="s">
        <v>3371</v>
      </c>
      <c r="C109" s="144" t="s">
        <v>1744</v>
      </c>
      <c r="D109" s="144" t="s">
        <v>3551</v>
      </c>
      <c r="E109" s="140" t="s">
        <v>3386</v>
      </c>
      <c r="F109" s="144">
        <v>133</v>
      </c>
      <c r="G109" s="144"/>
      <c r="H109" s="144"/>
      <c r="I109" s="145">
        <v>42202</v>
      </c>
      <c r="J109" s="144" t="s">
        <v>36</v>
      </c>
      <c r="K109" s="144" t="s">
        <v>154</v>
      </c>
      <c r="L109" s="140" t="s">
        <v>1687</v>
      </c>
      <c r="M109" s="140" t="s">
        <v>2563</v>
      </c>
      <c r="N109" s="140" t="s">
        <v>2568</v>
      </c>
      <c r="O109" s="140" t="s">
        <v>2734</v>
      </c>
      <c r="P109" s="140" t="s">
        <v>2782</v>
      </c>
      <c r="Q109" s="140" t="s">
        <v>2392</v>
      </c>
      <c r="R109" s="140" t="s">
        <v>917</v>
      </c>
      <c r="S109" s="140">
        <v>6.5100000000000005E-2</v>
      </c>
      <c r="T109" s="144">
        <v>3.5361290322580646E-2</v>
      </c>
      <c r="U109" s="144">
        <f t="shared" si="1"/>
        <v>2.9738709677419359E-2</v>
      </c>
      <c r="V109" s="140">
        <v>5.5410000000000004</v>
      </c>
      <c r="W109" s="144">
        <f>9.4+8.857</f>
        <v>18.256999999999998</v>
      </c>
      <c r="X109" s="144"/>
    </row>
    <row r="110" spans="2:24" ht="16">
      <c r="B110" s="143" t="s">
        <v>3372</v>
      </c>
      <c r="C110" s="144" t="s">
        <v>1744</v>
      </c>
      <c r="D110" s="144" t="s">
        <v>3551</v>
      </c>
      <c r="E110" s="140" t="s">
        <v>3386</v>
      </c>
      <c r="F110" s="144">
        <v>137</v>
      </c>
      <c r="G110" s="144"/>
      <c r="H110" s="144"/>
      <c r="I110" s="145">
        <v>42203</v>
      </c>
      <c r="J110" s="144" t="s">
        <v>36</v>
      </c>
      <c r="K110" s="144" t="s">
        <v>154</v>
      </c>
      <c r="L110" s="140" t="s">
        <v>1687</v>
      </c>
      <c r="M110" s="140" t="s">
        <v>2563</v>
      </c>
      <c r="N110" s="140" t="s">
        <v>2568</v>
      </c>
      <c r="O110" s="140" t="s">
        <v>2734</v>
      </c>
      <c r="P110" s="140" t="s">
        <v>2782</v>
      </c>
      <c r="Q110" s="140" t="s">
        <v>2392</v>
      </c>
      <c r="R110" s="140" t="s">
        <v>917</v>
      </c>
      <c r="S110" s="140">
        <v>6.0100000000000001E-2</v>
      </c>
      <c r="T110" s="144">
        <v>3.5361290322580646E-2</v>
      </c>
      <c r="U110" s="144">
        <f t="shared" si="1"/>
        <v>2.4738709677419354E-2</v>
      </c>
      <c r="V110" s="140">
        <v>5.21</v>
      </c>
      <c r="W110" s="144">
        <f>8.173+8.959</f>
        <v>17.131999999999998</v>
      </c>
      <c r="X110" s="144"/>
    </row>
    <row r="111" spans="2:24" ht="16">
      <c r="B111" s="143" t="s">
        <v>3373</v>
      </c>
      <c r="C111" s="144" t="s">
        <v>1744</v>
      </c>
      <c r="D111" s="144" t="s">
        <v>3551</v>
      </c>
      <c r="E111" s="140" t="s">
        <v>3386</v>
      </c>
      <c r="F111" s="144">
        <v>136</v>
      </c>
      <c r="G111" s="144"/>
      <c r="H111" s="144"/>
      <c r="I111" s="145">
        <v>42204</v>
      </c>
      <c r="J111" s="144" t="s">
        <v>36</v>
      </c>
      <c r="K111" s="144" t="s">
        <v>154</v>
      </c>
      <c r="L111" s="140" t="s">
        <v>1687</v>
      </c>
      <c r="M111" s="140" t="s">
        <v>2563</v>
      </c>
      <c r="N111" s="140" t="s">
        <v>2568</v>
      </c>
      <c r="O111" s="140" t="s">
        <v>2734</v>
      </c>
      <c r="P111" s="140" t="s">
        <v>2782</v>
      </c>
      <c r="Q111" s="140" t="s">
        <v>2392</v>
      </c>
      <c r="R111" s="140" t="s">
        <v>917</v>
      </c>
      <c r="S111" s="140">
        <v>6.4600000000000005E-2</v>
      </c>
      <c r="T111" s="144">
        <v>3.5361290322580646E-2</v>
      </c>
      <c r="U111" s="144">
        <f t="shared" si="1"/>
        <v>2.9238709677419358E-2</v>
      </c>
      <c r="V111" s="140">
        <v>5.2510000000000003</v>
      </c>
      <c r="W111" s="144">
        <f>9.083+9.118</f>
        <v>18.201000000000001</v>
      </c>
      <c r="X111" s="144"/>
    </row>
    <row r="112" spans="2:24" ht="16">
      <c r="B112" s="143" t="s">
        <v>3374</v>
      </c>
      <c r="C112" s="144" t="s">
        <v>1744</v>
      </c>
      <c r="D112" s="144" t="s">
        <v>3551</v>
      </c>
      <c r="E112" s="140" t="s">
        <v>3386</v>
      </c>
      <c r="F112" s="144">
        <v>135</v>
      </c>
      <c r="G112" s="144"/>
      <c r="H112" s="144"/>
      <c r="I112" s="145">
        <v>42205</v>
      </c>
      <c r="J112" s="144" t="s">
        <v>36</v>
      </c>
      <c r="K112" s="144" t="s">
        <v>154</v>
      </c>
      <c r="L112" s="140" t="s">
        <v>1687</v>
      </c>
      <c r="M112" s="140" t="s">
        <v>2563</v>
      </c>
      <c r="N112" s="140" t="s">
        <v>2568</v>
      </c>
      <c r="O112" s="140" t="s">
        <v>2734</v>
      </c>
      <c r="P112" s="140" t="s">
        <v>2782</v>
      </c>
      <c r="Q112" s="140" t="s">
        <v>2392</v>
      </c>
      <c r="R112" s="140" t="s">
        <v>917</v>
      </c>
      <c r="S112" s="140">
        <v>6.9000000000000006E-2</v>
      </c>
      <c r="T112" s="144">
        <v>3.5361290322580646E-2</v>
      </c>
      <c r="U112" s="144">
        <f t="shared" si="1"/>
        <v>3.3638709677419359E-2</v>
      </c>
      <c r="V112" s="140">
        <v>5.5330000000000004</v>
      </c>
      <c r="W112" s="144">
        <f>10.148+9.206</f>
        <v>19.353999999999999</v>
      </c>
      <c r="X112" s="144"/>
    </row>
    <row r="113" spans="2:24" ht="16">
      <c r="B113" s="143" t="s">
        <v>3375</v>
      </c>
      <c r="C113" s="144" t="s">
        <v>1744</v>
      </c>
      <c r="D113" s="144" t="s">
        <v>3551</v>
      </c>
      <c r="E113" s="140" t="s">
        <v>3386</v>
      </c>
      <c r="F113" s="144">
        <v>134</v>
      </c>
      <c r="G113" s="144"/>
      <c r="H113" s="144"/>
      <c r="I113" s="145">
        <v>42206</v>
      </c>
      <c r="J113" s="144" t="s">
        <v>36</v>
      </c>
      <c r="K113" s="144" t="s">
        <v>154</v>
      </c>
      <c r="L113" s="140" t="s">
        <v>1687</v>
      </c>
      <c r="M113" s="140" t="s">
        <v>2563</v>
      </c>
      <c r="N113" s="140" t="s">
        <v>2568</v>
      </c>
      <c r="O113" s="140" t="s">
        <v>2734</v>
      </c>
      <c r="P113" s="140" t="s">
        <v>2782</v>
      </c>
      <c r="Q113" s="140" t="s">
        <v>2392</v>
      </c>
      <c r="R113" s="140" t="s">
        <v>917</v>
      </c>
      <c r="S113" s="140">
        <v>6.5199999999999994E-2</v>
      </c>
      <c r="T113" s="144">
        <v>3.5361290322580646E-2</v>
      </c>
      <c r="U113" s="144">
        <f t="shared" si="1"/>
        <v>2.9838709677419348E-2</v>
      </c>
      <c r="V113" s="140">
        <v>5.6890000000000001</v>
      </c>
      <c r="W113" s="144">
        <f>8.717+8.93</f>
        <v>17.646999999999998</v>
      </c>
      <c r="X113" s="144"/>
    </row>
    <row r="114" spans="2:24" ht="16">
      <c r="B114" s="143" t="s">
        <v>3376</v>
      </c>
      <c r="C114" s="144" t="s">
        <v>1744</v>
      </c>
      <c r="D114" s="144" t="s">
        <v>3551</v>
      </c>
      <c r="E114" s="140" t="s">
        <v>3196</v>
      </c>
      <c r="F114" s="144">
        <v>73</v>
      </c>
      <c r="G114" s="144"/>
      <c r="H114" s="144"/>
      <c r="I114" s="145">
        <v>42207</v>
      </c>
      <c r="J114" s="144" t="s">
        <v>36</v>
      </c>
      <c r="K114" s="144" t="s">
        <v>154</v>
      </c>
      <c r="L114" s="140" t="s">
        <v>1687</v>
      </c>
      <c r="M114" s="140" t="s">
        <v>2563</v>
      </c>
      <c r="N114" s="140" t="s">
        <v>2568</v>
      </c>
      <c r="O114" s="140" t="s">
        <v>2734</v>
      </c>
      <c r="P114" s="140" t="s">
        <v>2782</v>
      </c>
      <c r="Q114" s="140" t="s">
        <v>2392</v>
      </c>
      <c r="R114" s="140" t="s">
        <v>917</v>
      </c>
      <c r="S114" s="140">
        <v>6.6000000000000003E-2</v>
      </c>
      <c r="T114" s="144">
        <v>3.5361290322580646E-2</v>
      </c>
      <c r="U114" s="144">
        <f t="shared" si="1"/>
        <v>3.0638709677419357E-2</v>
      </c>
      <c r="V114" s="140">
        <v>5.556</v>
      </c>
      <c r="W114" s="144">
        <f>10.261+8.5</f>
        <v>18.760999999999999</v>
      </c>
      <c r="X114" s="144"/>
    </row>
    <row r="115" spans="2:24" ht="16">
      <c r="B115" s="143" t="s">
        <v>3377</v>
      </c>
      <c r="C115" s="144" t="s">
        <v>1744</v>
      </c>
      <c r="D115" s="144" t="s">
        <v>3551</v>
      </c>
      <c r="E115" s="140" t="s">
        <v>3254</v>
      </c>
      <c r="F115" s="144">
        <v>54</v>
      </c>
      <c r="G115" s="144"/>
      <c r="H115" s="144"/>
      <c r="I115" s="145">
        <v>42208</v>
      </c>
      <c r="J115" s="144" t="s">
        <v>36</v>
      </c>
      <c r="K115" s="144" t="s">
        <v>154</v>
      </c>
      <c r="L115" s="140" t="s">
        <v>1687</v>
      </c>
      <c r="M115" s="140" t="s">
        <v>2563</v>
      </c>
      <c r="N115" s="140" t="s">
        <v>2568</v>
      </c>
      <c r="O115" s="140" t="s">
        <v>2734</v>
      </c>
      <c r="P115" s="140" t="s">
        <v>2782</v>
      </c>
      <c r="Q115" s="140" t="s">
        <v>2392</v>
      </c>
      <c r="R115" s="140" t="s">
        <v>917</v>
      </c>
      <c r="S115" s="140">
        <v>7.0000000000000007E-2</v>
      </c>
      <c r="T115" s="144">
        <v>3.5361290322580646E-2</v>
      </c>
      <c r="U115" s="144">
        <f t="shared" si="1"/>
        <v>3.463870967741936E-2</v>
      </c>
      <c r="V115" s="140">
        <v>5.7069999999999999</v>
      </c>
      <c r="W115" s="144">
        <f>9.4+9.255</f>
        <v>18.655000000000001</v>
      </c>
      <c r="X115" s="144"/>
    </row>
    <row r="116" spans="2:24" ht="16">
      <c r="B116" s="143" t="s">
        <v>3378</v>
      </c>
      <c r="C116" s="144" t="s">
        <v>1744</v>
      </c>
      <c r="D116" s="144" t="s">
        <v>3551</v>
      </c>
      <c r="E116" s="140" t="s">
        <v>3387</v>
      </c>
      <c r="F116" s="144">
        <v>56</v>
      </c>
      <c r="G116" s="144"/>
      <c r="H116" s="144"/>
      <c r="I116" s="145">
        <v>42209</v>
      </c>
      <c r="J116" s="144" t="s">
        <v>36</v>
      </c>
      <c r="K116" s="144" t="s">
        <v>154</v>
      </c>
      <c r="L116" s="140" t="s">
        <v>1687</v>
      </c>
      <c r="M116" s="140" t="s">
        <v>2563</v>
      </c>
      <c r="N116" s="140" t="s">
        <v>2568</v>
      </c>
      <c r="O116" s="140" t="s">
        <v>2734</v>
      </c>
      <c r="P116" s="140" t="s">
        <v>2782</v>
      </c>
      <c r="Q116" s="140" t="s">
        <v>2392</v>
      </c>
      <c r="R116" s="140" t="s">
        <v>917</v>
      </c>
      <c r="S116" s="140">
        <v>6.4000000000000001E-2</v>
      </c>
      <c r="T116" s="144">
        <v>3.5361290322580646E-2</v>
      </c>
      <c r="U116" s="144">
        <f t="shared" si="1"/>
        <v>2.8638709677419355E-2</v>
      </c>
      <c r="V116" s="140">
        <v>5.54</v>
      </c>
      <c r="W116" s="144">
        <f>9.13+9.018</f>
        <v>18.148000000000003</v>
      </c>
      <c r="X116" s="144"/>
    </row>
    <row r="117" spans="2:24" ht="16">
      <c r="B117" s="143" t="s">
        <v>3379</v>
      </c>
      <c r="C117" s="144" t="s">
        <v>1744</v>
      </c>
      <c r="D117" s="144" t="s">
        <v>3551</v>
      </c>
      <c r="E117" s="140" t="s">
        <v>3387</v>
      </c>
      <c r="F117" s="144">
        <v>60</v>
      </c>
      <c r="G117" s="144"/>
      <c r="H117" s="144"/>
      <c r="I117" s="145">
        <v>42210</v>
      </c>
      <c r="J117" s="144" t="s">
        <v>36</v>
      </c>
      <c r="K117" s="144" t="s">
        <v>154</v>
      </c>
      <c r="L117" s="140" t="s">
        <v>1687</v>
      </c>
      <c r="M117" s="140" t="s">
        <v>2563</v>
      </c>
      <c r="N117" s="140" t="s">
        <v>2568</v>
      </c>
      <c r="O117" s="140" t="s">
        <v>2734</v>
      </c>
      <c r="P117" s="140" t="s">
        <v>2782</v>
      </c>
      <c r="Q117" s="140" t="s">
        <v>2392</v>
      </c>
      <c r="R117" s="140" t="s">
        <v>917</v>
      </c>
      <c r="S117" s="140">
        <v>6.3E-2</v>
      </c>
      <c r="T117" s="144">
        <v>3.5361290322580646E-2</v>
      </c>
      <c r="U117" s="144">
        <f t="shared" si="1"/>
        <v>2.7638709677419354E-2</v>
      </c>
      <c r="V117" s="140">
        <v>5.4260000000000002</v>
      </c>
      <c r="W117" s="144">
        <f>8.969+8.435</f>
        <v>17.404</v>
      </c>
      <c r="X117" s="144"/>
    </row>
    <row r="118" spans="2:24" s="133" customFormat="1" ht="16">
      <c r="B118" s="143" t="s">
        <v>3388</v>
      </c>
      <c r="C118" s="144" t="s">
        <v>1744</v>
      </c>
      <c r="D118" s="144" t="s">
        <v>3551</v>
      </c>
      <c r="E118" s="144" t="s">
        <v>3411</v>
      </c>
      <c r="F118" s="144">
        <v>497</v>
      </c>
      <c r="G118" s="144"/>
      <c r="H118" s="144"/>
      <c r="I118" s="145">
        <v>42211</v>
      </c>
      <c r="J118" s="144" t="s">
        <v>36</v>
      </c>
      <c r="K118" s="144" t="s">
        <v>154</v>
      </c>
      <c r="L118" s="140" t="s">
        <v>1687</v>
      </c>
      <c r="M118" s="140" t="s">
        <v>2563</v>
      </c>
      <c r="N118" s="140" t="s">
        <v>2575</v>
      </c>
      <c r="O118" s="144" t="s">
        <v>2379</v>
      </c>
      <c r="P118" s="144"/>
      <c r="Q118" s="144" t="s">
        <v>2665</v>
      </c>
      <c r="R118" s="144" t="s">
        <v>917</v>
      </c>
      <c r="S118" s="144">
        <v>6.2300000000000001E-2</v>
      </c>
      <c r="T118" s="144">
        <v>3.5361290322580646E-2</v>
      </c>
      <c r="U118" s="144">
        <f t="shared" si="1"/>
        <v>2.6938709677419355E-2</v>
      </c>
      <c r="V118" s="144">
        <v>4.9359999999999999</v>
      </c>
      <c r="W118" s="144">
        <f>7.761+9.108</f>
        <v>16.869</v>
      </c>
      <c r="X118" s="144"/>
    </row>
    <row r="119" spans="2:24" ht="16">
      <c r="B119" s="143" t="s">
        <v>3389</v>
      </c>
      <c r="C119" s="144" t="s">
        <v>1744</v>
      </c>
      <c r="D119" s="144" t="s">
        <v>3551</v>
      </c>
      <c r="E119" s="140" t="s">
        <v>3412</v>
      </c>
      <c r="F119" s="144" t="s">
        <v>36</v>
      </c>
      <c r="G119" s="144"/>
      <c r="H119" s="144"/>
      <c r="I119" s="145">
        <v>42212</v>
      </c>
      <c r="J119" s="144" t="s">
        <v>36</v>
      </c>
      <c r="K119" s="144" t="s">
        <v>154</v>
      </c>
      <c r="L119" s="140" t="s">
        <v>1687</v>
      </c>
      <c r="M119" s="140" t="s">
        <v>2563</v>
      </c>
      <c r="N119" s="140" t="s">
        <v>2575</v>
      </c>
      <c r="O119" s="140" t="s">
        <v>2379</v>
      </c>
      <c r="P119" s="144"/>
      <c r="Q119" s="140" t="s">
        <v>2665</v>
      </c>
      <c r="R119" s="140" t="s">
        <v>917</v>
      </c>
      <c r="S119" s="144">
        <v>5.8900000000000001E-2</v>
      </c>
      <c r="T119" s="144">
        <v>3.5361290322580646E-2</v>
      </c>
      <c r="U119" s="144">
        <f t="shared" si="1"/>
        <v>2.3538709677419355E-2</v>
      </c>
      <c r="V119" s="140">
        <v>4.5090000000000003</v>
      </c>
      <c r="W119" s="144">
        <f>9.084+6.804</f>
        <v>15.888</v>
      </c>
      <c r="X119" s="144"/>
    </row>
    <row r="120" spans="2:24" ht="16">
      <c r="B120" s="143" t="s">
        <v>3390</v>
      </c>
      <c r="C120" s="144" t="s">
        <v>1744</v>
      </c>
      <c r="D120" s="144" t="s">
        <v>3551</v>
      </c>
      <c r="E120" s="140" t="s">
        <v>3413</v>
      </c>
      <c r="F120" s="144">
        <v>298</v>
      </c>
      <c r="G120" s="144"/>
      <c r="H120" s="144"/>
      <c r="I120" s="145">
        <v>42213</v>
      </c>
      <c r="J120" s="144" t="s">
        <v>36</v>
      </c>
      <c r="K120" s="144" t="s">
        <v>154</v>
      </c>
      <c r="L120" s="140" t="s">
        <v>1687</v>
      </c>
      <c r="M120" s="140" t="s">
        <v>2563</v>
      </c>
      <c r="N120" s="140" t="s">
        <v>2575</v>
      </c>
      <c r="O120" s="140" t="s">
        <v>2379</v>
      </c>
      <c r="P120" s="144"/>
      <c r="Q120" s="140" t="s">
        <v>2665</v>
      </c>
      <c r="R120" s="140" t="s">
        <v>917</v>
      </c>
      <c r="S120" s="144">
        <v>5.3999999999999999E-2</v>
      </c>
      <c r="T120" s="144">
        <v>3.5361290322580646E-2</v>
      </c>
      <c r="U120" s="144">
        <f t="shared" si="1"/>
        <v>1.8638709677419353E-2</v>
      </c>
      <c r="V120" s="140">
        <v>4.202</v>
      </c>
      <c r="W120" s="144">
        <f>7.797+6.456</f>
        <v>14.253</v>
      </c>
      <c r="X120" s="144"/>
    </row>
    <row r="121" spans="2:24" s="133" customFormat="1" ht="16">
      <c r="B121" s="143" t="s">
        <v>3391</v>
      </c>
      <c r="C121" s="144" t="s">
        <v>1744</v>
      </c>
      <c r="D121" s="144" t="s">
        <v>3551</v>
      </c>
      <c r="E121" s="144" t="s">
        <v>3414</v>
      </c>
      <c r="F121" s="144" t="s">
        <v>36</v>
      </c>
      <c r="G121" s="144"/>
      <c r="H121" s="144"/>
      <c r="I121" s="145">
        <v>42214</v>
      </c>
      <c r="J121" s="144" t="s">
        <v>36</v>
      </c>
      <c r="K121" s="144" t="s">
        <v>154</v>
      </c>
      <c r="L121" s="144" t="s">
        <v>2572</v>
      </c>
      <c r="M121" s="144" t="s">
        <v>2407</v>
      </c>
      <c r="N121" s="144" t="s">
        <v>3550</v>
      </c>
      <c r="O121" s="144" t="s">
        <v>3406</v>
      </c>
      <c r="P121" s="144"/>
      <c r="Q121" s="144" t="s">
        <v>3407</v>
      </c>
      <c r="R121" s="144" t="s">
        <v>917</v>
      </c>
      <c r="S121" s="144">
        <v>4.0599999999999997E-2</v>
      </c>
      <c r="T121" s="144">
        <v>3.5361290322580646E-2</v>
      </c>
      <c r="U121" s="144">
        <f t="shared" si="1"/>
        <v>5.2387096774193509E-3</v>
      </c>
      <c r="V121" s="144">
        <v>2.7890000000000001</v>
      </c>
      <c r="W121" s="144">
        <v>11.611000000000001</v>
      </c>
      <c r="X121" s="144"/>
    </row>
    <row r="122" spans="2:24" ht="16">
      <c r="B122" s="143" t="s">
        <v>3392</v>
      </c>
      <c r="C122" s="144" t="s">
        <v>1744</v>
      </c>
      <c r="D122" s="144" t="s">
        <v>3551</v>
      </c>
      <c r="E122" s="140" t="s">
        <v>3415</v>
      </c>
      <c r="F122" s="144" t="s">
        <v>36</v>
      </c>
      <c r="G122" s="144"/>
      <c r="H122" s="144"/>
      <c r="I122" s="145">
        <v>42215</v>
      </c>
      <c r="J122" s="144" t="s">
        <v>36</v>
      </c>
      <c r="K122" s="144" t="s">
        <v>154</v>
      </c>
      <c r="L122" s="144" t="s">
        <v>2572</v>
      </c>
      <c r="M122" s="144" t="s">
        <v>2407</v>
      </c>
      <c r="N122" s="144" t="s">
        <v>3550</v>
      </c>
      <c r="O122" s="140" t="s">
        <v>3406</v>
      </c>
      <c r="P122" s="144"/>
      <c r="Q122" s="140" t="s">
        <v>3407</v>
      </c>
      <c r="R122" s="140" t="s">
        <v>917</v>
      </c>
      <c r="S122" s="140">
        <v>4.2799999999999998E-2</v>
      </c>
      <c r="T122" s="144">
        <v>3.5361290322580646E-2</v>
      </c>
      <c r="U122" s="144">
        <f t="shared" si="1"/>
        <v>7.4387096774193515E-3</v>
      </c>
      <c r="V122" s="140">
        <v>3.1230000000000002</v>
      </c>
      <c r="W122" s="144">
        <f>6.228+5.891</f>
        <v>12.119</v>
      </c>
      <c r="X122" s="144"/>
    </row>
    <row r="123" spans="2:24" s="133" customFormat="1" ht="16">
      <c r="B123" s="143" t="s">
        <v>3393</v>
      </c>
      <c r="C123" s="144" t="s">
        <v>1744</v>
      </c>
      <c r="D123" s="144" t="s">
        <v>3551</v>
      </c>
      <c r="E123" s="144" t="s">
        <v>3416</v>
      </c>
      <c r="F123" s="144">
        <v>7</v>
      </c>
      <c r="G123" s="144"/>
      <c r="H123" s="144"/>
      <c r="I123" s="145">
        <v>42216</v>
      </c>
      <c r="J123" s="144" t="s">
        <v>36</v>
      </c>
      <c r="K123" s="144" t="s">
        <v>154</v>
      </c>
      <c r="L123" s="144" t="s">
        <v>2569</v>
      </c>
      <c r="M123" s="144" t="s">
        <v>2570</v>
      </c>
      <c r="N123" s="144" t="s">
        <v>2571</v>
      </c>
      <c r="O123" s="144" t="s">
        <v>2369</v>
      </c>
      <c r="P123" s="144" t="s">
        <v>2737</v>
      </c>
      <c r="Q123" s="144" t="s">
        <v>2394</v>
      </c>
      <c r="R123" s="144" t="s">
        <v>946</v>
      </c>
      <c r="S123" s="144">
        <v>5.5599999999999997E-2</v>
      </c>
      <c r="T123" s="144">
        <v>3.5361290322580646E-2</v>
      </c>
      <c r="U123" s="144">
        <f t="shared" si="1"/>
        <v>2.023870967741935E-2</v>
      </c>
      <c r="V123" s="144">
        <v>4.6890000000000001</v>
      </c>
      <c r="W123" s="144">
        <v>15.468</v>
      </c>
      <c r="X123" s="144"/>
    </row>
    <row r="124" spans="2:24" ht="16">
      <c r="B124" s="143" t="s">
        <v>3394</v>
      </c>
      <c r="C124" s="144" t="s">
        <v>1744</v>
      </c>
      <c r="D124" s="144" t="s">
        <v>3551</v>
      </c>
      <c r="E124" s="140" t="s">
        <v>3417</v>
      </c>
      <c r="F124" s="144">
        <v>28</v>
      </c>
      <c r="G124" s="144"/>
      <c r="H124" s="144"/>
      <c r="I124" s="145">
        <v>42217</v>
      </c>
      <c r="J124" s="144" t="s">
        <v>36</v>
      </c>
      <c r="K124" s="144" t="s">
        <v>154</v>
      </c>
      <c r="L124" s="144" t="s">
        <v>2569</v>
      </c>
      <c r="M124" s="144" t="s">
        <v>2570</v>
      </c>
      <c r="N124" s="144" t="s">
        <v>2571</v>
      </c>
      <c r="O124" s="140" t="s">
        <v>2369</v>
      </c>
      <c r="P124" s="144" t="s">
        <v>2737</v>
      </c>
      <c r="Q124" s="140" t="s">
        <v>2394</v>
      </c>
      <c r="R124" s="140" t="s">
        <v>917</v>
      </c>
      <c r="S124" s="140">
        <v>6.1499999999999999E-2</v>
      </c>
      <c r="T124" s="144">
        <v>3.5361290322580646E-2</v>
      </c>
      <c r="U124" s="144">
        <f t="shared" si="1"/>
        <v>2.6138709677419353E-2</v>
      </c>
      <c r="V124" s="140">
        <v>5.2729999999999997</v>
      </c>
      <c r="W124" s="144">
        <f>9.521+8.868</f>
        <v>18.389000000000003</v>
      </c>
      <c r="X124" s="144"/>
    </row>
    <row r="125" spans="2:24" s="133" customFormat="1" ht="16">
      <c r="B125" s="143" t="s">
        <v>3395</v>
      </c>
      <c r="C125" s="144" t="s">
        <v>1744</v>
      </c>
      <c r="D125" s="144" t="s">
        <v>3551</v>
      </c>
      <c r="E125" s="144" t="s">
        <v>3214</v>
      </c>
      <c r="F125" s="144" t="s">
        <v>36</v>
      </c>
      <c r="G125" s="144"/>
      <c r="H125" s="144"/>
      <c r="I125" s="145">
        <v>42218</v>
      </c>
      <c r="J125" s="144" t="s">
        <v>36</v>
      </c>
      <c r="K125" s="144" t="s">
        <v>154</v>
      </c>
      <c r="L125" s="144" t="s">
        <v>2569</v>
      </c>
      <c r="M125" s="144" t="s">
        <v>2570</v>
      </c>
      <c r="N125" s="144" t="s">
        <v>2571</v>
      </c>
      <c r="O125" s="144" t="s">
        <v>2369</v>
      </c>
      <c r="P125" s="144" t="s">
        <v>2737</v>
      </c>
      <c r="Q125" s="144" t="s">
        <v>3408</v>
      </c>
      <c r="R125" s="144" t="s">
        <v>917</v>
      </c>
      <c r="S125" s="144">
        <v>5.0900000000000001E-2</v>
      </c>
      <c r="T125" s="144">
        <v>3.5361290322580646E-2</v>
      </c>
      <c r="U125" s="144">
        <f t="shared" si="1"/>
        <v>1.5538709677419354E-2</v>
      </c>
      <c r="V125" s="144">
        <v>4.0110000000000001</v>
      </c>
      <c r="W125" s="144">
        <f>7.403+7.395</f>
        <v>14.797999999999998</v>
      </c>
      <c r="X125" s="144"/>
    </row>
    <row r="126" spans="2:24" ht="16">
      <c r="B126" s="143" t="s">
        <v>3396</v>
      </c>
      <c r="C126" s="144" t="s">
        <v>1744</v>
      </c>
      <c r="D126" s="144" t="s">
        <v>3551</v>
      </c>
      <c r="E126" s="140" t="s">
        <v>3418</v>
      </c>
      <c r="F126" s="140" t="s">
        <v>36</v>
      </c>
      <c r="G126" s="144"/>
      <c r="H126" s="144"/>
      <c r="I126" s="145">
        <v>42219</v>
      </c>
      <c r="J126" s="144" t="s">
        <v>36</v>
      </c>
      <c r="K126" s="144" t="s">
        <v>154</v>
      </c>
      <c r="L126" s="144" t="s">
        <v>2569</v>
      </c>
      <c r="M126" s="144" t="s">
        <v>2570</v>
      </c>
      <c r="N126" s="144" t="s">
        <v>2571</v>
      </c>
      <c r="O126" s="140" t="s">
        <v>2369</v>
      </c>
      <c r="P126" s="140" t="s">
        <v>2737</v>
      </c>
      <c r="Q126" s="140" t="s">
        <v>3408</v>
      </c>
      <c r="R126" s="140" t="s">
        <v>917</v>
      </c>
      <c r="S126" s="140">
        <v>4.7600000000000003E-2</v>
      </c>
      <c r="T126" s="144">
        <v>3.5361290322580646E-2</v>
      </c>
      <c r="U126" s="144">
        <f t="shared" si="1"/>
        <v>1.2238709677419357E-2</v>
      </c>
      <c r="V126" s="140">
        <v>3.9830000000000001</v>
      </c>
      <c r="W126" s="144">
        <f>7.165+6.873</f>
        <v>14.038</v>
      </c>
      <c r="X126" s="144"/>
    </row>
    <row r="127" spans="2:24" s="133" customFormat="1" ht="16">
      <c r="B127" s="143" t="s">
        <v>3397</v>
      </c>
      <c r="C127" s="144" t="s">
        <v>1744</v>
      </c>
      <c r="D127" s="144" t="s">
        <v>3551</v>
      </c>
      <c r="E127" s="144" t="s">
        <v>3419</v>
      </c>
      <c r="F127" s="144">
        <v>47</v>
      </c>
      <c r="G127" s="144"/>
      <c r="H127" s="144"/>
      <c r="I127" s="145">
        <v>42220</v>
      </c>
      <c r="J127" s="144" t="s">
        <v>36</v>
      </c>
      <c r="K127" s="144" t="s">
        <v>154</v>
      </c>
      <c r="L127" s="144" t="s">
        <v>2569</v>
      </c>
      <c r="M127" s="144" t="s">
        <v>2570</v>
      </c>
      <c r="N127" s="144" t="s">
        <v>2571</v>
      </c>
      <c r="O127" s="144" t="s">
        <v>2369</v>
      </c>
      <c r="P127" s="144" t="s">
        <v>3409</v>
      </c>
      <c r="Q127" s="144" t="s">
        <v>3422</v>
      </c>
      <c r="R127" s="144" t="s">
        <v>917</v>
      </c>
      <c r="S127" s="144">
        <v>4.58E-2</v>
      </c>
      <c r="T127" s="144">
        <v>3.5361290322580646E-2</v>
      </c>
      <c r="U127" s="144">
        <f t="shared" si="1"/>
        <v>1.0438709677419354E-2</v>
      </c>
      <c r="V127" s="144">
        <v>3.2559999999999998</v>
      </c>
      <c r="W127" s="144">
        <f>7.542+7.622</f>
        <v>15.164</v>
      </c>
      <c r="X127" s="144"/>
    </row>
    <row r="128" spans="2:24" s="135" customFormat="1" ht="16">
      <c r="B128" s="146" t="s">
        <v>3398</v>
      </c>
      <c r="C128" s="144" t="s">
        <v>1744</v>
      </c>
      <c r="D128" s="144" t="s">
        <v>3551</v>
      </c>
      <c r="E128" s="147" t="s">
        <v>3420</v>
      </c>
      <c r="F128" s="147">
        <v>68</v>
      </c>
      <c r="G128" s="147"/>
      <c r="H128" s="147"/>
      <c r="I128" s="145">
        <v>42221</v>
      </c>
      <c r="J128" s="144" t="s">
        <v>36</v>
      </c>
      <c r="K128" s="144" t="s">
        <v>154</v>
      </c>
      <c r="L128" s="144" t="s">
        <v>2569</v>
      </c>
      <c r="M128" s="144" t="s">
        <v>2570</v>
      </c>
      <c r="N128" s="144" t="s">
        <v>2571</v>
      </c>
      <c r="O128" s="147" t="s">
        <v>2369</v>
      </c>
      <c r="P128" s="147" t="s">
        <v>3409</v>
      </c>
      <c r="Q128" s="147" t="s">
        <v>3422</v>
      </c>
      <c r="R128" s="147" t="s">
        <v>946</v>
      </c>
      <c r="S128" s="147">
        <v>4.5699999999999998E-2</v>
      </c>
      <c r="T128" s="144">
        <v>3.5361290322580646E-2</v>
      </c>
      <c r="U128" s="144">
        <f t="shared" si="1"/>
        <v>1.0338709677419351E-2</v>
      </c>
      <c r="V128" s="147">
        <v>3.5489999999999999</v>
      </c>
      <c r="W128" s="147">
        <f>11.146+2.812</f>
        <v>13.958</v>
      </c>
      <c r="X128" s="147"/>
    </row>
    <row r="129" spans="2:24" s="22" customFormat="1" ht="16">
      <c r="B129" s="146" t="s">
        <v>3399</v>
      </c>
      <c r="C129" s="144" t="s">
        <v>1744</v>
      </c>
      <c r="D129" s="144" t="s">
        <v>3551</v>
      </c>
      <c r="E129" s="147" t="s">
        <v>3421</v>
      </c>
      <c r="F129" s="147">
        <v>583</v>
      </c>
      <c r="G129" s="147"/>
      <c r="H129" s="147"/>
      <c r="I129" s="145">
        <v>42222</v>
      </c>
      <c r="J129" s="144" t="s">
        <v>36</v>
      </c>
      <c r="K129" s="144" t="s">
        <v>154</v>
      </c>
      <c r="L129" s="144" t="s">
        <v>2569</v>
      </c>
      <c r="M129" s="144" t="s">
        <v>2570</v>
      </c>
      <c r="N129" s="144" t="s">
        <v>2571</v>
      </c>
      <c r="O129" s="147" t="s">
        <v>2369</v>
      </c>
      <c r="P129" s="147" t="s">
        <v>3409</v>
      </c>
      <c r="Q129" s="147" t="s">
        <v>3422</v>
      </c>
      <c r="R129" s="147" t="s">
        <v>946</v>
      </c>
      <c r="S129" s="147">
        <v>4.4600000000000001E-2</v>
      </c>
      <c r="T129" s="144">
        <v>3.5361290322580646E-2</v>
      </c>
      <c r="U129" s="144">
        <f t="shared" si="1"/>
        <v>9.2387096774193544E-3</v>
      </c>
      <c r="V129" s="147">
        <v>3.6549999999999998</v>
      </c>
      <c r="W129" s="147">
        <f>7.154+5.576</f>
        <v>12.73</v>
      </c>
      <c r="X129" s="147"/>
    </row>
    <row r="130" spans="2:24" s="133" customFormat="1" ht="16">
      <c r="B130" s="143" t="s">
        <v>3400</v>
      </c>
      <c r="C130" s="144" t="s">
        <v>1744</v>
      </c>
      <c r="D130" s="144" t="s">
        <v>3551</v>
      </c>
      <c r="E130" s="140" t="s">
        <v>3423</v>
      </c>
      <c r="F130" s="140">
        <v>610</v>
      </c>
      <c r="G130" s="144"/>
      <c r="H130" s="144"/>
      <c r="I130" s="145">
        <v>42223</v>
      </c>
      <c r="J130" s="144" t="s">
        <v>36</v>
      </c>
      <c r="K130" s="144" t="s">
        <v>154</v>
      </c>
      <c r="L130" s="144" t="s">
        <v>2569</v>
      </c>
      <c r="M130" s="144" t="s">
        <v>2570</v>
      </c>
      <c r="N130" s="144" t="s">
        <v>2571</v>
      </c>
      <c r="O130" s="144" t="s">
        <v>2369</v>
      </c>
      <c r="P130" s="144" t="s">
        <v>2737</v>
      </c>
      <c r="Q130" s="140" t="s">
        <v>2373</v>
      </c>
      <c r="R130" s="144" t="s">
        <v>917</v>
      </c>
      <c r="S130" s="144">
        <v>5.04E-2</v>
      </c>
      <c r="T130" s="144">
        <v>3.5361290322580646E-2</v>
      </c>
      <c r="U130" s="144">
        <f t="shared" si="1"/>
        <v>1.5038709677419354E-2</v>
      </c>
      <c r="V130" s="144">
        <v>3.84</v>
      </c>
      <c r="W130" s="144">
        <f>6.368+7.809</f>
        <v>14.177</v>
      </c>
      <c r="X130" s="144"/>
    </row>
    <row r="131" spans="2:24" ht="16">
      <c r="B131" s="143" t="s">
        <v>3401</v>
      </c>
      <c r="C131" s="144" t="s">
        <v>1744</v>
      </c>
      <c r="D131" s="144" t="s">
        <v>3551</v>
      </c>
      <c r="E131" s="140" t="s">
        <v>3424</v>
      </c>
      <c r="F131" s="144" t="s">
        <v>36</v>
      </c>
      <c r="G131" s="144"/>
      <c r="H131" s="144"/>
      <c r="I131" s="145">
        <v>42224</v>
      </c>
      <c r="J131" s="144" t="s">
        <v>36</v>
      </c>
      <c r="K131" s="144" t="s">
        <v>154</v>
      </c>
      <c r="L131" s="144" t="s">
        <v>2569</v>
      </c>
      <c r="M131" s="144" t="s">
        <v>2570</v>
      </c>
      <c r="N131" s="144" t="s">
        <v>2571</v>
      </c>
      <c r="O131" s="140" t="s">
        <v>2369</v>
      </c>
      <c r="P131" s="140" t="s">
        <v>2737</v>
      </c>
      <c r="Q131" s="140" t="s">
        <v>2373</v>
      </c>
      <c r="R131" s="140" t="s">
        <v>946</v>
      </c>
      <c r="S131" s="140">
        <v>4.3400000000000001E-2</v>
      </c>
      <c r="T131" s="144">
        <v>3.5361290322580646E-2</v>
      </c>
      <c r="U131" s="144">
        <f t="shared" ref="U131:U194" si="2">S131-T131</f>
        <v>8.0387096774193548E-3</v>
      </c>
      <c r="V131" s="140">
        <v>3.2130000000000001</v>
      </c>
      <c r="W131" s="144">
        <f>6.538+5.842</f>
        <v>12.379999999999999</v>
      </c>
      <c r="X131" s="144"/>
    </row>
    <row r="132" spans="2:24" ht="16">
      <c r="B132" s="143" t="s">
        <v>3402</v>
      </c>
      <c r="C132" s="144" t="s">
        <v>1744</v>
      </c>
      <c r="D132" s="144" t="s">
        <v>3551</v>
      </c>
      <c r="E132" s="140" t="s">
        <v>3425</v>
      </c>
      <c r="F132" s="144" t="s">
        <v>36</v>
      </c>
      <c r="G132" s="144"/>
      <c r="H132" s="144"/>
      <c r="I132" s="145">
        <v>42225</v>
      </c>
      <c r="J132" s="144" t="s">
        <v>36</v>
      </c>
      <c r="K132" s="144" t="s">
        <v>154</v>
      </c>
      <c r="L132" s="144" t="s">
        <v>2569</v>
      </c>
      <c r="M132" s="144" t="s">
        <v>2570</v>
      </c>
      <c r="N132" s="144" t="s">
        <v>2571</v>
      </c>
      <c r="O132" s="140" t="s">
        <v>2369</v>
      </c>
      <c r="P132" s="140" t="s">
        <v>2737</v>
      </c>
      <c r="Q132" s="140" t="s">
        <v>2373</v>
      </c>
      <c r="R132" s="140" t="s">
        <v>917</v>
      </c>
      <c r="S132" s="140">
        <v>4.7800000000000002E-2</v>
      </c>
      <c r="T132" s="144">
        <v>3.5361290322580646E-2</v>
      </c>
      <c r="U132" s="144">
        <f t="shared" si="2"/>
        <v>1.2438709677419356E-2</v>
      </c>
      <c r="V132" s="140">
        <v>3.75</v>
      </c>
      <c r="W132" s="144">
        <f>7.191+6.445</f>
        <v>13.635999999999999</v>
      </c>
      <c r="X132" s="144"/>
    </row>
    <row r="133" spans="2:24" s="133" customFormat="1" ht="16">
      <c r="B133" s="143" t="s">
        <v>3403</v>
      </c>
      <c r="C133" s="144" t="s">
        <v>1744</v>
      </c>
      <c r="D133" s="144" t="s">
        <v>3551</v>
      </c>
      <c r="E133" s="144" t="s">
        <v>3229</v>
      </c>
      <c r="F133" s="144" t="s">
        <v>36</v>
      </c>
      <c r="G133" s="144"/>
      <c r="H133" s="144"/>
      <c r="I133" s="145">
        <v>42226</v>
      </c>
      <c r="J133" s="144" t="s">
        <v>36</v>
      </c>
      <c r="K133" s="144" t="s">
        <v>154</v>
      </c>
      <c r="L133" s="144" t="s">
        <v>2569</v>
      </c>
      <c r="M133" s="144" t="s">
        <v>2570</v>
      </c>
      <c r="N133" s="144" t="s">
        <v>2571</v>
      </c>
      <c r="O133" s="144" t="s">
        <v>2369</v>
      </c>
      <c r="P133" s="144" t="s">
        <v>2737</v>
      </c>
      <c r="Q133" s="144" t="s">
        <v>3410</v>
      </c>
      <c r="R133" s="144" t="s">
        <v>946</v>
      </c>
      <c r="S133" s="144">
        <v>4.4900000000000002E-2</v>
      </c>
      <c r="T133" s="144">
        <v>3.5361290322580646E-2</v>
      </c>
      <c r="U133" s="144">
        <f t="shared" si="2"/>
        <v>9.5387096774193561E-3</v>
      </c>
      <c r="V133" s="144">
        <v>3.544</v>
      </c>
      <c r="W133" s="144">
        <v>13.412000000000001</v>
      </c>
      <c r="X133" s="144"/>
    </row>
    <row r="134" spans="2:24" s="2" customFormat="1" ht="16">
      <c r="B134" s="146" t="s">
        <v>3404</v>
      </c>
      <c r="C134" s="144" t="s">
        <v>1744</v>
      </c>
      <c r="D134" s="144" t="s">
        <v>3551</v>
      </c>
      <c r="E134" s="147" t="s">
        <v>3426</v>
      </c>
      <c r="F134" s="147" t="s">
        <v>36</v>
      </c>
      <c r="G134" s="147"/>
      <c r="H134" s="147"/>
      <c r="I134" s="145">
        <v>42227</v>
      </c>
      <c r="J134" s="144" t="s">
        <v>36</v>
      </c>
      <c r="K134" s="144" t="s">
        <v>154</v>
      </c>
      <c r="L134" s="144" t="s">
        <v>2569</v>
      </c>
      <c r="M134" s="144" t="s">
        <v>2570</v>
      </c>
      <c r="N134" s="144" t="s">
        <v>2571</v>
      </c>
      <c r="O134" s="147" t="s">
        <v>2369</v>
      </c>
      <c r="P134" s="147" t="s">
        <v>2737</v>
      </c>
      <c r="Q134" s="147" t="s">
        <v>3410</v>
      </c>
      <c r="R134" s="147" t="s">
        <v>917</v>
      </c>
      <c r="S134" s="147">
        <v>4.5400000000000003E-2</v>
      </c>
      <c r="T134" s="144">
        <v>3.5361290322580646E-2</v>
      </c>
      <c r="U134" s="144">
        <f t="shared" si="2"/>
        <v>1.0038709677419357E-2</v>
      </c>
      <c r="V134" s="147">
        <v>3.3340000000000001</v>
      </c>
      <c r="W134" s="147">
        <f>6.896+5.663</f>
        <v>12.559000000000001</v>
      </c>
      <c r="X134" s="147"/>
    </row>
    <row r="135" spans="2:24" s="133" customFormat="1" ht="16">
      <c r="B135" s="148" t="s">
        <v>3405</v>
      </c>
      <c r="C135" s="144" t="s">
        <v>1744</v>
      </c>
      <c r="D135" s="144" t="s">
        <v>3551</v>
      </c>
      <c r="E135" s="144" t="s">
        <v>3440</v>
      </c>
      <c r="F135" s="144">
        <v>380</v>
      </c>
      <c r="G135" s="144"/>
      <c r="H135" s="144"/>
      <c r="I135" s="145">
        <v>42228</v>
      </c>
      <c r="J135" s="144" t="s">
        <v>36</v>
      </c>
      <c r="K135" s="144" t="s">
        <v>154</v>
      </c>
      <c r="L135" s="144" t="s">
        <v>2566</v>
      </c>
      <c r="M135" s="144" t="s">
        <v>2567</v>
      </c>
      <c r="N135" s="144" t="s">
        <v>2668</v>
      </c>
      <c r="O135" s="144" t="s">
        <v>2600</v>
      </c>
      <c r="P135" s="144" t="s">
        <v>2775</v>
      </c>
      <c r="Q135" s="144" t="s">
        <v>3427</v>
      </c>
      <c r="R135" s="144" t="s">
        <v>917</v>
      </c>
      <c r="S135" s="144">
        <v>4.4299999999999999E-2</v>
      </c>
      <c r="T135" s="144">
        <v>3.5361290322580646E-2</v>
      </c>
      <c r="U135" s="144">
        <f t="shared" si="2"/>
        <v>8.9387096774193528E-3</v>
      </c>
      <c r="V135" s="144">
        <v>2.948</v>
      </c>
      <c r="W135" s="144">
        <f>6.612+6.082</f>
        <v>12.693999999999999</v>
      </c>
      <c r="X135" s="144"/>
    </row>
    <row r="136" spans="2:24" ht="16">
      <c r="B136" s="148" t="s">
        <v>3428</v>
      </c>
      <c r="C136" s="144" t="s">
        <v>1744</v>
      </c>
      <c r="D136" s="144" t="s">
        <v>3551</v>
      </c>
      <c r="E136" s="140" t="s">
        <v>3441</v>
      </c>
      <c r="F136" s="140" t="s">
        <v>36</v>
      </c>
      <c r="G136" s="144"/>
      <c r="H136" s="144"/>
      <c r="I136" s="145">
        <v>42229</v>
      </c>
      <c r="J136" s="144" t="s">
        <v>36</v>
      </c>
      <c r="K136" s="144" t="s">
        <v>154</v>
      </c>
      <c r="L136" s="144" t="s">
        <v>2566</v>
      </c>
      <c r="M136" s="144" t="s">
        <v>2567</v>
      </c>
      <c r="N136" s="144" t="s">
        <v>2668</v>
      </c>
      <c r="O136" s="144" t="s">
        <v>2600</v>
      </c>
      <c r="P136" s="144" t="s">
        <v>2775</v>
      </c>
      <c r="Q136" s="144" t="s">
        <v>3427</v>
      </c>
      <c r="R136" s="140" t="s">
        <v>917</v>
      </c>
      <c r="S136" s="144">
        <v>4.2700000000000002E-2</v>
      </c>
      <c r="T136" s="144">
        <v>3.5361290322580646E-2</v>
      </c>
      <c r="U136" s="144">
        <f t="shared" si="2"/>
        <v>7.3387096774193555E-3</v>
      </c>
      <c r="V136" s="140">
        <v>2.74</v>
      </c>
      <c r="W136" s="144">
        <v>12.597</v>
      </c>
      <c r="X136" s="144"/>
    </row>
    <row r="137" spans="2:24" ht="16">
      <c r="B137" s="148" t="s">
        <v>3429</v>
      </c>
      <c r="C137" s="144" t="s">
        <v>1744</v>
      </c>
      <c r="D137" s="144" t="s">
        <v>3551</v>
      </c>
      <c r="E137" s="140" t="s">
        <v>3442</v>
      </c>
      <c r="F137" s="144">
        <v>782</v>
      </c>
      <c r="G137" s="144"/>
      <c r="H137" s="144"/>
      <c r="I137" s="145">
        <v>42230</v>
      </c>
      <c r="J137" s="144" t="s">
        <v>36</v>
      </c>
      <c r="K137" s="144" t="s">
        <v>154</v>
      </c>
      <c r="L137" s="144" t="s">
        <v>2566</v>
      </c>
      <c r="M137" s="144" t="s">
        <v>2567</v>
      </c>
      <c r="N137" s="144" t="s">
        <v>2668</v>
      </c>
      <c r="O137" s="144" t="s">
        <v>2600</v>
      </c>
      <c r="P137" s="144" t="s">
        <v>2775</v>
      </c>
      <c r="Q137" s="144" t="s">
        <v>3427</v>
      </c>
      <c r="R137" s="140" t="s">
        <v>917</v>
      </c>
      <c r="S137" s="144">
        <v>4.48E-2</v>
      </c>
      <c r="T137" s="144">
        <v>3.5361290322580646E-2</v>
      </c>
      <c r="U137" s="144">
        <f t="shared" si="2"/>
        <v>9.4387096774193532E-3</v>
      </c>
      <c r="V137" s="140">
        <v>3.04</v>
      </c>
      <c r="W137" s="144">
        <f>6.756+6.47</f>
        <v>13.225999999999999</v>
      </c>
      <c r="X137" s="144"/>
    </row>
    <row r="138" spans="2:24" ht="16">
      <c r="B138" s="148" t="s">
        <v>3430</v>
      </c>
      <c r="C138" s="144" t="s">
        <v>1744</v>
      </c>
      <c r="D138" s="144" t="s">
        <v>3551</v>
      </c>
      <c r="E138" s="140" t="s">
        <v>3443</v>
      </c>
      <c r="F138" s="144">
        <v>747</v>
      </c>
      <c r="G138" s="144"/>
      <c r="H138" s="144"/>
      <c r="I138" s="145">
        <v>42231</v>
      </c>
      <c r="J138" s="144" t="s">
        <v>36</v>
      </c>
      <c r="K138" s="144" t="s">
        <v>154</v>
      </c>
      <c r="L138" s="144" t="s">
        <v>2566</v>
      </c>
      <c r="M138" s="144" t="s">
        <v>2567</v>
      </c>
      <c r="N138" s="144" t="s">
        <v>2668</v>
      </c>
      <c r="O138" s="144" t="s">
        <v>2600</v>
      </c>
      <c r="P138" s="144" t="s">
        <v>2775</v>
      </c>
      <c r="Q138" s="144" t="s">
        <v>3427</v>
      </c>
      <c r="R138" s="140" t="s">
        <v>917</v>
      </c>
      <c r="S138" s="144">
        <v>4.3400000000000001E-2</v>
      </c>
      <c r="T138" s="144">
        <v>3.5361290322580646E-2</v>
      </c>
      <c r="U138" s="144">
        <f t="shared" si="2"/>
        <v>8.0387096774193548E-3</v>
      </c>
      <c r="V138" s="140">
        <v>2.8380000000000001</v>
      </c>
      <c r="W138" s="144">
        <f>6.11+6.49</f>
        <v>12.600000000000001</v>
      </c>
      <c r="X138" s="144"/>
    </row>
    <row r="139" spans="2:24" ht="16">
      <c r="B139" s="148" t="s">
        <v>3431</v>
      </c>
      <c r="C139" s="144" t="s">
        <v>1744</v>
      </c>
      <c r="D139" s="144" t="s">
        <v>3551</v>
      </c>
      <c r="E139" s="140" t="s">
        <v>3444</v>
      </c>
      <c r="F139" s="144">
        <v>836</v>
      </c>
      <c r="G139" s="144"/>
      <c r="H139" s="144"/>
      <c r="I139" s="145">
        <v>42232</v>
      </c>
      <c r="J139" s="144" t="s">
        <v>36</v>
      </c>
      <c r="K139" s="144" t="s">
        <v>154</v>
      </c>
      <c r="L139" s="144" t="s">
        <v>2566</v>
      </c>
      <c r="M139" s="144" t="s">
        <v>2567</v>
      </c>
      <c r="N139" s="144" t="s">
        <v>2668</v>
      </c>
      <c r="O139" s="144" t="s">
        <v>2600</v>
      </c>
      <c r="P139" s="144" t="s">
        <v>2775</v>
      </c>
      <c r="Q139" s="144" t="s">
        <v>3427</v>
      </c>
      <c r="R139" s="140" t="s">
        <v>917</v>
      </c>
      <c r="S139" s="144">
        <v>4.4600000000000001E-2</v>
      </c>
      <c r="T139" s="144">
        <v>3.5361290322580646E-2</v>
      </c>
      <c r="U139" s="144">
        <f t="shared" si="2"/>
        <v>9.2387096774193544E-3</v>
      </c>
      <c r="V139" s="140">
        <v>3.0529999999999999</v>
      </c>
      <c r="W139" s="144">
        <f>6.626+5.869</f>
        <v>12.495000000000001</v>
      </c>
      <c r="X139" s="144"/>
    </row>
    <row r="140" spans="2:24" ht="16">
      <c r="B140" s="148" t="s">
        <v>3432</v>
      </c>
      <c r="C140" s="144" t="s">
        <v>1744</v>
      </c>
      <c r="D140" s="144" t="s">
        <v>3551</v>
      </c>
      <c r="E140" s="140" t="s">
        <v>3444</v>
      </c>
      <c r="F140" s="144">
        <v>834</v>
      </c>
      <c r="G140" s="144"/>
      <c r="H140" s="144"/>
      <c r="I140" s="145">
        <v>42233</v>
      </c>
      <c r="J140" s="144" t="s">
        <v>36</v>
      </c>
      <c r="K140" s="144" t="s">
        <v>154</v>
      </c>
      <c r="L140" s="144" t="s">
        <v>2566</v>
      </c>
      <c r="M140" s="144" t="s">
        <v>2567</v>
      </c>
      <c r="N140" s="144" t="s">
        <v>2668</v>
      </c>
      <c r="O140" s="144" t="s">
        <v>2600</v>
      </c>
      <c r="P140" s="144" t="s">
        <v>2775</v>
      </c>
      <c r="Q140" s="144" t="s">
        <v>3427</v>
      </c>
      <c r="R140" s="140" t="s">
        <v>917</v>
      </c>
      <c r="S140" s="144">
        <v>4.5100000000000001E-2</v>
      </c>
      <c r="T140" s="144">
        <v>3.5361290322580646E-2</v>
      </c>
      <c r="U140" s="144">
        <f t="shared" si="2"/>
        <v>9.7387096774193549E-3</v>
      </c>
      <c r="V140" s="140">
        <v>3.12</v>
      </c>
      <c r="W140" s="144">
        <f>7.274+5.891</f>
        <v>13.164999999999999</v>
      </c>
      <c r="X140" s="144"/>
    </row>
    <row r="141" spans="2:24" ht="16">
      <c r="B141" s="148" t="s">
        <v>3433</v>
      </c>
      <c r="C141" s="144" t="s">
        <v>1744</v>
      </c>
      <c r="D141" s="144" t="s">
        <v>3551</v>
      </c>
      <c r="E141" s="140" t="s">
        <v>3444</v>
      </c>
      <c r="F141" s="144">
        <v>835</v>
      </c>
      <c r="G141" s="144"/>
      <c r="H141" s="144"/>
      <c r="I141" s="145">
        <v>42234</v>
      </c>
      <c r="J141" s="144" t="s">
        <v>36</v>
      </c>
      <c r="K141" s="144" t="s">
        <v>154</v>
      </c>
      <c r="L141" s="144" t="s">
        <v>2566</v>
      </c>
      <c r="M141" s="144" t="s">
        <v>2567</v>
      </c>
      <c r="N141" s="144" t="s">
        <v>2668</v>
      </c>
      <c r="O141" s="144" t="s">
        <v>2600</v>
      </c>
      <c r="P141" s="144" t="s">
        <v>2775</v>
      </c>
      <c r="Q141" s="144" t="s">
        <v>3427</v>
      </c>
      <c r="R141" s="140" t="s">
        <v>917</v>
      </c>
      <c r="S141" s="144">
        <v>4.5499999999999999E-2</v>
      </c>
      <c r="T141" s="144">
        <v>3.5361290322580646E-2</v>
      </c>
      <c r="U141" s="144">
        <f t="shared" si="2"/>
        <v>1.0138709677419352E-2</v>
      </c>
      <c r="V141" s="140">
        <v>2.9220000000000002</v>
      </c>
      <c r="W141" s="144">
        <f>6.136+6.7</f>
        <v>12.836</v>
      </c>
      <c r="X141" s="144"/>
    </row>
    <row r="142" spans="2:24" ht="16">
      <c r="B142" s="148" t="s">
        <v>3434</v>
      </c>
      <c r="C142" s="144" t="s">
        <v>1744</v>
      </c>
      <c r="D142" s="144" t="s">
        <v>3551</v>
      </c>
      <c r="E142" s="140" t="s">
        <v>3445</v>
      </c>
      <c r="F142" s="144">
        <v>764</v>
      </c>
      <c r="G142" s="144"/>
      <c r="H142" s="144"/>
      <c r="I142" s="145">
        <v>42235</v>
      </c>
      <c r="J142" s="144" t="s">
        <v>36</v>
      </c>
      <c r="K142" s="144" t="s">
        <v>154</v>
      </c>
      <c r="L142" s="144" t="s">
        <v>2566</v>
      </c>
      <c r="M142" s="144" t="s">
        <v>2567</v>
      </c>
      <c r="N142" s="144" t="s">
        <v>2668</v>
      </c>
      <c r="O142" s="144" t="s">
        <v>2600</v>
      </c>
      <c r="P142" s="144" t="s">
        <v>2775</v>
      </c>
      <c r="Q142" s="144" t="s">
        <v>3427</v>
      </c>
      <c r="R142" s="140" t="s">
        <v>917</v>
      </c>
      <c r="S142" s="144">
        <v>4.2299999999999997E-2</v>
      </c>
      <c r="T142" s="144">
        <v>3.5361290322580646E-2</v>
      </c>
      <c r="U142" s="144">
        <f t="shared" si="2"/>
        <v>6.938709677419351E-3</v>
      </c>
      <c r="V142" s="140">
        <v>2.6379999999999999</v>
      </c>
      <c r="W142" s="144">
        <f>5.805+5.664</f>
        <v>11.468999999999999</v>
      </c>
      <c r="X142" s="144"/>
    </row>
    <row r="143" spans="2:24" ht="16">
      <c r="B143" s="148" t="s">
        <v>3435</v>
      </c>
      <c r="C143" s="144" t="s">
        <v>1744</v>
      </c>
      <c r="D143" s="144" t="s">
        <v>3551</v>
      </c>
      <c r="E143" s="140" t="s">
        <v>3445</v>
      </c>
      <c r="F143" s="144">
        <v>773</v>
      </c>
      <c r="G143" s="144"/>
      <c r="H143" s="144"/>
      <c r="I143" s="145">
        <v>42236</v>
      </c>
      <c r="J143" s="144" t="s">
        <v>36</v>
      </c>
      <c r="K143" s="144" t="s">
        <v>154</v>
      </c>
      <c r="L143" s="144" t="s">
        <v>2566</v>
      </c>
      <c r="M143" s="144" t="s">
        <v>2567</v>
      </c>
      <c r="N143" s="144" t="s">
        <v>2668</v>
      </c>
      <c r="O143" s="144" t="s">
        <v>2600</v>
      </c>
      <c r="P143" s="144" t="s">
        <v>2775</v>
      </c>
      <c r="Q143" s="144" t="s">
        <v>3427</v>
      </c>
      <c r="R143" s="140" t="s">
        <v>917</v>
      </c>
      <c r="S143" s="144">
        <v>4.3299999999999998E-2</v>
      </c>
      <c r="T143" s="144">
        <v>3.5361290322580646E-2</v>
      </c>
      <c r="U143" s="144">
        <f t="shared" si="2"/>
        <v>7.9387096774193519E-3</v>
      </c>
      <c r="V143" s="140">
        <v>2.9550000000000001</v>
      </c>
      <c r="W143" s="144">
        <f>5.848+3.052+3.218</f>
        <v>12.118</v>
      </c>
      <c r="X143" s="144"/>
    </row>
    <row r="144" spans="2:24" ht="16">
      <c r="B144" s="148" t="s">
        <v>3436</v>
      </c>
      <c r="C144" s="144" t="s">
        <v>1744</v>
      </c>
      <c r="D144" s="144" t="s">
        <v>3551</v>
      </c>
      <c r="E144" s="140" t="s">
        <v>3445</v>
      </c>
      <c r="F144" s="144">
        <v>755</v>
      </c>
      <c r="G144" s="144"/>
      <c r="H144" s="144"/>
      <c r="I144" s="145">
        <v>42237</v>
      </c>
      <c r="J144" s="144" t="s">
        <v>36</v>
      </c>
      <c r="K144" s="144" t="s">
        <v>154</v>
      </c>
      <c r="L144" s="144" t="s">
        <v>2566</v>
      </c>
      <c r="M144" s="144" t="s">
        <v>2567</v>
      </c>
      <c r="N144" s="144" t="s">
        <v>2668</v>
      </c>
      <c r="O144" s="144" t="s">
        <v>2600</v>
      </c>
      <c r="P144" s="144" t="s">
        <v>2775</v>
      </c>
      <c r="Q144" s="144" t="s">
        <v>3427</v>
      </c>
      <c r="R144" s="140" t="s">
        <v>917</v>
      </c>
      <c r="S144" s="144">
        <v>4.2799999999999998E-2</v>
      </c>
      <c r="T144" s="144">
        <v>3.5361290322580646E-2</v>
      </c>
      <c r="U144" s="144">
        <f t="shared" si="2"/>
        <v>7.4387096774193515E-3</v>
      </c>
      <c r="V144" s="140">
        <v>2.7250000000000001</v>
      </c>
      <c r="W144" s="144">
        <f>5.9+5.777</f>
        <v>11.677</v>
      </c>
      <c r="X144" s="144"/>
    </row>
    <row r="145" spans="2:24" ht="20" customHeight="1">
      <c r="B145" s="148" t="s">
        <v>3437</v>
      </c>
      <c r="C145" s="144" t="s">
        <v>1744</v>
      </c>
      <c r="D145" s="144" t="s">
        <v>3551</v>
      </c>
      <c r="E145" s="140" t="s">
        <v>3446</v>
      </c>
      <c r="F145" s="144" t="s">
        <v>36</v>
      </c>
      <c r="G145" s="144"/>
      <c r="H145" s="144"/>
      <c r="I145" s="145">
        <v>42238</v>
      </c>
      <c r="J145" s="144" t="s">
        <v>36</v>
      </c>
      <c r="K145" s="144" t="s">
        <v>154</v>
      </c>
      <c r="L145" s="144" t="s">
        <v>2566</v>
      </c>
      <c r="M145" s="144" t="s">
        <v>2567</v>
      </c>
      <c r="N145" s="144" t="s">
        <v>2668</v>
      </c>
      <c r="O145" s="144" t="s">
        <v>2600</v>
      </c>
      <c r="P145" s="144" t="s">
        <v>2775</v>
      </c>
      <c r="Q145" s="144" t="s">
        <v>3427</v>
      </c>
      <c r="R145" s="140" t="s">
        <v>917</v>
      </c>
      <c r="S145" s="144">
        <f>0.0017+0.0404</f>
        <v>4.2099999999999999E-2</v>
      </c>
      <c r="T145" s="144">
        <v>3.5361290322580646E-2</v>
      </c>
      <c r="U145" s="144">
        <f t="shared" si="2"/>
        <v>6.7387096774193522E-3</v>
      </c>
      <c r="V145" s="140">
        <v>2.528</v>
      </c>
      <c r="W145" s="144">
        <f>6.476+6.145</f>
        <v>12.620999999999999</v>
      </c>
      <c r="X145" s="144"/>
    </row>
    <row r="146" spans="2:24" s="133" customFormat="1" ht="16">
      <c r="B146" s="148" t="s">
        <v>3438</v>
      </c>
      <c r="C146" s="144" t="s">
        <v>1744</v>
      </c>
      <c r="D146" s="144" t="s">
        <v>3551</v>
      </c>
      <c r="E146" s="144" t="s">
        <v>3501</v>
      </c>
      <c r="F146" s="144">
        <v>529</v>
      </c>
      <c r="G146" s="144"/>
      <c r="H146" s="144"/>
      <c r="I146" s="145">
        <v>42239</v>
      </c>
      <c r="J146" s="144" t="s">
        <v>36</v>
      </c>
      <c r="K146" s="144" t="s">
        <v>154</v>
      </c>
      <c r="L146" s="144" t="s">
        <v>2566</v>
      </c>
      <c r="M146" s="144" t="s">
        <v>2567</v>
      </c>
      <c r="N146" s="144" t="s">
        <v>2668</v>
      </c>
      <c r="O146" s="144" t="s">
        <v>2600</v>
      </c>
      <c r="P146" s="144" t="s">
        <v>2735</v>
      </c>
      <c r="Q146" s="144" t="s">
        <v>3447</v>
      </c>
      <c r="R146" s="144" t="s">
        <v>917</v>
      </c>
      <c r="S146" s="144">
        <v>4.2799999999999998E-2</v>
      </c>
      <c r="T146" s="144">
        <v>3.5361290322580646E-2</v>
      </c>
      <c r="U146" s="144">
        <f t="shared" si="2"/>
        <v>7.4387096774193515E-3</v>
      </c>
      <c r="V146" s="144">
        <v>2.7410000000000001</v>
      </c>
      <c r="W146" s="144">
        <f>6.894+5.717</f>
        <v>12.611000000000001</v>
      </c>
      <c r="X146" s="144"/>
    </row>
    <row r="147" spans="2:24" ht="16">
      <c r="B147" s="148" t="s">
        <v>3439</v>
      </c>
      <c r="C147" s="144" t="s">
        <v>1744</v>
      </c>
      <c r="D147" s="144" t="s">
        <v>3551</v>
      </c>
      <c r="E147" s="140" t="s">
        <v>3502</v>
      </c>
      <c r="F147" s="144" t="s">
        <v>36</v>
      </c>
      <c r="G147" s="144"/>
      <c r="H147" s="144"/>
      <c r="I147" s="145">
        <v>42240</v>
      </c>
      <c r="J147" s="144" t="s">
        <v>36</v>
      </c>
      <c r="K147" s="144" t="s">
        <v>154</v>
      </c>
      <c r="L147" s="144" t="s">
        <v>2566</v>
      </c>
      <c r="M147" s="144" t="s">
        <v>2567</v>
      </c>
      <c r="N147" s="144" t="s">
        <v>2668</v>
      </c>
      <c r="O147" s="140" t="s">
        <v>2600</v>
      </c>
      <c r="P147" s="140" t="s">
        <v>2735</v>
      </c>
      <c r="Q147" s="140" t="s">
        <v>3447</v>
      </c>
      <c r="R147" s="140" t="s">
        <v>917</v>
      </c>
      <c r="S147" s="144">
        <v>4.36E-2</v>
      </c>
      <c r="T147" s="144">
        <v>3.5361290322580646E-2</v>
      </c>
      <c r="U147" s="144">
        <f t="shared" si="2"/>
        <v>8.2387096774193536E-3</v>
      </c>
      <c r="V147" s="140">
        <v>2.7330000000000001</v>
      </c>
      <c r="W147" s="144">
        <v>13.315</v>
      </c>
      <c r="X147" s="144"/>
    </row>
    <row r="148" spans="2:24" s="138" customFormat="1" ht="16">
      <c r="B148" s="148" t="s">
        <v>3448</v>
      </c>
      <c r="C148" s="144" t="s">
        <v>1744</v>
      </c>
      <c r="D148" s="144" t="s">
        <v>3551</v>
      </c>
      <c r="E148" s="144" t="s">
        <v>3505</v>
      </c>
      <c r="F148" s="144" t="s">
        <v>36</v>
      </c>
      <c r="G148" s="144"/>
      <c r="H148" s="144"/>
      <c r="I148" s="145">
        <v>42241</v>
      </c>
      <c r="J148" s="144" t="s">
        <v>36</v>
      </c>
      <c r="K148" s="144" t="s">
        <v>154</v>
      </c>
      <c r="L148" s="144" t="s">
        <v>2566</v>
      </c>
      <c r="M148" s="144" t="s">
        <v>2567</v>
      </c>
      <c r="N148" s="144" t="s">
        <v>2668</v>
      </c>
      <c r="O148" s="140" t="s">
        <v>2600</v>
      </c>
      <c r="P148" s="140" t="s">
        <v>2735</v>
      </c>
      <c r="Q148" s="140" t="s">
        <v>3503</v>
      </c>
      <c r="R148" s="140" t="s">
        <v>946</v>
      </c>
      <c r="S148" s="144">
        <v>4.0300000000000002E-2</v>
      </c>
      <c r="T148" s="144">
        <v>3.5361290322580646E-2</v>
      </c>
      <c r="U148" s="144">
        <f t="shared" si="2"/>
        <v>4.9387096774193562E-3</v>
      </c>
      <c r="V148" s="140">
        <v>2.3650000000000002</v>
      </c>
      <c r="W148" s="144">
        <f>5.051+5.305</f>
        <v>10.356</v>
      </c>
      <c r="X148" s="144"/>
    </row>
    <row r="149" spans="2:24" ht="16">
      <c r="B149" s="148" t="s">
        <v>3449</v>
      </c>
      <c r="C149" s="144" t="s">
        <v>1744</v>
      </c>
      <c r="D149" s="144" t="s">
        <v>3551</v>
      </c>
      <c r="E149" s="140" t="s">
        <v>36</v>
      </c>
      <c r="F149" s="144" t="s">
        <v>36</v>
      </c>
      <c r="G149" s="144"/>
      <c r="H149" s="144"/>
      <c r="I149" s="145">
        <v>42242</v>
      </c>
      <c r="J149" s="144" t="s">
        <v>36</v>
      </c>
      <c r="K149" s="144" t="s">
        <v>154</v>
      </c>
      <c r="L149" s="144" t="s">
        <v>2566</v>
      </c>
      <c r="M149" s="144" t="s">
        <v>2567</v>
      </c>
      <c r="N149" s="144" t="s">
        <v>2668</v>
      </c>
      <c r="O149" s="140" t="s">
        <v>2600</v>
      </c>
      <c r="P149" s="140" t="s">
        <v>2735</v>
      </c>
      <c r="Q149" s="140" t="s">
        <v>3504</v>
      </c>
      <c r="R149" s="140" t="s">
        <v>917</v>
      </c>
      <c r="S149" s="140">
        <v>4.1099999999999998E-2</v>
      </c>
      <c r="T149" s="144">
        <v>3.5361290322580646E-2</v>
      </c>
      <c r="U149" s="144">
        <f t="shared" si="2"/>
        <v>5.7387096774193513E-3</v>
      </c>
      <c r="V149" s="140">
        <v>2.3570000000000002</v>
      </c>
      <c r="W149" s="144">
        <f>5.248+4.618</f>
        <v>9.8659999999999997</v>
      </c>
      <c r="X149" s="144"/>
    </row>
    <row r="150" spans="2:24" ht="16">
      <c r="B150" s="148" t="s">
        <v>3450</v>
      </c>
      <c r="C150" s="144" t="s">
        <v>1744</v>
      </c>
      <c r="D150" s="144" t="s">
        <v>3551</v>
      </c>
      <c r="E150" s="140" t="s">
        <v>36</v>
      </c>
      <c r="F150" s="144" t="s">
        <v>36</v>
      </c>
      <c r="G150" s="144"/>
      <c r="H150" s="144"/>
      <c r="I150" s="145">
        <v>42243</v>
      </c>
      <c r="J150" s="144" t="s">
        <v>36</v>
      </c>
      <c r="K150" s="144" t="s">
        <v>154</v>
      </c>
      <c r="L150" s="144" t="s">
        <v>2566</v>
      </c>
      <c r="M150" s="144" t="s">
        <v>2567</v>
      </c>
      <c r="N150" s="144" t="s">
        <v>2668</v>
      </c>
      <c r="O150" s="140" t="s">
        <v>2600</v>
      </c>
      <c r="P150" s="140" t="s">
        <v>2735</v>
      </c>
      <c r="Q150" s="140" t="s">
        <v>3504</v>
      </c>
      <c r="R150" s="140" t="s">
        <v>917</v>
      </c>
      <c r="S150" s="140">
        <v>4.0800000000000003E-2</v>
      </c>
      <c r="T150" s="144">
        <v>3.5361290322580646E-2</v>
      </c>
      <c r="U150" s="144">
        <f t="shared" si="2"/>
        <v>5.4387096774193566E-3</v>
      </c>
      <c r="V150" s="140">
        <v>2.274</v>
      </c>
      <c r="W150" s="144">
        <f>5.97+5.003</f>
        <v>10.972999999999999</v>
      </c>
      <c r="X150" s="144"/>
    </row>
    <row r="151" spans="2:24" ht="16">
      <c r="B151" s="148" t="s">
        <v>3451</v>
      </c>
      <c r="C151" s="144" t="s">
        <v>1744</v>
      </c>
      <c r="D151" s="144" t="s">
        <v>3551</v>
      </c>
      <c r="E151" s="140" t="s">
        <v>3502</v>
      </c>
      <c r="F151" s="144" t="s">
        <v>36</v>
      </c>
      <c r="G151" s="144"/>
      <c r="H151" s="144"/>
      <c r="I151" s="145">
        <v>42244</v>
      </c>
      <c r="J151" s="144" t="s">
        <v>36</v>
      </c>
      <c r="K151" s="144" t="s">
        <v>154</v>
      </c>
      <c r="L151" s="144" t="s">
        <v>2566</v>
      </c>
      <c r="M151" s="144" t="s">
        <v>2567</v>
      </c>
      <c r="N151" s="144" t="s">
        <v>2668</v>
      </c>
      <c r="O151" s="140" t="s">
        <v>2600</v>
      </c>
      <c r="P151" s="144" t="s">
        <v>2735</v>
      </c>
      <c r="Q151" s="140" t="s">
        <v>3504</v>
      </c>
      <c r="R151" s="140" t="s">
        <v>917</v>
      </c>
      <c r="S151" s="140">
        <v>4.07E-2</v>
      </c>
      <c r="T151" s="144">
        <v>3.5361290322580646E-2</v>
      </c>
      <c r="U151" s="144">
        <f t="shared" si="2"/>
        <v>5.3387096774193538E-3</v>
      </c>
      <c r="V151" s="140">
        <v>2.2349999999999999</v>
      </c>
      <c r="W151" s="144">
        <f>4.813+4.947</f>
        <v>9.76</v>
      </c>
      <c r="X151" s="144"/>
    </row>
    <row r="152" spans="2:24" ht="16">
      <c r="B152" s="148" t="s">
        <v>3452</v>
      </c>
      <c r="C152" s="144" t="s">
        <v>1744</v>
      </c>
      <c r="D152" s="144" t="s">
        <v>3551</v>
      </c>
      <c r="E152" s="140" t="s">
        <v>3506</v>
      </c>
      <c r="F152" s="144">
        <v>343</v>
      </c>
      <c r="G152" s="144"/>
      <c r="H152" s="144"/>
      <c r="I152" s="145">
        <v>42245</v>
      </c>
      <c r="J152" s="144" t="s">
        <v>36</v>
      </c>
      <c r="K152" s="144" t="s">
        <v>154</v>
      </c>
      <c r="L152" s="144" t="s">
        <v>2566</v>
      </c>
      <c r="M152" s="144" t="s">
        <v>2567</v>
      </c>
      <c r="N152" s="144" t="s">
        <v>2668</v>
      </c>
      <c r="O152" s="140" t="s">
        <v>2600</v>
      </c>
      <c r="P152" s="144" t="s">
        <v>2735</v>
      </c>
      <c r="Q152" s="140" t="s">
        <v>3504</v>
      </c>
      <c r="R152" s="140" t="s">
        <v>917</v>
      </c>
      <c r="S152" s="140">
        <v>4.0500000000000001E-2</v>
      </c>
      <c r="T152" s="144">
        <v>3.5361290322580646E-2</v>
      </c>
      <c r="U152" s="144">
        <f t="shared" si="2"/>
        <v>5.138709677419355E-3</v>
      </c>
      <c r="V152" s="140">
        <v>2.4060000000000001</v>
      </c>
      <c r="W152" s="144">
        <f>5.076+5.521</f>
        <v>10.597</v>
      </c>
      <c r="X152" s="144"/>
    </row>
    <row r="153" spans="2:24" ht="16">
      <c r="B153" s="148" t="s">
        <v>3453</v>
      </c>
      <c r="C153" s="144" t="s">
        <v>1744</v>
      </c>
      <c r="D153" s="144" t="s">
        <v>3551</v>
      </c>
      <c r="E153" s="140" t="s">
        <v>3507</v>
      </c>
      <c r="F153" s="144" t="s">
        <v>36</v>
      </c>
      <c r="G153" s="144"/>
      <c r="H153" s="144"/>
      <c r="I153" s="145">
        <v>42246</v>
      </c>
      <c r="J153" s="144" t="s">
        <v>36</v>
      </c>
      <c r="K153" s="144" t="s">
        <v>154</v>
      </c>
      <c r="L153" s="144" t="s">
        <v>2566</v>
      </c>
      <c r="M153" s="144" t="s">
        <v>2567</v>
      </c>
      <c r="N153" s="144" t="s">
        <v>2668</v>
      </c>
      <c r="O153" s="140" t="s">
        <v>2600</v>
      </c>
      <c r="P153" s="144" t="s">
        <v>2735</v>
      </c>
      <c r="Q153" s="140" t="s">
        <v>3504</v>
      </c>
      <c r="R153" s="140" t="s">
        <v>917</v>
      </c>
      <c r="S153" s="140">
        <v>4.0899999999999999E-2</v>
      </c>
      <c r="T153" s="144">
        <v>3.5361290322580646E-2</v>
      </c>
      <c r="U153" s="144">
        <f t="shared" si="2"/>
        <v>5.5387096774193526E-3</v>
      </c>
      <c r="V153" s="140">
        <v>2.4049999999999998</v>
      </c>
      <c r="W153" s="144">
        <f>5.397+4.361</f>
        <v>9.7579999999999991</v>
      </c>
      <c r="X153" s="144"/>
    </row>
    <row r="154" spans="2:24" s="133" customFormat="1" ht="16">
      <c r="B154" s="148" t="s">
        <v>3454</v>
      </c>
      <c r="C154" s="144" t="s">
        <v>1744</v>
      </c>
      <c r="D154" s="144" t="s">
        <v>3551</v>
      </c>
      <c r="E154" s="144" t="s">
        <v>3417</v>
      </c>
      <c r="F154" s="144">
        <v>17</v>
      </c>
      <c r="G154" s="144"/>
      <c r="H154" s="144"/>
      <c r="I154" s="145">
        <v>42247</v>
      </c>
      <c r="J154" s="144" t="s">
        <v>36</v>
      </c>
      <c r="K154" s="144" t="s">
        <v>154</v>
      </c>
      <c r="L154" s="144" t="s">
        <v>2566</v>
      </c>
      <c r="M154" s="144" t="s">
        <v>2567</v>
      </c>
      <c r="N154" s="144" t="s">
        <v>2668</v>
      </c>
      <c r="O154" s="144" t="s">
        <v>2600</v>
      </c>
      <c r="P154" s="144" t="s">
        <v>2735</v>
      </c>
      <c r="Q154" s="144" t="s">
        <v>3508</v>
      </c>
      <c r="R154" s="144" t="s">
        <v>917</v>
      </c>
      <c r="S154" s="144">
        <v>4.2599999999999999E-2</v>
      </c>
      <c r="T154" s="144">
        <v>3.5361290322580646E-2</v>
      </c>
      <c r="U154" s="144">
        <f t="shared" si="2"/>
        <v>7.2387096774193527E-3</v>
      </c>
      <c r="V154" s="144">
        <v>2.8370000000000002</v>
      </c>
      <c r="W154" s="144">
        <f>6.204+6.797</f>
        <v>13.000999999999999</v>
      </c>
      <c r="X154" s="144"/>
    </row>
    <row r="155" spans="2:24" ht="16">
      <c r="B155" s="148" t="s">
        <v>3455</v>
      </c>
      <c r="C155" s="144" t="s">
        <v>1744</v>
      </c>
      <c r="D155" s="144" t="s">
        <v>3551</v>
      </c>
      <c r="E155" s="140" t="s">
        <v>3509</v>
      </c>
      <c r="F155" s="140" t="s">
        <v>36</v>
      </c>
      <c r="G155" s="144"/>
      <c r="H155" s="144"/>
      <c r="I155" s="145">
        <v>42248</v>
      </c>
      <c r="J155" s="144" t="s">
        <v>36</v>
      </c>
      <c r="K155" s="144" t="s">
        <v>154</v>
      </c>
      <c r="L155" s="144" t="s">
        <v>2566</v>
      </c>
      <c r="M155" s="144" t="s">
        <v>2567</v>
      </c>
      <c r="N155" s="144" t="s">
        <v>2668</v>
      </c>
      <c r="O155" s="140" t="s">
        <v>2600</v>
      </c>
      <c r="P155" s="140" t="s">
        <v>2735</v>
      </c>
      <c r="Q155" s="140" t="s">
        <v>3508</v>
      </c>
      <c r="R155" s="140" t="s">
        <v>917</v>
      </c>
      <c r="S155" s="140">
        <v>4.2999999999999997E-2</v>
      </c>
      <c r="T155" s="144">
        <v>3.5361290322580646E-2</v>
      </c>
      <c r="U155" s="144">
        <f t="shared" si="2"/>
        <v>7.6387096774193503E-3</v>
      </c>
      <c r="V155" s="140">
        <v>2.7040000000000002</v>
      </c>
      <c r="W155" s="144">
        <f>5.864+5.454</f>
        <v>11.318</v>
      </c>
      <c r="X155" s="144"/>
    </row>
    <row r="156" spans="2:24" ht="16">
      <c r="B156" s="148" t="s">
        <v>3456</v>
      </c>
      <c r="C156" s="144" t="s">
        <v>1744</v>
      </c>
      <c r="D156" s="144" t="s">
        <v>3551</v>
      </c>
      <c r="E156" s="140" t="s">
        <v>3510</v>
      </c>
      <c r="F156" s="144">
        <v>634</v>
      </c>
      <c r="G156" s="144"/>
      <c r="H156" s="144"/>
      <c r="I156" s="145">
        <v>42249</v>
      </c>
      <c r="J156" s="144" t="s">
        <v>36</v>
      </c>
      <c r="K156" s="144" t="s">
        <v>154</v>
      </c>
      <c r="L156" s="144" t="s">
        <v>2566</v>
      </c>
      <c r="M156" s="144" t="s">
        <v>2567</v>
      </c>
      <c r="N156" s="144" t="s">
        <v>2668</v>
      </c>
      <c r="O156" s="140" t="s">
        <v>2600</v>
      </c>
      <c r="P156" s="140" t="s">
        <v>2735</v>
      </c>
      <c r="Q156" s="140" t="s">
        <v>3508</v>
      </c>
      <c r="R156" s="140" t="s">
        <v>917</v>
      </c>
      <c r="S156" s="140">
        <v>4.3299999999999998E-2</v>
      </c>
      <c r="T156" s="144">
        <v>3.5361290322580646E-2</v>
      </c>
      <c r="U156" s="144">
        <f t="shared" si="2"/>
        <v>7.9387096774193519E-3</v>
      </c>
      <c r="V156" s="140">
        <v>2.8029999999999999</v>
      </c>
      <c r="W156" s="144">
        <f>5.885+6.937</f>
        <v>12.821999999999999</v>
      </c>
      <c r="X156" s="144"/>
    </row>
    <row r="157" spans="2:24" ht="16">
      <c r="B157" s="148" t="s">
        <v>3457</v>
      </c>
      <c r="C157" s="144" t="s">
        <v>1744</v>
      </c>
      <c r="D157" s="144" t="s">
        <v>3551</v>
      </c>
      <c r="E157" s="140" t="s">
        <v>3511</v>
      </c>
      <c r="F157" s="144">
        <v>640</v>
      </c>
      <c r="G157" s="144"/>
      <c r="H157" s="144"/>
      <c r="I157" s="145">
        <v>42250</v>
      </c>
      <c r="J157" s="144" t="s">
        <v>36</v>
      </c>
      <c r="K157" s="144" t="s">
        <v>154</v>
      </c>
      <c r="L157" s="144" t="s">
        <v>2566</v>
      </c>
      <c r="M157" s="144" t="s">
        <v>2567</v>
      </c>
      <c r="N157" s="144" t="s">
        <v>2668</v>
      </c>
      <c r="O157" s="140" t="s">
        <v>2600</v>
      </c>
      <c r="P157" s="140" t="s">
        <v>2735</v>
      </c>
      <c r="Q157" s="140" t="s">
        <v>3508</v>
      </c>
      <c r="R157" s="140" t="s">
        <v>917</v>
      </c>
      <c r="S157" s="140">
        <v>4.2700000000000002E-2</v>
      </c>
      <c r="T157" s="144">
        <v>3.5361290322580646E-2</v>
      </c>
      <c r="U157" s="144">
        <f t="shared" si="2"/>
        <v>7.3387096774193555E-3</v>
      </c>
      <c r="V157" s="140">
        <v>2.8</v>
      </c>
      <c r="W157" s="144">
        <f>6.89+6.008</f>
        <v>12.898</v>
      </c>
      <c r="X157" s="144"/>
    </row>
    <row r="158" spans="2:24" ht="16">
      <c r="B158" s="148" t="s">
        <v>3458</v>
      </c>
      <c r="C158" s="144" t="s">
        <v>1744</v>
      </c>
      <c r="D158" s="144" t="s">
        <v>3551</v>
      </c>
      <c r="E158" s="140" t="s">
        <v>3512</v>
      </c>
      <c r="F158" s="144">
        <v>246</v>
      </c>
      <c r="G158" s="144"/>
      <c r="H158" s="144"/>
      <c r="I158" s="145">
        <v>42251</v>
      </c>
      <c r="J158" s="144" t="s">
        <v>36</v>
      </c>
      <c r="K158" s="144" t="s">
        <v>154</v>
      </c>
      <c r="L158" s="144" t="s">
        <v>2566</v>
      </c>
      <c r="M158" s="144" t="s">
        <v>2567</v>
      </c>
      <c r="N158" s="144" t="s">
        <v>2668</v>
      </c>
      <c r="O158" s="140" t="s">
        <v>2600</v>
      </c>
      <c r="P158" s="140" t="s">
        <v>2735</v>
      </c>
      <c r="Q158" s="140" t="s">
        <v>3508</v>
      </c>
      <c r="R158" s="140" t="s">
        <v>917</v>
      </c>
      <c r="S158" s="140">
        <v>4.1500000000000002E-2</v>
      </c>
      <c r="T158" s="144">
        <v>3.5361290322580646E-2</v>
      </c>
      <c r="U158" s="144">
        <f t="shared" si="2"/>
        <v>6.1387096774193559E-3</v>
      </c>
      <c r="V158" s="140">
        <v>2.5830000000000002</v>
      </c>
      <c r="W158" s="140">
        <v>12.167</v>
      </c>
      <c r="X158" s="144"/>
    </row>
    <row r="159" spans="2:24" ht="16">
      <c r="B159" s="148" t="s">
        <v>3459</v>
      </c>
      <c r="C159" s="144" t="s">
        <v>1744</v>
      </c>
      <c r="D159" s="144" t="s">
        <v>3551</v>
      </c>
      <c r="E159" s="140" t="s">
        <v>3509</v>
      </c>
      <c r="F159" s="144" t="s">
        <v>36</v>
      </c>
      <c r="G159" s="144"/>
      <c r="H159" s="144"/>
      <c r="I159" s="145">
        <v>42252</v>
      </c>
      <c r="J159" s="144" t="s">
        <v>36</v>
      </c>
      <c r="K159" s="144" t="s">
        <v>154</v>
      </c>
      <c r="L159" s="144" t="s">
        <v>2566</v>
      </c>
      <c r="M159" s="144" t="s">
        <v>2567</v>
      </c>
      <c r="N159" s="144" t="s">
        <v>2668</v>
      </c>
      <c r="O159" s="140" t="s">
        <v>2600</v>
      </c>
      <c r="P159" s="140" t="s">
        <v>2735</v>
      </c>
      <c r="Q159" s="140" t="s">
        <v>3508</v>
      </c>
      <c r="R159" s="140" t="s">
        <v>917</v>
      </c>
      <c r="S159" s="140">
        <v>4.2999999999999997E-2</v>
      </c>
      <c r="T159" s="144">
        <v>3.5361290322580646E-2</v>
      </c>
      <c r="U159" s="144">
        <f t="shared" si="2"/>
        <v>7.6387096774193503E-3</v>
      </c>
      <c r="V159" s="140">
        <v>2.8079999999999998</v>
      </c>
      <c r="W159" s="144">
        <f>7.181+6.422</f>
        <v>13.603</v>
      </c>
      <c r="X159" s="144"/>
    </row>
    <row r="160" spans="2:24" ht="16">
      <c r="B160" s="148" t="s">
        <v>3460</v>
      </c>
      <c r="C160" s="144" t="s">
        <v>1744</v>
      </c>
      <c r="D160" s="144" t="s">
        <v>3551</v>
      </c>
      <c r="E160" s="140" t="s">
        <v>3421</v>
      </c>
      <c r="F160" s="144">
        <v>530</v>
      </c>
      <c r="G160" s="144"/>
      <c r="H160" s="144"/>
      <c r="I160" s="145">
        <v>42253</v>
      </c>
      <c r="J160" s="144" t="s">
        <v>36</v>
      </c>
      <c r="K160" s="144" t="s">
        <v>154</v>
      </c>
      <c r="L160" s="144" t="s">
        <v>2566</v>
      </c>
      <c r="M160" s="144" t="s">
        <v>2567</v>
      </c>
      <c r="N160" s="144" t="s">
        <v>2668</v>
      </c>
      <c r="O160" s="140" t="s">
        <v>2600</v>
      </c>
      <c r="P160" s="140" t="s">
        <v>2735</v>
      </c>
      <c r="Q160" s="140" t="s">
        <v>3508</v>
      </c>
      <c r="R160" s="140" t="s">
        <v>917</v>
      </c>
      <c r="S160" s="140">
        <v>4.2299999999999997E-2</v>
      </c>
      <c r="T160" s="144">
        <v>3.5361290322580646E-2</v>
      </c>
      <c r="U160" s="144">
        <f t="shared" si="2"/>
        <v>6.938709677419351E-3</v>
      </c>
      <c r="V160" s="140">
        <v>2.871</v>
      </c>
      <c r="W160" s="144">
        <f>5.986+6.949</f>
        <v>12.934999999999999</v>
      </c>
      <c r="X160" s="144"/>
    </row>
    <row r="161" spans="2:24" ht="16">
      <c r="B161" s="148" t="s">
        <v>3461</v>
      </c>
      <c r="C161" s="144" t="s">
        <v>1744</v>
      </c>
      <c r="D161" s="144" t="s">
        <v>3551</v>
      </c>
      <c r="E161" s="140" t="s">
        <v>3513</v>
      </c>
      <c r="F161" s="144" t="s">
        <v>36</v>
      </c>
      <c r="G161" s="144"/>
      <c r="H161" s="144"/>
      <c r="I161" s="145">
        <v>42254</v>
      </c>
      <c r="J161" s="144" t="s">
        <v>36</v>
      </c>
      <c r="K161" s="144" t="s">
        <v>154</v>
      </c>
      <c r="L161" s="144" t="s">
        <v>2566</v>
      </c>
      <c r="M161" s="144" t="s">
        <v>2567</v>
      </c>
      <c r="N161" s="144" t="s">
        <v>2668</v>
      </c>
      <c r="O161" s="140" t="s">
        <v>2600</v>
      </c>
      <c r="P161" s="140" t="s">
        <v>2735</v>
      </c>
      <c r="Q161" s="140" t="s">
        <v>3508</v>
      </c>
      <c r="R161" s="140" t="s">
        <v>917</v>
      </c>
      <c r="S161" s="140">
        <v>4.2700000000000002E-2</v>
      </c>
      <c r="T161" s="144">
        <v>3.5361290322580646E-2</v>
      </c>
      <c r="U161" s="144">
        <f t="shared" si="2"/>
        <v>7.3387096774193555E-3</v>
      </c>
      <c r="V161" s="140">
        <v>2.7240000000000002</v>
      </c>
      <c r="W161" s="144">
        <f>7.232+5.695</f>
        <v>12.927</v>
      </c>
      <c r="X161" s="144"/>
    </row>
    <row r="162" spans="2:24" ht="16">
      <c r="B162" s="148" t="s">
        <v>3462</v>
      </c>
      <c r="C162" s="144" t="s">
        <v>1744</v>
      </c>
      <c r="D162" s="144" t="s">
        <v>3551</v>
      </c>
      <c r="E162" s="140" t="s">
        <v>3509</v>
      </c>
      <c r="F162" s="144" t="s">
        <v>36</v>
      </c>
      <c r="G162" s="144"/>
      <c r="H162" s="144"/>
      <c r="I162" s="145">
        <v>42255</v>
      </c>
      <c r="J162" s="144" t="s">
        <v>36</v>
      </c>
      <c r="K162" s="144" t="s">
        <v>154</v>
      </c>
      <c r="L162" s="144" t="s">
        <v>2566</v>
      </c>
      <c r="M162" s="144" t="s">
        <v>2567</v>
      </c>
      <c r="N162" s="144" t="s">
        <v>2668</v>
      </c>
      <c r="O162" s="140" t="s">
        <v>2600</v>
      </c>
      <c r="P162" s="140" t="s">
        <v>2735</v>
      </c>
      <c r="Q162" s="140" t="s">
        <v>3508</v>
      </c>
      <c r="R162" s="140" t="s">
        <v>917</v>
      </c>
      <c r="S162" s="140">
        <v>4.24E-2</v>
      </c>
      <c r="T162" s="144">
        <v>3.5361290322580646E-2</v>
      </c>
      <c r="U162" s="144">
        <f t="shared" si="2"/>
        <v>7.0387096774193539E-3</v>
      </c>
      <c r="V162" s="140">
        <v>2.6629999999999998</v>
      </c>
      <c r="W162" s="144">
        <f>6.045+6.424</f>
        <v>12.469000000000001</v>
      </c>
      <c r="X162" s="144"/>
    </row>
    <row r="163" spans="2:24" ht="16">
      <c r="B163" s="148" t="s">
        <v>3463</v>
      </c>
      <c r="C163" s="144" t="s">
        <v>1744</v>
      </c>
      <c r="D163" s="144" t="s">
        <v>3551</v>
      </c>
      <c r="E163" s="140" t="s">
        <v>3514</v>
      </c>
      <c r="F163" s="144" t="s">
        <v>36</v>
      </c>
      <c r="G163" s="144"/>
      <c r="H163" s="144"/>
      <c r="I163" s="145">
        <v>42256</v>
      </c>
      <c r="J163" s="144" t="s">
        <v>36</v>
      </c>
      <c r="K163" s="144" t="s">
        <v>154</v>
      </c>
      <c r="L163" s="144" t="s">
        <v>2566</v>
      </c>
      <c r="M163" s="144" t="s">
        <v>2567</v>
      </c>
      <c r="N163" s="144" t="s">
        <v>2668</v>
      </c>
      <c r="O163" s="140" t="s">
        <v>2600</v>
      </c>
      <c r="P163" s="140" t="s">
        <v>2735</v>
      </c>
      <c r="Q163" s="140" t="s">
        <v>3508</v>
      </c>
      <c r="R163" s="140" t="s">
        <v>917</v>
      </c>
      <c r="S163" s="140">
        <v>4.2299999999999997E-2</v>
      </c>
      <c r="T163" s="144">
        <v>3.5361290322580646E-2</v>
      </c>
      <c r="U163" s="144">
        <f t="shared" si="2"/>
        <v>6.938709677419351E-3</v>
      </c>
      <c r="V163" s="140">
        <v>2.5099999999999998</v>
      </c>
      <c r="W163" s="144">
        <f>5.636+6.558</f>
        <v>12.193999999999999</v>
      </c>
      <c r="X163" s="144"/>
    </row>
    <row r="164" spans="2:24" ht="16">
      <c r="B164" s="148" t="s">
        <v>3464</v>
      </c>
      <c r="C164" s="144" t="s">
        <v>1744</v>
      </c>
      <c r="D164" s="144" t="s">
        <v>3551</v>
      </c>
      <c r="E164" s="140" t="s">
        <v>3515</v>
      </c>
      <c r="F164" s="144" t="s">
        <v>36</v>
      </c>
      <c r="G164" s="144"/>
      <c r="H164" s="144"/>
      <c r="I164" s="145">
        <v>42257</v>
      </c>
      <c r="J164" s="144" t="s">
        <v>36</v>
      </c>
      <c r="K164" s="144" t="s">
        <v>154</v>
      </c>
      <c r="L164" s="144" t="s">
        <v>2566</v>
      </c>
      <c r="M164" s="144" t="s">
        <v>2567</v>
      </c>
      <c r="N164" s="144" t="s">
        <v>2668</v>
      </c>
      <c r="O164" s="140" t="s">
        <v>2600</v>
      </c>
      <c r="P164" s="140" t="s">
        <v>2735</v>
      </c>
      <c r="Q164" s="140" t="s">
        <v>3508</v>
      </c>
      <c r="R164" s="140" t="s">
        <v>946</v>
      </c>
      <c r="S164" s="140">
        <v>3.8899999999999997E-2</v>
      </c>
      <c r="T164" s="144">
        <v>3.5361290322580646E-2</v>
      </c>
      <c r="U164" s="144">
        <f t="shared" si="2"/>
        <v>3.5387096774193508E-3</v>
      </c>
      <c r="V164" s="140">
        <v>2.085</v>
      </c>
      <c r="W164" s="144">
        <f>4.952+4.24</f>
        <v>9.1920000000000002</v>
      </c>
      <c r="X164" s="144"/>
    </row>
    <row r="165" spans="2:24" ht="16">
      <c r="B165" s="148" t="s">
        <v>3465</v>
      </c>
      <c r="C165" s="144" t="s">
        <v>1744</v>
      </c>
      <c r="D165" s="144" t="s">
        <v>3551</v>
      </c>
      <c r="E165" s="140" t="s">
        <v>3516</v>
      </c>
      <c r="F165" s="144" t="s">
        <v>36</v>
      </c>
      <c r="G165" s="144"/>
      <c r="H165" s="144"/>
      <c r="I165" s="145">
        <v>42258</v>
      </c>
      <c r="J165" s="144" t="s">
        <v>36</v>
      </c>
      <c r="K165" s="144" t="s">
        <v>154</v>
      </c>
      <c r="L165" s="144" t="s">
        <v>2566</v>
      </c>
      <c r="M165" s="144" t="s">
        <v>2567</v>
      </c>
      <c r="N165" s="144" t="s">
        <v>2668</v>
      </c>
      <c r="O165" s="140" t="s">
        <v>2600</v>
      </c>
      <c r="P165" s="140" t="s">
        <v>2735</v>
      </c>
      <c r="Q165" s="140" t="s">
        <v>3508</v>
      </c>
      <c r="R165" s="140" t="s">
        <v>917</v>
      </c>
      <c r="S165" s="140">
        <v>3.8800000000000001E-2</v>
      </c>
      <c r="T165" s="144">
        <v>3.5361290322580646E-2</v>
      </c>
      <c r="U165" s="144">
        <f t="shared" si="2"/>
        <v>3.4387096774193548E-3</v>
      </c>
      <c r="V165" s="140">
        <v>2.165</v>
      </c>
      <c r="W165" s="144">
        <f>4.753+4.883</f>
        <v>9.6359999999999992</v>
      </c>
      <c r="X165" s="144"/>
    </row>
    <row r="166" spans="2:24" s="133" customFormat="1" ht="16">
      <c r="B166" s="148" t="s">
        <v>3466</v>
      </c>
      <c r="C166" s="144" t="s">
        <v>1744</v>
      </c>
      <c r="D166" s="144" t="s">
        <v>3551</v>
      </c>
      <c r="E166" s="144" t="s">
        <v>3518</v>
      </c>
      <c r="F166" s="144" t="s">
        <v>36</v>
      </c>
      <c r="G166" s="144"/>
      <c r="H166" s="144"/>
      <c r="I166" s="145">
        <v>42259</v>
      </c>
      <c r="J166" s="144" t="s">
        <v>36</v>
      </c>
      <c r="K166" s="144" t="s">
        <v>154</v>
      </c>
      <c r="L166" s="144" t="s">
        <v>2566</v>
      </c>
      <c r="M166" s="144" t="s">
        <v>2567</v>
      </c>
      <c r="N166" s="144" t="s">
        <v>2668</v>
      </c>
      <c r="O166" s="144" t="s">
        <v>2600</v>
      </c>
      <c r="P166" s="144" t="s">
        <v>2735</v>
      </c>
      <c r="Q166" s="144" t="s">
        <v>3517</v>
      </c>
      <c r="R166" s="144" t="s">
        <v>917</v>
      </c>
      <c r="S166" s="144">
        <v>3.8300000000000001E-2</v>
      </c>
      <c r="T166" s="144">
        <v>3.5361290322580646E-2</v>
      </c>
      <c r="U166" s="144">
        <f t="shared" si="2"/>
        <v>2.9387096774193544E-3</v>
      </c>
      <c r="V166" s="144">
        <v>2.2330000000000001</v>
      </c>
      <c r="W166" s="144">
        <f>4.562+5.741</f>
        <v>10.303000000000001</v>
      </c>
      <c r="X166" s="144"/>
    </row>
    <row r="167" spans="2:24" ht="16">
      <c r="B167" s="148" t="s">
        <v>3467</v>
      </c>
      <c r="C167" s="144" t="s">
        <v>1744</v>
      </c>
      <c r="D167" s="144" t="s">
        <v>3551</v>
      </c>
      <c r="E167" s="140" t="s">
        <v>3519</v>
      </c>
      <c r="F167" s="144" t="s">
        <v>36</v>
      </c>
      <c r="G167" s="144"/>
      <c r="H167" s="144"/>
      <c r="I167" s="145">
        <v>42260</v>
      </c>
      <c r="J167" s="144" t="s">
        <v>36</v>
      </c>
      <c r="K167" s="144" t="s">
        <v>154</v>
      </c>
      <c r="L167" s="144" t="s">
        <v>2566</v>
      </c>
      <c r="M167" s="144" t="s">
        <v>2567</v>
      </c>
      <c r="N167" s="144" t="s">
        <v>2668</v>
      </c>
      <c r="O167" s="144" t="s">
        <v>2600</v>
      </c>
      <c r="P167" s="144" t="s">
        <v>2735</v>
      </c>
      <c r="Q167" s="144" t="s">
        <v>3517</v>
      </c>
      <c r="R167" s="140" t="s">
        <v>917</v>
      </c>
      <c r="S167" s="140">
        <v>3.9E-2</v>
      </c>
      <c r="T167" s="144">
        <v>3.5361290322580646E-2</v>
      </c>
      <c r="U167" s="144">
        <f t="shared" si="2"/>
        <v>3.6387096774193536E-3</v>
      </c>
      <c r="V167" s="140">
        <v>2.3079999999999998</v>
      </c>
      <c r="W167" s="144">
        <f>5.213+5.547</f>
        <v>10.76</v>
      </c>
      <c r="X167" s="144"/>
    </row>
    <row r="168" spans="2:24" ht="16">
      <c r="B168" s="148" t="s">
        <v>3468</v>
      </c>
      <c r="C168" s="144" t="s">
        <v>1744</v>
      </c>
      <c r="D168" s="144" t="s">
        <v>3551</v>
      </c>
      <c r="E168" s="140" t="s">
        <v>3520</v>
      </c>
      <c r="F168" s="144">
        <v>588</v>
      </c>
      <c r="G168" s="144"/>
      <c r="H168" s="144"/>
      <c r="I168" s="145">
        <v>42261</v>
      </c>
      <c r="J168" s="144" t="s">
        <v>36</v>
      </c>
      <c r="K168" s="144" t="s">
        <v>154</v>
      </c>
      <c r="L168" s="144" t="s">
        <v>2566</v>
      </c>
      <c r="M168" s="144" t="s">
        <v>2567</v>
      </c>
      <c r="N168" s="144" t="s">
        <v>2668</v>
      </c>
      <c r="O168" s="144" t="s">
        <v>2600</v>
      </c>
      <c r="P168" s="144" t="s">
        <v>2735</v>
      </c>
      <c r="Q168" s="144" t="s">
        <v>3517</v>
      </c>
      <c r="R168" s="140" t="s">
        <v>917</v>
      </c>
      <c r="S168" s="140">
        <v>4.2299999999999997E-2</v>
      </c>
      <c r="T168" s="144">
        <v>3.5361290322580646E-2</v>
      </c>
      <c r="U168" s="144">
        <f t="shared" si="2"/>
        <v>6.938709677419351E-3</v>
      </c>
      <c r="V168" s="140">
        <v>2.95</v>
      </c>
      <c r="W168" s="144">
        <f>5.599+5.354</f>
        <v>10.952999999999999</v>
      </c>
      <c r="X168" s="144"/>
    </row>
    <row r="169" spans="2:24" ht="16">
      <c r="B169" s="148" t="s">
        <v>3469</v>
      </c>
      <c r="C169" s="144" t="s">
        <v>1744</v>
      </c>
      <c r="D169" s="144" t="s">
        <v>3551</v>
      </c>
      <c r="E169" s="140" t="s">
        <v>3521</v>
      </c>
      <c r="F169" s="144">
        <v>158</v>
      </c>
      <c r="G169" s="144"/>
      <c r="H169" s="144"/>
      <c r="I169" s="145">
        <v>42262</v>
      </c>
      <c r="J169" s="144" t="s">
        <v>36</v>
      </c>
      <c r="K169" s="144" t="s">
        <v>154</v>
      </c>
      <c r="L169" s="144" t="s">
        <v>2566</v>
      </c>
      <c r="M169" s="144" t="s">
        <v>2567</v>
      </c>
      <c r="N169" s="144" t="s">
        <v>2668</v>
      </c>
      <c r="O169" s="144" t="s">
        <v>2600</v>
      </c>
      <c r="P169" s="144" t="s">
        <v>2735</v>
      </c>
      <c r="Q169" s="144" t="s">
        <v>3517</v>
      </c>
      <c r="R169" s="140" t="s">
        <v>917</v>
      </c>
      <c r="S169" s="140">
        <v>3.9699999999999999E-2</v>
      </c>
      <c r="T169" s="144">
        <v>3.5361290322580646E-2</v>
      </c>
      <c r="U169" s="144">
        <f t="shared" si="2"/>
        <v>4.3387096774193529E-3</v>
      </c>
      <c r="V169" s="140">
        <v>2.3380000000000001</v>
      </c>
      <c r="W169" s="144">
        <f>5.227+6.091</f>
        <v>11.318000000000001</v>
      </c>
      <c r="X169" s="144"/>
    </row>
    <row r="170" spans="2:24" ht="16">
      <c r="B170" s="148" t="s">
        <v>3470</v>
      </c>
      <c r="C170" s="144" t="s">
        <v>1744</v>
      </c>
      <c r="D170" s="144" t="s">
        <v>3551</v>
      </c>
      <c r="E170" s="140" t="s">
        <v>3522</v>
      </c>
      <c r="F170" s="144">
        <v>477</v>
      </c>
      <c r="G170" s="144"/>
      <c r="H170" s="144"/>
      <c r="I170" s="145">
        <v>42263</v>
      </c>
      <c r="J170" s="144" t="s">
        <v>36</v>
      </c>
      <c r="K170" s="144" t="s">
        <v>154</v>
      </c>
      <c r="L170" s="144" t="s">
        <v>2566</v>
      </c>
      <c r="M170" s="144" t="s">
        <v>2567</v>
      </c>
      <c r="N170" s="144" t="s">
        <v>2668</v>
      </c>
      <c r="O170" s="144" t="s">
        <v>2600</v>
      </c>
      <c r="P170" s="144" t="s">
        <v>2735</v>
      </c>
      <c r="Q170" s="144" t="s">
        <v>3517</v>
      </c>
      <c r="R170" s="140" t="s">
        <v>917</v>
      </c>
      <c r="S170" s="140">
        <v>3.9199999999999999E-2</v>
      </c>
      <c r="T170" s="144">
        <v>3.5361290322580646E-2</v>
      </c>
      <c r="U170" s="144">
        <f t="shared" si="2"/>
        <v>3.8387096774193524E-3</v>
      </c>
      <c r="V170" s="140">
        <v>2.411</v>
      </c>
      <c r="W170" s="144">
        <f>4.842+5.19</f>
        <v>10.032</v>
      </c>
      <c r="X170" s="144"/>
    </row>
    <row r="171" spans="2:24" ht="16">
      <c r="B171" s="148" t="s">
        <v>3471</v>
      </c>
      <c r="C171" s="144" t="s">
        <v>1744</v>
      </c>
      <c r="D171" s="144" t="s">
        <v>3551</v>
      </c>
      <c r="E171" s="140" t="s">
        <v>3522</v>
      </c>
      <c r="F171" s="144">
        <v>474</v>
      </c>
      <c r="G171" s="144"/>
      <c r="H171" s="144"/>
      <c r="I171" s="145">
        <v>42264</v>
      </c>
      <c r="J171" s="144" t="s">
        <v>36</v>
      </c>
      <c r="K171" s="144" t="s">
        <v>154</v>
      </c>
      <c r="L171" s="144" t="s">
        <v>2566</v>
      </c>
      <c r="M171" s="144" t="s">
        <v>2567</v>
      </c>
      <c r="N171" s="144" t="s">
        <v>2668</v>
      </c>
      <c r="O171" s="144" t="s">
        <v>2600</v>
      </c>
      <c r="P171" s="144" t="s">
        <v>2735</v>
      </c>
      <c r="Q171" s="144" t="s">
        <v>3517</v>
      </c>
      <c r="R171" s="140" t="s">
        <v>917</v>
      </c>
      <c r="S171" s="140">
        <v>3.95E-2</v>
      </c>
      <c r="T171" s="144">
        <v>3.5361290322580646E-2</v>
      </c>
      <c r="U171" s="144">
        <f t="shared" si="2"/>
        <v>4.1387096774193541E-3</v>
      </c>
      <c r="V171" s="140">
        <v>2.387</v>
      </c>
      <c r="W171" s="144">
        <f>6.033+4.924</f>
        <v>10.957000000000001</v>
      </c>
      <c r="X171" s="144"/>
    </row>
    <row r="172" spans="2:24" ht="16">
      <c r="B172" s="148" t="s">
        <v>3472</v>
      </c>
      <c r="C172" s="144" t="s">
        <v>1744</v>
      </c>
      <c r="D172" s="144" t="s">
        <v>3551</v>
      </c>
      <c r="E172" s="140" t="s">
        <v>3523</v>
      </c>
      <c r="F172" s="144">
        <v>508</v>
      </c>
      <c r="G172" s="144"/>
      <c r="H172" s="144"/>
      <c r="I172" s="145">
        <v>42265</v>
      </c>
      <c r="J172" s="144" t="s">
        <v>36</v>
      </c>
      <c r="K172" s="144" t="s">
        <v>154</v>
      </c>
      <c r="L172" s="144" t="s">
        <v>2566</v>
      </c>
      <c r="M172" s="144" t="s">
        <v>2567</v>
      </c>
      <c r="N172" s="144" t="s">
        <v>2668</v>
      </c>
      <c r="O172" s="144" t="s">
        <v>2600</v>
      </c>
      <c r="P172" s="144" t="s">
        <v>2735</v>
      </c>
      <c r="Q172" s="144" t="s">
        <v>3517</v>
      </c>
      <c r="R172" s="140" t="s">
        <v>917</v>
      </c>
      <c r="S172" s="140">
        <v>3.9199999999999999E-2</v>
      </c>
      <c r="T172" s="144">
        <v>3.5361290322580646E-2</v>
      </c>
      <c r="U172" s="144">
        <f t="shared" si="2"/>
        <v>3.8387096774193524E-3</v>
      </c>
      <c r="V172" s="140">
        <v>2.3119999999999998</v>
      </c>
      <c r="W172" s="144">
        <f>5.162+6.229</f>
        <v>11.391</v>
      </c>
      <c r="X172" s="144"/>
    </row>
    <row r="173" spans="2:24" ht="16">
      <c r="B173" s="148" t="s">
        <v>3473</v>
      </c>
      <c r="C173" s="144" t="s">
        <v>1744</v>
      </c>
      <c r="D173" s="144" t="s">
        <v>3551</v>
      </c>
      <c r="E173" s="140" t="s">
        <v>3524</v>
      </c>
      <c r="F173" s="144">
        <v>509</v>
      </c>
      <c r="G173" s="144"/>
      <c r="H173" s="144"/>
      <c r="I173" s="145">
        <v>42266</v>
      </c>
      <c r="J173" s="144" t="s">
        <v>36</v>
      </c>
      <c r="K173" s="144" t="s">
        <v>154</v>
      </c>
      <c r="L173" s="144" t="s">
        <v>2566</v>
      </c>
      <c r="M173" s="144" t="s">
        <v>2567</v>
      </c>
      <c r="N173" s="144" t="s">
        <v>2668</v>
      </c>
      <c r="O173" s="144" t="s">
        <v>2600</v>
      </c>
      <c r="P173" s="144" t="s">
        <v>2735</v>
      </c>
      <c r="Q173" s="144" t="s">
        <v>3517</v>
      </c>
      <c r="R173" s="140" t="s">
        <v>917</v>
      </c>
      <c r="S173" s="140">
        <v>3.95E-2</v>
      </c>
      <c r="T173" s="144">
        <v>3.5361290322580646E-2</v>
      </c>
      <c r="U173" s="144">
        <f t="shared" si="2"/>
        <v>4.1387096774193541E-3</v>
      </c>
      <c r="V173" s="140">
        <v>2.2690000000000001</v>
      </c>
      <c r="W173" s="144">
        <f>4.775+6.259</f>
        <v>11.034000000000001</v>
      </c>
      <c r="X173" s="144"/>
    </row>
    <row r="174" spans="2:24" ht="16">
      <c r="B174" s="148" t="s">
        <v>3474</v>
      </c>
      <c r="C174" s="144" t="s">
        <v>1744</v>
      </c>
      <c r="D174" s="144" t="s">
        <v>3551</v>
      </c>
      <c r="E174" s="140" t="s">
        <v>3525</v>
      </c>
      <c r="F174" s="144">
        <v>495</v>
      </c>
      <c r="G174" s="144"/>
      <c r="H174" s="144"/>
      <c r="I174" s="145">
        <v>42267</v>
      </c>
      <c r="J174" s="144" t="s">
        <v>36</v>
      </c>
      <c r="K174" s="144" t="s">
        <v>154</v>
      </c>
      <c r="L174" s="144" t="s">
        <v>2566</v>
      </c>
      <c r="M174" s="144" t="s">
        <v>2567</v>
      </c>
      <c r="N174" s="144" t="s">
        <v>2668</v>
      </c>
      <c r="O174" s="144" t="s">
        <v>2600</v>
      </c>
      <c r="P174" s="144" t="s">
        <v>2735</v>
      </c>
      <c r="Q174" s="144" t="s">
        <v>3517</v>
      </c>
      <c r="R174" s="140" t="s">
        <v>917</v>
      </c>
      <c r="S174" s="140">
        <v>3.8800000000000001E-2</v>
      </c>
      <c r="T174" s="144">
        <v>3.5361290322580646E-2</v>
      </c>
      <c r="U174" s="144">
        <f t="shared" si="2"/>
        <v>3.4387096774193548E-3</v>
      </c>
      <c r="V174" s="140">
        <v>2.17</v>
      </c>
      <c r="W174" s="144">
        <f>5.325+4.904</f>
        <v>10.228999999999999</v>
      </c>
      <c r="X174" s="144"/>
    </row>
    <row r="175" spans="2:24" ht="16">
      <c r="B175" s="148" t="s">
        <v>3475</v>
      </c>
      <c r="C175" s="144" t="s">
        <v>1744</v>
      </c>
      <c r="D175" s="144" t="s">
        <v>3551</v>
      </c>
      <c r="E175" s="140" t="s">
        <v>3526</v>
      </c>
      <c r="F175" s="144">
        <v>491</v>
      </c>
      <c r="G175" s="144"/>
      <c r="H175" s="144"/>
      <c r="I175" s="145">
        <v>42268</v>
      </c>
      <c r="J175" s="144" t="s">
        <v>36</v>
      </c>
      <c r="K175" s="144" t="s">
        <v>154</v>
      </c>
      <c r="L175" s="144" t="s">
        <v>2566</v>
      </c>
      <c r="M175" s="144" t="s">
        <v>2567</v>
      </c>
      <c r="N175" s="144" t="s">
        <v>2668</v>
      </c>
      <c r="O175" s="144" t="s">
        <v>2600</v>
      </c>
      <c r="P175" s="144" t="s">
        <v>2735</v>
      </c>
      <c r="Q175" s="144" t="s">
        <v>3517</v>
      </c>
      <c r="R175" s="140" t="s">
        <v>917</v>
      </c>
      <c r="S175" s="140">
        <v>3.9399999999999998E-2</v>
      </c>
      <c r="T175" s="144">
        <v>3.5361290322580646E-2</v>
      </c>
      <c r="U175" s="144">
        <f t="shared" si="2"/>
        <v>4.0387096774193512E-3</v>
      </c>
      <c r="V175" s="140">
        <v>2.2400000000000002</v>
      </c>
      <c r="W175" s="144">
        <f>4.939+5.476</f>
        <v>10.414999999999999</v>
      </c>
      <c r="X175" s="144"/>
    </row>
    <row r="176" spans="2:24" ht="16">
      <c r="B176" s="148" t="s">
        <v>3476</v>
      </c>
      <c r="C176" s="144" t="s">
        <v>1744</v>
      </c>
      <c r="D176" s="144" t="s">
        <v>3551</v>
      </c>
      <c r="E176" s="140" t="s">
        <v>3527</v>
      </c>
      <c r="F176" s="144">
        <v>480</v>
      </c>
      <c r="G176" s="144"/>
      <c r="H176" s="144"/>
      <c r="I176" s="145">
        <v>42269</v>
      </c>
      <c r="J176" s="144" t="s">
        <v>36</v>
      </c>
      <c r="K176" s="144" t="s">
        <v>154</v>
      </c>
      <c r="L176" s="144" t="s">
        <v>2566</v>
      </c>
      <c r="M176" s="144" t="s">
        <v>2567</v>
      </c>
      <c r="N176" s="144" t="s">
        <v>2668</v>
      </c>
      <c r="O176" s="144" t="s">
        <v>2600</v>
      </c>
      <c r="P176" s="144" t="s">
        <v>2735</v>
      </c>
      <c r="Q176" s="144" t="s">
        <v>3517</v>
      </c>
      <c r="R176" s="140" t="s">
        <v>917</v>
      </c>
      <c r="S176" s="140">
        <v>3.8699999999999998E-2</v>
      </c>
      <c r="T176" s="144">
        <v>3.5361290322580646E-2</v>
      </c>
      <c r="U176" s="144">
        <f t="shared" si="2"/>
        <v>3.338709677419352E-3</v>
      </c>
      <c r="V176" s="140">
        <v>2.2029999999999998</v>
      </c>
      <c r="W176" s="140">
        <v>10.975</v>
      </c>
      <c r="X176" s="144"/>
    </row>
    <row r="177" spans="2:24" ht="16">
      <c r="B177" s="148" t="s">
        <v>3477</v>
      </c>
      <c r="C177" s="144" t="s">
        <v>1744</v>
      </c>
      <c r="D177" s="144" t="s">
        <v>3551</v>
      </c>
      <c r="E177" s="140" t="s">
        <v>3528</v>
      </c>
      <c r="F177" s="144">
        <v>481</v>
      </c>
      <c r="G177" s="144"/>
      <c r="H177" s="144"/>
      <c r="I177" s="145">
        <v>42270</v>
      </c>
      <c r="J177" s="144" t="s">
        <v>36</v>
      </c>
      <c r="K177" s="144" t="s">
        <v>154</v>
      </c>
      <c r="L177" s="144" t="s">
        <v>2566</v>
      </c>
      <c r="M177" s="144" t="s">
        <v>2567</v>
      </c>
      <c r="N177" s="144" t="s">
        <v>2668</v>
      </c>
      <c r="O177" s="144" t="s">
        <v>2600</v>
      </c>
      <c r="P177" s="144" t="s">
        <v>2735</v>
      </c>
      <c r="Q177" s="144" t="s">
        <v>3517</v>
      </c>
      <c r="R177" s="140" t="s">
        <v>917</v>
      </c>
      <c r="S177" s="140">
        <v>3.9E-2</v>
      </c>
      <c r="T177" s="144">
        <v>3.5361290322580646E-2</v>
      </c>
      <c r="U177" s="144">
        <f t="shared" si="2"/>
        <v>3.6387096774193536E-3</v>
      </c>
      <c r="V177" s="140">
        <v>2.2930000000000001</v>
      </c>
      <c r="W177" s="144">
        <f>5.478+4.893</f>
        <v>10.370999999999999</v>
      </c>
      <c r="X177" s="144"/>
    </row>
    <row r="178" spans="2:24" ht="16">
      <c r="B178" s="148" t="s">
        <v>3478</v>
      </c>
      <c r="C178" s="144" t="s">
        <v>1744</v>
      </c>
      <c r="D178" s="144" t="s">
        <v>3551</v>
      </c>
      <c r="E178" s="140" t="s">
        <v>3506</v>
      </c>
      <c r="F178" s="144">
        <v>342</v>
      </c>
      <c r="G178" s="144"/>
      <c r="H178" s="144"/>
      <c r="I178" s="145">
        <v>42271</v>
      </c>
      <c r="J178" s="144" t="s">
        <v>36</v>
      </c>
      <c r="K178" s="144" t="s">
        <v>154</v>
      </c>
      <c r="L178" s="144" t="s">
        <v>2566</v>
      </c>
      <c r="M178" s="144" t="s">
        <v>2567</v>
      </c>
      <c r="N178" s="144" t="s">
        <v>2668</v>
      </c>
      <c r="O178" s="144" t="s">
        <v>2600</v>
      </c>
      <c r="P178" s="144" t="s">
        <v>2735</v>
      </c>
      <c r="Q178" s="144" t="s">
        <v>3517</v>
      </c>
      <c r="R178" s="140" t="s">
        <v>917</v>
      </c>
      <c r="S178" s="140">
        <v>3.9399999999999998E-2</v>
      </c>
      <c r="T178" s="144">
        <v>3.5361290322580646E-2</v>
      </c>
      <c r="U178" s="144">
        <f t="shared" si="2"/>
        <v>4.0387096774193512E-3</v>
      </c>
      <c r="V178" s="140">
        <v>2.3919999999999999</v>
      </c>
      <c r="W178" s="144">
        <f>5.2+6.374</f>
        <v>11.574</v>
      </c>
      <c r="X178" s="144"/>
    </row>
    <row r="179" spans="2:24" ht="16">
      <c r="B179" s="148" t="s">
        <v>3479</v>
      </c>
      <c r="C179" s="144" t="s">
        <v>1744</v>
      </c>
      <c r="D179" s="144" t="s">
        <v>3551</v>
      </c>
      <c r="E179" s="140" t="s">
        <v>3514</v>
      </c>
      <c r="F179" s="144" t="s">
        <v>36</v>
      </c>
      <c r="G179" s="144"/>
      <c r="H179" s="144"/>
      <c r="I179" s="145">
        <v>42272</v>
      </c>
      <c r="J179" s="144" t="s">
        <v>36</v>
      </c>
      <c r="K179" s="144" t="s">
        <v>154</v>
      </c>
      <c r="L179" s="144" t="s">
        <v>2566</v>
      </c>
      <c r="M179" s="144" t="s">
        <v>2567</v>
      </c>
      <c r="N179" s="144" t="s">
        <v>2668</v>
      </c>
      <c r="O179" s="144" t="s">
        <v>2600</v>
      </c>
      <c r="P179" s="144" t="s">
        <v>2735</v>
      </c>
      <c r="Q179" s="144" t="s">
        <v>3517</v>
      </c>
      <c r="R179" s="140" t="s">
        <v>917</v>
      </c>
      <c r="S179" s="140">
        <v>3.8600000000000002E-2</v>
      </c>
      <c r="T179" s="144">
        <v>3.5361290322580646E-2</v>
      </c>
      <c r="U179" s="144">
        <f t="shared" si="2"/>
        <v>3.2387096774193561E-3</v>
      </c>
      <c r="V179" s="140">
        <v>2.17</v>
      </c>
      <c r="W179" s="140">
        <v>10.147</v>
      </c>
      <c r="X179" s="144"/>
    </row>
    <row r="180" spans="2:24" ht="16">
      <c r="B180" s="148" t="s">
        <v>3480</v>
      </c>
      <c r="C180" s="144" t="s">
        <v>1744</v>
      </c>
      <c r="D180" s="144" t="s">
        <v>3551</v>
      </c>
      <c r="E180" s="140" t="s">
        <v>3228</v>
      </c>
      <c r="F180" s="144" t="s">
        <v>36</v>
      </c>
      <c r="G180" s="144"/>
      <c r="H180" s="144"/>
      <c r="I180" s="145">
        <v>42273</v>
      </c>
      <c r="J180" s="144" t="s">
        <v>36</v>
      </c>
      <c r="K180" s="144" t="s">
        <v>154</v>
      </c>
      <c r="L180" s="144" t="s">
        <v>2566</v>
      </c>
      <c r="M180" s="144" t="s">
        <v>2567</v>
      </c>
      <c r="N180" s="144" t="s">
        <v>2668</v>
      </c>
      <c r="O180" s="144" t="s">
        <v>2600</v>
      </c>
      <c r="P180" s="144" t="s">
        <v>2735</v>
      </c>
      <c r="Q180" s="144" t="s">
        <v>3517</v>
      </c>
      <c r="R180" s="140" t="s">
        <v>917</v>
      </c>
      <c r="S180" s="140">
        <v>4.0399999999999998E-2</v>
      </c>
      <c r="T180" s="144">
        <v>3.5361290322580646E-2</v>
      </c>
      <c r="U180" s="144">
        <f t="shared" si="2"/>
        <v>5.0387096774193521E-3</v>
      </c>
      <c r="V180" s="140">
        <v>2.6120000000000001</v>
      </c>
      <c r="W180" s="140">
        <v>11.196999999999999</v>
      </c>
      <c r="X180" s="144"/>
    </row>
    <row r="181" spans="2:24" ht="16">
      <c r="B181" s="148" t="s">
        <v>3481</v>
      </c>
      <c r="C181" s="144" t="s">
        <v>1744</v>
      </c>
      <c r="D181" s="144" t="s">
        <v>3551</v>
      </c>
      <c r="E181" s="140" t="s">
        <v>3529</v>
      </c>
      <c r="F181" s="144">
        <v>730</v>
      </c>
      <c r="G181" s="144"/>
      <c r="H181" s="144"/>
      <c r="I181" s="145">
        <v>42274</v>
      </c>
      <c r="J181" s="144" t="s">
        <v>36</v>
      </c>
      <c r="K181" s="144" t="s">
        <v>154</v>
      </c>
      <c r="L181" s="144" t="s">
        <v>2566</v>
      </c>
      <c r="M181" s="144" t="s">
        <v>2567</v>
      </c>
      <c r="N181" s="144" t="s">
        <v>2668</v>
      </c>
      <c r="O181" s="144" t="s">
        <v>2600</v>
      </c>
      <c r="P181" s="144" t="s">
        <v>2735</v>
      </c>
      <c r="Q181" s="144" t="s">
        <v>3517</v>
      </c>
      <c r="R181" s="140" t="s">
        <v>917</v>
      </c>
      <c r="S181" s="140">
        <v>3.9300000000000002E-2</v>
      </c>
      <c r="T181" s="144">
        <v>3.5361290322580646E-2</v>
      </c>
      <c r="U181" s="144">
        <f t="shared" si="2"/>
        <v>3.9387096774193553E-3</v>
      </c>
      <c r="V181" s="140">
        <v>2.2629999999999999</v>
      </c>
      <c r="W181" s="144">
        <f>5.085+6.901</f>
        <v>11.986000000000001</v>
      </c>
      <c r="X181" s="144"/>
    </row>
    <row r="182" spans="2:24" s="133" customFormat="1" ht="16">
      <c r="B182" s="148" t="s">
        <v>3482</v>
      </c>
      <c r="C182" s="144" t="s">
        <v>1744</v>
      </c>
      <c r="D182" s="144" t="s">
        <v>3551</v>
      </c>
      <c r="E182" s="144" t="s">
        <v>3530</v>
      </c>
      <c r="F182" s="144">
        <v>156</v>
      </c>
      <c r="G182" s="144"/>
      <c r="H182" s="144"/>
      <c r="I182" s="145">
        <v>42275</v>
      </c>
      <c r="J182" s="144" t="s">
        <v>36</v>
      </c>
      <c r="K182" s="144" t="s">
        <v>154</v>
      </c>
      <c r="L182" s="144" t="s">
        <v>2566</v>
      </c>
      <c r="M182" s="144" t="s">
        <v>2567</v>
      </c>
      <c r="N182" s="144" t="s">
        <v>2668</v>
      </c>
      <c r="O182" s="144" t="s">
        <v>2600</v>
      </c>
      <c r="P182" s="144" t="s">
        <v>2735</v>
      </c>
      <c r="Q182" s="144" t="s">
        <v>2384</v>
      </c>
      <c r="R182" s="144" t="s">
        <v>917</v>
      </c>
      <c r="S182" s="144">
        <v>4.6600000000000003E-2</v>
      </c>
      <c r="T182" s="144">
        <v>3.5361290322580646E-2</v>
      </c>
      <c r="U182" s="144">
        <f t="shared" si="2"/>
        <v>1.1238709677419356E-2</v>
      </c>
      <c r="V182" s="144">
        <v>3.335</v>
      </c>
      <c r="W182" s="144">
        <f>7.197+8.473</f>
        <v>15.670000000000002</v>
      </c>
      <c r="X182" s="144"/>
    </row>
    <row r="183" spans="2:24" ht="16">
      <c r="B183" s="148" t="s">
        <v>3483</v>
      </c>
      <c r="C183" s="144" t="s">
        <v>1744</v>
      </c>
      <c r="D183" s="144" t="s">
        <v>3551</v>
      </c>
      <c r="E183" s="140" t="s">
        <v>3531</v>
      </c>
      <c r="F183" s="140">
        <v>428</v>
      </c>
      <c r="G183" s="144"/>
      <c r="H183" s="144"/>
      <c r="I183" s="145">
        <v>42276</v>
      </c>
      <c r="J183" s="144" t="s">
        <v>36</v>
      </c>
      <c r="K183" s="144" t="s">
        <v>154</v>
      </c>
      <c r="L183" s="144" t="s">
        <v>2566</v>
      </c>
      <c r="M183" s="144" t="s">
        <v>2567</v>
      </c>
      <c r="N183" s="144" t="s">
        <v>2668</v>
      </c>
      <c r="O183" s="144" t="s">
        <v>2600</v>
      </c>
      <c r="P183" s="144" t="s">
        <v>2735</v>
      </c>
      <c r="Q183" s="144" t="s">
        <v>2384</v>
      </c>
      <c r="R183" s="140" t="s">
        <v>946</v>
      </c>
      <c r="S183" s="140">
        <v>4.2799999999999998E-2</v>
      </c>
      <c r="T183" s="144">
        <v>3.5361290322580646E-2</v>
      </c>
      <c r="U183" s="144">
        <f t="shared" si="2"/>
        <v>7.4387096774193515E-3</v>
      </c>
      <c r="V183" s="140">
        <v>3.0550000000000002</v>
      </c>
      <c r="W183" s="144">
        <f>5.083+1.739+6.3</f>
        <v>13.122</v>
      </c>
      <c r="X183" s="144"/>
    </row>
    <row r="184" spans="2:24" ht="16">
      <c r="B184" s="148" t="s">
        <v>3484</v>
      </c>
      <c r="C184" s="144" t="s">
        <v>1744</v>
      </c>
      <c r="D184" s="144" t="s">
        <v>3551</v>
      </c>
      <c r="E184" s="140" t="s">
        <v>3532</v>
      </c>
      <c r="F184" s="144" t="s">
        <v>36</v>
      </c>
      <c r="G184" s="144"/>
      <c r="H184" s="144"/>
      <c r="I184" s="145">
        <v>42277</v>
      </c>
      <c r="J184" s="144" t="s">
        <v>36</v>
      </c>
      <c r="K184" s="144" t="s">
        <v>154</v>
      </c>
      <c r="L184" s="144" t="s">
        <v>2566</v>
      </c>
      <c r="M184" s="144" t="s">
        <v>2567</v>
      </c>
      <c r="N184" s="144" t="s">
        <v>2668</v>
      </c>
      <c r="O184" s="144" t="s">
        <v>2600</v>
      </c>
      <c r="P184" s="144" t="s">
        <v>2735</v>
      </c>
      <c r="Q184" s="144" t="s">
        <v>2384</v>
      </c>
      <c r="R184" s="140" t="s">
        <v>917</v>
      </c>
      <c r="S184" s="140">
        <v>4.82E-2</v>
      </c>
      <c r="T184" s="144">
        <v>3.5361290322580646E-2</v>
      </c>
      <c r="U184" s="144">
        <f t="shared" si="2"/>
        <v>1.2838709677419353E-2</v>
      </c>
      <c r="V184" s="140">
        <v>3.3860000000000001</v>
      </c>
      <c r="W184" s="144">
        <f>7.909+8.116</f>
        <v>16.024999999999999</v>
      </c>
      <c r="X184" s="144"/>
    </row>
    <row r="185" spans="2:24" ht="16">
      <c r="B185" s="148" t="s">
        <v>3485</v>
      </c>
      <c r="C185" s="144" t="s">
        <v>1744</v>
      </c>
      <c r="D185" s="144" t="s">
        <v>3551</v>
      </c>
      <c r="E185" s="140" t="s">
        <v>3198</v>
      </c>
      <c r="F185" s="144">
        <v>328</v>
      </c>
      <c r="G185" s="144"/>
      <c r="H185" s="144"/>
      <c r="I185" s="145">
        <v>42278</v>
      </c>
      <c r="J185" s="144" t="s">
        <v>36</v>
      </c>
      <c r="K185" s="144" t="s">
        <v>154</v>
      </c>
      <c r="L185" s="144" t="s">
        <v>2566</v>
      </c>
      <c r="M185" s="144" t="s">
        <v>2567</v>
      </c>
      <c r="N185" s="144" t="s">
        <v>2668</v>
      </c>
      <c r="O185" s="144" t="s">
        <v>2600</v>
      </c>
      <c r="P185" s="144" t="s">
        <v>2735</v>
      </c>
      <c r="Q185" s="144" t="s">
        <v>2384</v>
      </c>
      <c r="R185" s="140" t="s">
        <v>917</v>
      </c>
      <c r="S185" s="140">
        <v>5.0799999999999998E-2</v>
      </c>
      <c r="T185" s="144">
        <v>3.5361290322580646E-2</v>
      </c>
      <c r="U185" s="144">
        <f t="shared" si="2"/>
        <v>1.5438709677419352E-2</v>
      </c>
      <c r="V185" s="140">
        <v>3.4609999999999999</v>
      </c>
      <c r="W185" s="144">
        <f>7.331+7.739</f>
        <v>15.07</v>
      </c>
      <c r="X185" s="144"/>
    </row>
    <row r="186" spans="2:24" ht="16">
      <c r="B186" s="148" t="s">
        <v>3486</v>
      </c>
      <c r="C186" s="144" t="s">
        <v>1744</v>
      </c>
      <c r="D186" s="144" t="s">
        <v>3551</v>
      </c>
      <c r="E186" s="144" t="s">
        <v>3533</v>
      </c>
      <c r="F186" s="144">
        <v>335</v>
      </c>
      <c r="G186" s="144"/>
      <c r="H186" s="144"/>
      <c r="I186" s="145">
        <v>42279</v>
      </c>
      <c r="J186" s="144" t="s">
        <v>36</v>
      </c>
      <c r="K186" s="144" t="s">
        <v>154</v>
      </c>
      <c r="L186" s="144" t="s">
        <v>2566</v>
      </c>
      <c r="M186" s="144" t="s">
        <v>2567</v>
      </c>
      <c r="N186" s="144" t="s">
        <v>2668</v>
      </c>
      <c r="O186" s="144" t="s">
        <v>2600</v>
      </c>
      <c r="P186" s="144" t="s">
        <v>2735</v>
      </c>
      <c r="Q186" s="144" t="s">
        <v>2384</v>
      </c>
      <c r="R186" s="140" t="s">
        <v>917</v>
      </c>
      <c r="S186" s="140">
        <v>4.3999999999999997E-2</v>
      </c>
      <c r="T186" s="144">
        <v>3.5361290322580646E-2</v>
      </c>
      <c r="U186" s="144">
        <f t="shared" si="2"/>
        <v>8.6387096774193511E-3</v>
      </c>
      <c r="V186" s="140">
        <v>3.1080000000000001</v>
      </c>
      <c r="W186" s="144">
        <f>6.886+6.999</f>
        <v>13.885</v>
      </c>
      <c r="X186" s="144"/>
    </row>
    <row r="187" spans="2:24" ht="16">
      <c r="B187" s="148" t="s">
        <v>3487</v>
      </c>
      <c r="C187" s="144" t="s">
        <v>1744</v>
      </c>
      <c r="D187" s="144" t="s">
        <v>3551</v>
      </c>
      <c r="E187" s="144" t="s">
        <v>3534</v>
      </c>
      <c r="F187" s="144">
        <v>102</v>
      </c>
      <c r="G187" s="144"/>
      <c r="H187" s="144"/>
      <c r="I187" s="145">
        <v>42280</v>
      </c>
      <c r="J187" s="144" t="s">
        <v>36</v>
      </c>
      <c r="K187" s="144" t="s">
        <v>154</v>
      </c>
      <c r="L187" s="144" t="s">
        <v>2566</v>
      </c>
      <c r="M187" s="144" t="s">
        <v>2567</v>
      </c>
      <c r="N187" s="144" t="s">
        <v>2668</v>
      </c>
      <c r="O187" s="144" t="s">
        <v>2600</v>
      </c>
      <c r="P187" s="144" t="s">
        <v>2735</v>
      </c>
      <c r="Q187" s="144" t="s">
        <v>2384</v>
      </c>
      <c r="R187" s="140" t="s">
        <v>917</v>
      </c>
      <c r="S187" s="140">
        <v>4.2500000000000003E-2</v>
      </c>
      <c r="T187" s="144">
        <v>3.5361290322580646E-2</v>
      </c>
      <c r="U187" s="144">
        <f t="shared" si="2"/>
        <v>7.1387096774193567E-3</v>
      </c>
      <c r="V187" s="140">
        <v>3</v>
      </c>
      <c r="W187" s="144">
        <f>6.918+7.025</f>
        <v>13.943000000000001</v>
      </c>
      <c r="X187" s="144"/>
    </row>
    <row r="188" spans="2:24" ht="16">
      <c r="B188" s="148" t="s">
        <v>3488</v>
      </c>
      <c r="C188" s="144" t="s">
        <v>1744</v>
      </c>
      <c r="D188" s="144" t="s">
        <v>3551</v>
      </c>
      <c r="E188" s="144" t="s">
        <v>3535</v>
      </c>
      <c r="F188" s="144">
        <v>157</v>
      </c>
      <c r="G188" s="144"/>
      <c r="H188" s="144"/>
      <c r="I188" s="145">
        <v>42281</v>
      </c>
      <c r="J188" s="144" t="s">
        <v>36</v>
      </c>
      <c r="K188" s="144" t="s">
        <v>154</v>
      </c>
      <c r="L188" s="144" t="s">
        <v>2566</v>
      </c>
      <c r="M188" s="144" t="s">
        <v>2567</v>
      </c>
      <c r="N188" s="144" t="s">
        <v>2668</v>
      </c>
      <c r="O188" s="144" t="s">
        <v>2600</v>
      </c>
      <c r="P188" s="144" t="s">
        <v>2735</v>
      </c>
      <c r="Q188" s="144" t="s">
        <v>2384</v>
      </c>
      <c r="R188" s="140" t="s">
        <v>917</v>
      </c>
      <c r="S188" s="140">
        <v>4.6100000000000002E-2</v>
      </c>
      <c r="T188" s="144">
        <v>3.5361290322580646E-2</v>
      </c>
      <c r="U188" s="144">
        <f t="shared" si="2"/>
        <v>1.0738709677419356E-2</v>
      </c>
      <c r="V188" s="140">
        <v>3.2919999999999998</v>
      </c>
      <c r="W188" s="144">
        <f>8.01+6.793</f>
        <v>14.803000000000001</v>
      </c>
      <c r="X188" s="144"/>
    </row>
    <row r="189" spans="2:24" ht="16">
      <c r="B189" s="148" t="s">
        <v>3489</v>
      </c>
      <c r="C189" s="144" t="s">
        <v>1744</v>
      </c>
      <c r="D189" s="144" t="s">
        <v>3551</v>
      </c>
      <c r="E189" s="144" t="s">
        <v>3536</v>
      </c>
      <c r="F189" s="144">
        <v>345</v>
      </c>
      <c r="G189" s="144"/>
      <c r="H189" s="144"/>
      <c r="I189" s="145">
        <v>42282</v>
      </c>
      <c r="J189" s="144" t="s">
        <v>36</v>
      </c>
      <c r="K189" s="144" t="s">
        <v>154</v>
      </c>
      <c r="L189" s="144" t="s">
        <v>2566</v>
      </c>
      <c r="M189" s="144" t="s">
        <v>2567</v>
      </c>
      <c r="N189" s="144" t="s">
        <v>2668</v>
      </c>
      <c r="O189" s="144" t="s">
        <v>2600</v>
      </c>
      <c r="P189" s="144" t="s">
        <v>2735</v>
      </c>
      <c r="Q189" s="144" t="s">
        <v>2384</v>
      </c>
      <c r="R189" s="140" t="s">
        <v>917</v>
      </c>
      <c r="S189" s="140">
        <v>4.5999999999999999E-2</v>
      </c>
      <c r="T189" s="144">
        <v>3.5361290322580646E-2</v>
      </c>
      <c r="U189" s="144">
        <f t="shared" si="2"/>
        <v>1.0638709677419353E-2</v>
      </c>
      <c r="V189" s="140">
        <v>3.2930000000000001</v>
      </c>
      <c r="W189" s="144">
        <f>7.128+6.7</f>
        <v>13.827999999999999</v>
      </c>
      <c r="X189" s="144"/>
    </row>
    <row r="190" spans="2:24" ht="16">
      <c r="B190" s="148" t="s">
        <v>3490</v>
      </c>
      <c r="C190" s="144" t="s">
        <v>1744</v>
      </c>
      <c r="D190" s="144" t="s">
        <v>3551</v>
      </c>
      <c r="E190" s="144" t="s">
        <v>3227</v>
      </c>
      <c r="F190" s="144">
        <v>1</v>
      </c>
      <c r="G190" s="144"/>
      <c r="H190" s="144"/>
      <c r="I190" s="145">
        <v>42283</v>
      </c>
      <c r="J190" s="144" t="s">
        <v>36</v>
      </c>
      <c r="K190" s="144" t="s">
        <v>154</v>
      </c>
      <c r="L190" s="144" t="s">
        <v>2566</v>
      </c>
      <c r="M190" s="144" t="s">
        <v>2567</v>
      </c>
      <c r="N190" s="144" t="s">
        <v>2668</v>
      </c>
      <c r="O190" s="144" t="s">
        <v>2600</v>
      </c>
      <c r="P190" s="144" t="s">
        <v>2735</v>
      </c>
      <c r="Q190" s="144" t="s">
        <v>2384</v>
      </c>
      <c r="R190" s="140" t="s">
        <v>917</v>
      </c>
      <c r="S190" s="140">
        <v>4.4900000000000002E-2</v>
      </c>
      <c r="T190" s="144">
        <v>3.5361290322580646E-2</v>
      </c>
      <c r="U190" s="144">
        <f t="shared" si="2"/>
        <v>9.5387096774193561E-3</v>
      </c>
      <c r="V190" s="140">
        <v>3.2650000000000001</v>
      </c>
      <c r="W190" s="140">
        <v>13.991</v>
      </c>
      <c r="X190" s="144"/>
    </row>
    <row r="191" spans="2:24" ht="16">
      <c r="B191" s="148" t="s">
        <v>3491</v>
      </c>
      <c r="C191" s="144" t="s">
        <v>1744</v>
      </c>
      <c r="D191" s="144" t="s">
        <v>3551</v>
      </c>
      <c r="E191" s="144" t="s">
        <v>3419</v>
      </c>
      <c r="F191" s="144">
        <v>51</v>
      </c>
      <c r="G191" s="144"/>
      <c r="H191" s="144"/>
      <c r="I191" s="145">
        <v>42284</v>
      </c>
      <c r="J191" s="144" t="s">
        <v>36</v>
      </c>
      <c r="K191" s="144" t="s">
        <v>154</v>
      </c>
      <c r="L191" s="144" t="s">
        <v>2566</v>
      </c>
      <c r="M191" s="144" t="s">
        <v>2567</v>
      </c>
      <c r="N191" s="144" t="s">
        <v>2668</v>
      </c>
      <c r="O191" s="144" t="s">
        <v>2600</v>
      </c>
      <c r="P191" s="144" t="s">
        <v>2735</v>
      </c>
      <c r="Q191" s="144" t="s">
        <v>2384</v>
      </c>
      <c r="R191" s="140" t="s">
        <v>917</v>
      </c>
      <c r="S191" s="140">
        <v>4.3499999999999997E-2</v>
      </c>
      <c r="T191" s="144">
        <v>3.5361290322580646E-2</v>
      </c>
      <c r="U191" s="144">
        <f t="shared" si="2"/>
        <v>8.1387096774193507E-3</v>
      </c>
      <c r="V191" s="140">
        <v>3.3370000000000002</v>
      </c>
      <c r="W191" s="144">
        <f>7.74+7.54</f>
        <v>15.280000000000001</v>
      </c>
      <c r="X191" s="144"/>
    </row>
    <row r="192" spans="2:24" ht="16">
      <c r="B192" s="148" t="s">
        <v>3492</v>
      </c>
      <c r="C192" s="144" t="s">
        <v>1744</v>
      </c>
      <c r="D192" s="144" t="s">
        <v>3551</v>
      </c>
      <c r="E192" s="144" t="s">
        <v>3511</v>
      </c>
      <c r="F192" s="144">
        <v>649</v>
      </c>
      <c r="G192" s="144"/>
      <c r="H192" s="144"/>
      <c r="I192" s="145">
        <v>42285</v>
      </c>
      <c r="J192" s="144" t="s">
        <v>36</v>
      </c>
      <c r="K192" s="144" t="s">
        <v>154</v>
      </c>
      <c r="L192" s="144" t="s">
        <v>2566</v>
      </c>
      <c r="M192" s="144" t="s">
        <v>2567</v>
      </c>
      <c r="N192" s="144" t="s">
        <v>2668</v>
      </c>
      <c r="O192" s="144" t="s">
        <v>2600</v>
      </c>
      <c r="P192" s="144" t="s">
        <v>2735</v>
      </c>
      <c r="Q192" s="144" t="s">
        <v>2384</v>
      </c>
      <c r="R192" s="140" t="s">
        <v>946</v>
      </c>
      <c r="S192" s="140">
        <v>4.5499999999999999E-2</v>
      </c>
      <c r="T192" s="144">
        <v>3.5361290322580646E-2</v>
      </c>
      <c r="U192" s="144">
        <f t="shared" si="2"/>
        <v>1.0138709677419352E-2</v>
      </c>
      <c r="V192" s="140">
        <v>3.3279999999999998</v>
      </c>
      <c r="W192" s="144">
        <f>6.821+7.752</f>
        <v>14.573</v>
      </c>
      <c r="X192" s="144"/>
    </row>
    <row r="193" spans="1:24" ht="16">
      <c r="B193" s="148" t="s">
        <v>3493</v>
      </c>
      <c r="C193" s="144" t="s">
        <v>1744</v>
      </c>
      <c r="D193" s="144" t="s">
        <v>3551</v>
      </c>
      <c r="E193" s="144" t="s">
        <v>3537</v>
      </c>
      <c r="F193" s="144">
        <v>417</v>
      </c>
      <c r="G193" s="144"/>
      <c r="H193" s="144"/>
      <c r="I193" s="145">
        <v>42286</v>
      </c>
      <c r="J193" s="144" t="s">
        <v>36</v>
      </c>
      <c r="K193" s="144" t="s">
        <v>154</v>
      </c>
      <c r="L193" s="144" t="s">
        <v>2566</v>
      </c>
      <c r="M193" s="144" t="s">
        <v>2567</v>
      </c>
      <c r="N193" s="144" t="s">
        <v>2668</v>
      </c>
      <c r="O193" s="144" t="s">
        <v>2600</v>
      </c>
      <c r="P193" s="144" t="s">
        <v>2735</v>
      </c>
      <c r="Q193" s="144" t="s">
        <v>2384</v>
      </c>
      <c r="R193" s="140" t="s">
        <v>946</v>
      </c>
      <c r="S193" s="140">
        <v>4.1399999999999999E-2</v>
      </c>
      <c r="T193" s="144">
        <v>3.5361290322580646E-2</v>
      </c>
      <c r="U193" s="144">
        <f t="shared" si="2"/>
        <v>6.038709677419353E-3</v>
      </c>
      <c r="V193" s="140">
        <v>2.7349999999999999</v>
      </c>
      <c r="W193" s="144">
        <f>5.787+7.419</f>
        <v>13.206</v>
      </c>
      <c r="X193" s="144"/>
    </row>
    <row r="194" spans="1:24" ht="16">
      <c r="B194" s="148" t="s">
        <v>3494</v>
      </c>
      <c r="C194" s="144" t="s">
        <v>1744</v>
      </c>
      <c r="D194" s="144" t="s">
        <v>3551</v>
      </c>
      <c r="E194" s="144" t="s">
        <v>3538</v>
      </c>
      <c r="F194" s="144">
        <v>257</v>
      </c>
      <c r="G194" s="144"/>
      <c r="H194" s="144"/>
      <c r="I194" s="145">
        <v>42287</v>
      </c>
      <c r="J194" s="144" t="s">
        <v>36</v>
      </c>
      <c r="K194" s="144" t="s">
        <v>154</v>
      </c>
      <c r="L194" s="144" t="s">
        <v>2566</v>
      </c>
      <c r="M194" s="144" t="s">
        <v>2567</v>
      </c>
      <c r="N194" s="144" t="s">
        <v>2668</v>
      </c>
      <c r="O194" s="144" t="s">
        <v>2600</v>
      </c>
      <c r="P194" s="144" t="s">
        <v>2735</v>
      </c>
      <c r="Q194" s="144" t="s">
        <v>2384</v>
      </c>
      <c r="R194" s="140" t="s">
        <v>946</v>
      </c>
      <c r="S194" s="140">
        <v>4.24E-2</v>
      </c>
      <c r="T194" s="144">
        <v>3.5361290322580646E-2</v>
      </c>
      <c r="U194" s="144">
        <f t="shared" si="2"/>
        <v>7.0387096774193539E-3</v>
      </c>
      <c r="V194" s="140">
        <v>2.8119999999999998</v>
      </c>
      <c r="W194" s="144">
        <f>6.502+6.671</f>
        <v>13.173</v>
      </c>
      <c r="X194" s="144"/>
    </row>
    <row r="195" spans="1:24" ht="16">
      <c r="B195" s="148" t="s">
        <v>3495</v>
      </c>
      <c r="C195" s="144" t="s">
        <v>1744</v>
      </c>
      <c r="D195" s="144" t="s">
        <v>3551</v>
      </c>
      <c r="E195" s="144" t="s">
        <v>3353</v>
      </c>
      <c r="F195" s="144">
        <v>329</v>
      </c>
      <c r="G195" s="144"/>
      <c r="H195" s="144"/>
      <c r="I195" s="145">
        <v>42288</v>
      </c>
      <c r="J195" s="144" t="s">
        <v>36</v>
      </c>
      <c r="K195" s="144" t="s">
        <v>154</v>
      </c>
      <c r="L195" s="144" t="s">
        <v>2566</v>
      </c>
      <c r="M195" s="144" t="s">
        <v>2567</v>
      </c>
      <c r="N195" s="144" t="s">
        <v>2668</v>
      </c>
      <c r="O195" s="144" t="s">
        <v>2600</v>
      </c>
      <c r="P195" s="144" t="s">
        <v>2735</v>
      </c>
      <c r="Q195" s="144" t="s">
        <v>2384</v>
      </c>
      <c r="R195" s="140" t="s">
        <v>917</v>
      </c>
      <c r="S195" s="140">
        <v>4.3400000000000001E-2</v>
      </c>
      <c r="T195" s="144">
        <v>3.5361290322580646E-2</v>
      </c>
      <c r="U195" s="144">
        <f t="shared" ref="U195:U200" si="3">S195-T195</f>
        <v>8.0387096774193548E-3</v>
      </c>
      <c r="V195" s="140">
        <v>3.1459999999999999</v>
      </c>
      <c r="W195" s="144">
        <f>7.141+6.914</f>
        <v>14.055</v>
      </c>
      <c r="X195" s="144"/>
    </row>
    <row r="196" spans="1:24" ht="16">
      <c r="B196" s="148" t="s">
        <v>3496</v>
      </c>
      <c r="C196" s="144" t="s">
        <v>1744</v>
      </c>
      <c r="D196" s="144" t="s">
        <v>3551</v>
      </c>
      <c r="E196" s="144" t="s">
        <v>3539</v>
      </c>
      <c r="F196" s="144">
        <v>370</v>
      </c>
      <c r="G196" s="144"/>
      <c r="H196" s="144"/>
      <c r="I196" s="145">
        <v>42289</v>
      </c>
      <c r="J196" s="144" t="s">
        <v>36</v>
      </c>
      <c r="K196" s="144" t="s">
        <v>154</v>
      </c>
      <c r="L196" s="144" t="s">
        <v>2566</v>
      </c>
      <c r="M196" s="144" t="s">
        <v>2567</v>
      </c>
      <c r="N196" s="144" t="s">
        <v>2668</v>
      </c>
      <c r="O196" s="144" t="s">
        <v>2600</v>
      </c>
      <c r="P196" s="144" t="s">
        <v>2735</v>
      </c>
      <c r="Q196" s="144" t="s">
        <v>2384</v>
      </c>
      <c r="R196" s="140" t="s">
        <v>917</v>
      </c>
      <c r="S196" s="140">
        <v>4.4400000000000002E-2</v>
      </c>
      <c r="T196" s="144">
        <v>3.5361290322580646E-2</v>
      </c>
      <c r="U196" s="144">
        <f t="shared" si="3"/>
        <v>9.0387096774193557E-3</v>
      </c>
      <c r="V196" s="140">
        <v>3.1589999999999998</v>
      </c>
      <c r="W196" s="144">
        <f>6.952+7.285</f>
        <v>14.237</v>
      </c>
      <c r="X196" s="144"/>
    </row>
    <row r="197" spans="1:24" ht="16">
      <c r="B197" s="148" t="s">
        <v>3497</v>
      </c>
      <c r="C197" s="144" t="s">
        <v>1744</v>
      </c>
      <c r="D197" s="144" t="s">
        <v>3551</v>
      </c>
      <c r="E197" s="144" t="s">
        <v>3540</v>
      </c>
      <c r="F197" s="144">
        <v>746</v>
      </c>
      <c r="G197" s="144"/>
      <c r="H197" s="144"/>
      <c r="I197" s="145">
        <v>42290</v>
      </c>
      <c r="J197" s="144" t="s">
        <v>36</v>
      </c>
      <c r="K197" s="144" t="s">
        <v>154</v>
      </c>
      <c r="L197" s="144" t="s">
        <v>2566</v>
      </c>
      <c r="M197" s="144" t="s">
        <v>2567</v>
      </c>
      <c r="N197" s="144" t="s">
        <v>2668</v>
      </c>
      <c r="O197" s="144" t="s">
        <v>2600</v>
      </c>
      <c r="P197" s="144" t="s">
        <v>2735</v>
      </c>
      <c r="Q197" s="144" t="s">
        <v>2384</v>
      </c>
      <c r="R197" s="140" t="s">
        <v>917</v>
      </c>
      <c r="S197" s="140">
        <v>4.5699999999999998E-2</v>
      </c>
      <c r="T197" s="144">
        <v>3.5361290322580646E-2</v>
      </c>
      <c r="U197" s="144">
        <f t="shared" si="3"/>
        <v>1.0338709677419351E-2</v>
      </c>
      <c r="V197" s="140">
        <v>3.2850000000000001</v>
      </c>
      <c r="W197" s="144">
        <f>7.175+7.881</f>
        <v>15.056000000000001</v>
      </c>
      <c r="X197" s="144"/>
    </row>
    <row r="198" spans="1:24" ht="16">
      <c r="B198" s="148" t="s">
        <v>3498</v>
      </c>
      <c r="C198" s="144" t="s">
        <v>1744</v>
      </c>
      <c r="D198" s="144" t="s">
        <v>3551</v>
      </c>
      <c r="E198" s="144" t="s">
        <v>3541</v>
      </c>
      <c r="F198" s="144">
        <v>126</v>
      </c>
      <c r="G198" s="144"/>
      <c r="H198" s="144"/>
      <c r="I198" s="145">
        <v>42291</v>
      </c>
      <c r="J198" s="144" t="s">
        <v>36</v>
      </c>
      <c r="K198" s="144" t="s">
        <v>154</v>
      </c>
      <c r="L198" s="144" t="s">
        <v>2566</v>
      </c>
      <c r="M198" s="144" t="s">
        <v>2567</v>
      </c>
      <c r="N198" s="144" t="s">
        <v>2668</v>
      </c>
      <c r="O198" s="144" t="s">
        <v>2600</v>
      </c>
      <c r="P198" s="144" t="s">
        <v>2735</v>
      </c>
      <c r="Q198" s="144" t="s">
        <v>2384</v>
      </c>
      <c r="R198" s="140" t="s">
        <v>917</v>
      </c>
      <c r="S198" s="140">
        <v>4.65E-2</v>
      </c>
      <c r="T198" s="144">
        <v>3.5361290322580646E-2</v>
      </c>
      <c r="U198" s="144">
        <f t="shared" si="3"/>
        <v>1.1138709677419353E-2</v>
      </c>
      <c r="V198" s="140">
        <v>3.4820000000000002</v>
      </c>
      <c r="W198" s="144">
        <f>7.156+8.963</f>
        <v>16.119</v>
      </c>
      <c r="X198" s="144"/>
    </row>
    <row r="199" spans="1:24" ht="16">
      <c r="B199" s="148" t="s">
        <v>3499</v>
      </c>
      <c r="C199" s="144" t="s">
        <v>1744</v>
      </c>
      <c r="D199" s="144" t="s">
        <v>3551</v>
      </c>
      <c r="E199" s="144" t="s">
        <v>3542</v>
      </c>
      <c r="F199" s="144" t="s">
        <v>36</v>
      </c>
      <c r="G199" s="144"/>
      <c r="H199" s="144"/>
      <c r="I199" s="145">
        <v>42292</v>
      </c>
      <c r="J199" s="144" t="s">
        <v>36</v>
      </c>
      <c r="K199" s="144" t="s">
        <v>154</v>
      </c>
      <c r="L199" s="144" t="s">
        <v>2566</v>
      </c>
      <c r="M199" s="144" t="s">
        <v>2567</v>
      </c>
      <c r="N199" s="144" t="s">
        <v>2668</v>
      </c>
      <c r="O199" s="144" t="s">
        <v>2600</v>
      </c>
      <c r="P199" s="144" t="s">
        <v>2735</v>
      </c>
      <c r="Q199" s="144" t="s">
        <v>2384</v>
      </c>
      <c r="R199" s="140" t="s">
        <v>917</v>
      </c>
      <c r="S199" s="140">
        <v>4.6699999999999998E-2</v>
      </c>
      <c r="T199" s="144">
        <v>3.5361290322580646E-2</v>
      </c>
      <c r="U199" s="144">
        <f t="shared" si="3"/>
        <v>1.1338709677419352E-2</v>
      </c>
      <c r="V199" s="140">
        <v>3.44</v>
      </c>
      <c r="W199" s="144">
        <f>7.724+7.049</f>
        <v>14.773</v>
      </c>
      <c r="X199" s="144"/>
    </row>
    <row r="200" spans="1:24" s="134" customFormat="1" ht="16">
      <c r="B200" s="148" t="s">
        <v>3500</v>
      </c>
      <c r="C200" s="144" t="s">
        <v>1744</v>
      </c>
      <c r="D200" s="144" t="s">
        <v>3551</v>
      </c>
      <c r="E200" s="144" t="s">
        <v>3542</v>
      </c>
      <c r="F200" s="144" t="s">
        <v>36</v>
      </c>
      <c r="G200" s="144"/>
      <c r="H200" s="144"/>
      <c r="I200" s="145">
        <v>42293</v>
      </c>
      <c r="J200" s="144" t="s">
        <v>36</v>
      </c>
      <c r="K200" s="144" t="s">
        <v>154</v>
      </c>
      <c r="L200" s="144" t="s">
        <v>2566</v>
      </c>
      <c r="M200" s="144" t="s">
        <v>2567</v>
      </c>
      <c r="N200" s="144" t="s">
        <v>2668</v>
      </c>
      <c r="O200" s="144" t="s">
        <v>2600</v>
      </c>
      <c r="P200" s="144" t="s">
        <v>2735</v>
      </c>
      <c r="Q200" s="144" t="s">
        <v>2384</v>
      </c>
      <c r="R200" s="144" t="s">
        <v>917</v>
      </c>
      <c r="S200" s="144">
        <v>4.53E-2</v>
      </c>
      <c r="T200" s="144">
        <v>3.5361290322580646E-2</v>
      </c>
      <c r="U200" s="144">
        <f t="shared" si="3"/>
        <v>9.9387096774193537E-3</v>
      </c>
      <c r="V200" s="144">
        <v>3.214</v>
      </c>
      <c r="W200" s="144">
        <f>7.041+8.07</f>
        <v>15.111000000000001</v>
      </c>
      <c r="X200" s="144"/>
    </row>
    <row r="201" spans="1:24" ht="21">
      <c r="A201" s="136"/>
    </row>
    <row r="202" spans="1:24" ht="21">
      <c r="A202" s="137"/>
    </row>
    <row r="203" spans="1:24" ht="21">
      <c r="A203" s="137"/>
    </row>
    <row r="204" spans="1:24" ht="21">
      <c r="A204" s="137"/>
    </row>
    <row r="205" spans="1:24" ht="21">
      <c r="A205" s="137"/>
    </row>
    <row r="206" spans="1:24" ht="21">
      <c r="A206" s="137"/>
    </row>
    <row r="207" spans="1:24" ht="21">
      <c r="A207" s="137"/>
    </row>
    <row r="208" spans="1:24" ht="21">
      <c r="A208" s="137"/>
    </row>
    <row r="209" spans="1:1" ht="21">
      <c r="A209" s="137"/>
    </row>
    <row r="210" spans="1:1" ht="21">
      <c r="A210" s="137"/>
    </row>
    <row r="211" spans="1:1" ht="21">
      <c r="A211" s="137"/>
    </row>
    <row r="212" spans="1:1" ht="21">
      <c r="A212" s="137"/>
    </row>
    <row r="213" spans="1:1" ht="21">
      <c r="A213" s="137"/>
    </row>
    <row r="214" spans="1:1" ht="21">
      <c r="A214" s="137"/>
    </row>
    <row r="215" spans="1:1" ht="21">
      <c r="A215" s="137"/>
    </row>
    <row r="216" spans="1:1" ht="21">
      <c r="A216" s="137"/>
    </row>
    <row r="217" spans="1:1" ht="21">
      <c r="A217" s="137"/>
    </row>
    <row r="218" spans="1:1" ht="21">
      <c r="A218" s="137"/>
    </row>
    <row r="219" spans="1:1" ht="21">
      <c r="A219" s="137"/>
    </row>
    <row r="220" spans="1:1" ht="21">
      <c r="A220" s="137"/>
    </row>
    <row r="221" spans="1:1" ht="21">
      <c r="A221" s="137"/>
    </row>
    <row r="222" spans="1:1" ht="21">
      <c r="A222" s="137"/>
    </row>
    <row r="223" spans="1:1" ht="21">
      <c r="A223" s="137"/>
    </row>
    <row r="224" spans="1:1" ht="21">
      <c r="A224" s="137"/>
    </row>
    <row r="225" spans="1:1" ht="21">
      <c r="A225" s="137"/>
    </row>
    <row r="226" spans="1:1" ht="21">
      <c r="A226" s="137"/>
    </row>
    <row r="227" spans="1:1" ht="21">
      <c r="A227" s="137"/>
    </row>
    <row r="228" spans="1:1" ht="21">
      <c r="A228" s="137"/>
    </row>
    <row r="229" spans="1:1" ht="21">
      <c r="A229" s="137"/>
    </row>
    <row r="230" spans="1:1" ht="21">
      <c r="A230" s="137"/>
    </row>
    <row r="231" spans="1:1" ht="21">
      <c r="A231" s="137"/>
    </row>
    <row r="232" spans="1:1" ht="21">
      <c r="A232" s="137"/>
    </row>
    <row r="233" spans="1:1" ht="21">
      <c r="A233" s="137"/>
    </row>
    <row r="234" spans="1:1" ht="21">
      <c r="A234" s="137"/>
    </row>
    <row r="235" spans="1:1" ht="21">
      <c r="A235" s="137"/>
    </row>
    <row r="236" spans="1:1" ht="21">
      <c r="A236" s="137"/>
    </row>
    <row r="237" spans="1:1" ht="21">
      <c r="A237" s="137"/>
    </row>
    <row r="238" spans="1:1" ht="21">
      <c r="A238" s="137"/>
    </row>
    <row r="239" spans="1:1" ht="21">
      <c r="A239" s="137"/>
    </row>
    <row r="240" spans="1:1" ht="21">
      <c r="A240" s="137"/>
    </row>
    <row r="241" spans="1:1" ht="21">
      <c r="A241" s="137"/>
    </row>
    <row r="242" spans="1:1" ht="21">
      <c r="A242" s="137"/>
    </row>
    <row r="243" spans="1:1" ht="21">
      <c r="A243" s="137"/>
    </row>
    <row r="244" spans="1:1" ht="21">
      <c r="A244" s="137"/>
    </row>
    <row r="245" spans="1:1" ht="21">
      <c r="A245" s="137"/>
    </row>
    <row r="246" spans="1:1" ht="21">
      <c r="A246" s="137"/>
    </row>
    <row r="247" spans="1:1" ht="21">
      <c r="A247" s="137"/>
    </row>
    <row r="248" spans="1:1" ht="21">
      <c r="A248" s="137"/>
    </row>
    <row r="249" spans="1:1" ht="21">
      <c r="A249" s="137"/>
    </row>
    <row r="250" spans="1:1" ht="21">
      <c r="A250" s="137"/>
    </row>
    <row r="251" spans="1:1" ht="21">
      <c r="A251" s="137"/>
    </row>
    <row r="252" spans="1:1" ht="21">
      <c r="A252" s="137"/>
    </row>
    <row r="253" spans="1:1" ht="21">
      <c r="A253" s="137"/>
    </row>
    <row r="254" spans="1:1" ht="21">
      <c r="A254" s="137"/>
    </row>
    <row r="255" spans="1:1" ht="21">
      <c r="A255" s="137"/>
    </row>
    <row r="256" spans="1:1" ht="21">
      <c r="A256" s="137"/>
    </row>
    <row r="257" spans="1:1" ht="21">
      <c r="A257" s="137"/>
    </row>
    <row r="258" spans="1:1" ht="21">
      <c r="A258" s="137"/>
    </row>
    <row r="259" spans="1:1" ht="21">
      <c r="A259" s="137"/>
    </row>
    <row r="260" spans="1:1" ht="21">
      <c r="A260" s="137"/>
    </row>
    <row r="261" spans="1:1" ht="21">
      <c r="A261" s="137"/>
    </row>
    <row r="262" spans="1:1" ht="21">
      <c r="A262" s="137"/>
    </row>
  </sheetData>
  <conditionalFormatting sqref="U1:U1048576">
    <cfRule type="cellIs" dxfId="10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Bees</vt:lpstr>
      <vt:lpstr>Hoverflies</vt:lpstr>
      <vt:lpstr>Spain</vt:lpstr>
      <vt:lpstr>Australia</vt:lpstr>
      <vt:lpstr>Germany</vt:lpstr>
      <vt:lpstr>Ireland</vt:lpstr>
      <vt:lpstr>UK</vt:lpstr>
      <vt:lpstr>CSIRO-australia</vt:lpstr>
      <vt:lpstr>Mark-AUS</vt:lpstr>
      <vt:lpstr>Pin weights</vt:lpstr>
      <vt:lpstr>Chile</vt:lpstr>
      <vt:lpstr>Excluded specimens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Kendall</dc:creator>
  <cp:lastModifiedBy>Liam Kendall</cp:lastModifiedBy>
  <dcterms:created xsi:type="dcterms:W3CDTF">2017-08-09T04:10:58Z</dcterms:created>
  <dcterms:modified xsi:type="dcterms:W3CDTF">2018-04-24T10:13:26Z</dcterms:modified>
</cp:coreProperties>
</file>