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65" activeTab="5"/>
  </bookViews>
  <sheets>
    <sheet name="利润表" sheetId="2" r:id="rId1"/>
    <sheet name="销售收入" sheetId="8" r:id="rId2"/>
    <sheet name="产品成本" sheetId="7" r:id="rId3"/>
    <sheet name="生产经营" sheetId="3" r:id="rId4"/>
    <sheet name="费用" sheetId="5" r:id="rId5"/>
    <sheet name="半成品" sheetId="6" r:id="rId6"/>
    <sheet name="价格依据" sheetId="32" state="hidden" r:id="rId7"/>
    <sheet name="上月(实)" sheetId="1" state="hidden" r:id="rId8"/>
  </sheets>
  <definedNames>
    <definedName name="_1CV1_">#REF!</definedName>
    <definedName name="_2U_NEGOCIO">#REF!</definedName>
    <definedName name="_xlnm._FilterDatabase" localSheetId="6" hidden="1">价格依据!$C$5:$C$24</definedName>
    <definedName name="_xlnm.Print_Area" localSheetId="5">半成品!$A$1:$H$16</definedName>
    <definedName name="_xlnm.Print_Area" localSheetId="0">利润表!$A$1:$B$39</definedName>
    <definedName name="_xlnm.Print_Area" localSheetId="3">生产经营!$A$1:$G$59</definedName>
    <definedName name="_xlnm.Print_Area" localSheetId="1">销售收入!$A$1:$H$20</definedName>
    <definedName name="_xlnm.Print_Area">#REF!</definedName>
    <definedName name="_xlnm.Print_Titles">#REF!</definedName>
    <definedName name="SAPBEXrevision" hidden="1">17</definedName>
    <definedName name="SAPBEXsysID" hidden="1">"P11"</definedName>
    <definedName name="SAPBEXwbID" hidden="1">"4E62T7YTP85VX052KFVZCXDK4"</definedName>
  </definedNames>
  <calcPr calcId="144525"/>
</workbook>
</file>

<file path=xl/comments1.xml><?xml version="1.0" encoding="utf-8"?>
<comments xmlns="http://schemas.openxmlformats.org/spreadsheetml/2006/main">
  <authors>
    <author>pc</author>
    <author>CNOOC</author>
    <author>user</author>
  </authors>
  <commentList>
    <comment ref="G11" authorId="0">
      <text>
        <r>
          <rPr>
            <b/>
            <sz val="9"/>
            <rFont val="宋体"/>
            <charset val="134"/>
          </rPr>
          <t>对二甲苯有运费，是按100元/吨预提，按实际发生结算，运费70-150元/吨，运费是根据地域不同单价不同，珠海为85元/吨。税率9%。</t>
        </r>
      </text>
    </comment>
    <comment ref="G14" authorId="0">
      <text>
        <r>
          <rPr>
            <b/>
            <sz val="9"/>
            <rFont val="宋体"/>
            <charset val="134"/>
          </rPr>
          <t xml:space="preserve">
装卸主要有两种物资，对苯全部通过船运，临苯是50%通过船运，50%通过公路运输。
船运为40元/吨，汽运为50元/吨，税率6%。</t>
        </r>
      </text>
    </comment>
    <comment ref="D21" authorId="1">
      <text>
        <r>
          <rPr>
            <b/>
            <sz val="9"/>
            <rFont val="宋体"/>
            <charset val="134"/>
          </rPr>
          <t>CNOOC:</t>
        </r>
        <r>
          <rPr>
            <sz val="9"/>
            <rFont val="宋体"/>
            <charset val="134"/>
          </rPr>
          <t xml:space="preserve">
保险费</t>
        </r>
      </text>
    </comment>
    <comment ref="G21" authorId="1">
      <text>
        <r>
          <rPr>
            <b/>
            <sz val="9"/>
            <rFont val="宋体"/>
            <charset val="134"/>
          </rPr>
          <t>CNOOC:</t>
        </r>
        <r>
          <rPr>
            <sz val="9"/>
            <rFont val="宋体"/>
            <charset val="134"/>
          </rPr>
          <t xml:space="preserve">
碳十粗芳烃管输12.6元/吨，仓储8元/吨，如果船运，外加码头操作费，港务费</t>
        </r>
      </text>
    </comment>
    <comment ref="D22" authorId="2">
      <text>
        <r>
          <rPr>
            <b/>
            <sz val="9"/>
            <rFont val="宋体"/>
            <charset val="134"/>
          </rPr>
          <t>安全生产费用</t>
        </r>
      </text>
    </comment>
    <comment ref="G22" authorId="1">
      <text>
        <r>
          <rPr>
            <b/>
            <sz val="9"/>
            <rFont val="宋体"/>
            <charset val="134"/>
          </rPr>
          <t>销售和仓储费</t>
        </r>
      </text>
    </comment>
  </commentList>
</comments>
</file>

<file path=xl/comments2.xml><?xml version="1.0" encoding="utf-8"?>
<comments xmlns="http://schemas.openxmlformats.org/spreadsheetml/2006/main">
  <authors>
    <author>CNOOC</author>
    <author>lupf2</author>
  </authors>
  <commentList>
    <comment ref="G154" authorId="0">
      <text>
        <r>
          <rPr>
            <b/>
            <sz val="9"/>
            <rFont val="宋体"/>
            <charset val="134"/>
          </rPr>
          <t>CNOOC:</t>
        </r>
        <r>
          <rPr>
            <sz val="9"/>
            <rFont val="宋体"/>
            <charset val="134"/>
          </rPr>
          <t xml:space="preserve">
壳牌25-24</t>
        </r>
      </text>
    </comment>
    <comment ref="H154" authorId="0">
      <text>
        <r>
          <rPr>
            <b/>
            <sz val="9"/>
            <rFont val="宋体"/>
            <charset val="134"/>
          </rPr>
          <t>CNOOC:</t>
        </r>
        <r>
          <rPr>
            <sz val="9"/>
            <rFont val="宋体"/>
            <charset val="134"/>
          </rPr>
          <t xml:space="preserve">
忠信25-24</t>
        </r>
      </text>
    </comment>
    <comment ref="F263" authorId="1">
      <text>
        <r>
          <rPr>
            <b/>
            <sz val="9"/>
            <rFont val="宋体"/>
            <charset val="134"/>
          </rPr>
          <t>从2019.01.01起使用，2019.10月时统一调整追溯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  <author>CNOOC</author>
    <author>pc</author>
    <author>wangzhf4</author>
  </authors>
  <commentList>
    <comment ref="K1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吨原料加工费（不含期间费）</t>
        </r>
      </text>
    </comment>
    <comment ref="J27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外供惠炼费用</t>
        </r>
      </text>
    </comment>
    <comment ref="L28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不含折旧、摊销、财务费用的固定费用小计</t>
        </r>
      </text>
    </comment>
    <comment ref="K48" authorId="1">
      <text>
        <r>
          <rPr>
            <b/>
            <sz val="9"/>
            <rFont val="宋体"/>
            <charset val="134"/>
          </rPr>
          <t>CNOOC:</t>
        </r>
        <r>
          <rPr>
            <sz val="9"/>
            <rFont val="宋体"/>
            <charset val="134"/>
          </rPr>
          <t xml:space="preserve">
仓储费</t>
        </r>
      </text>
    </comment>
    <comment ref="G80" authorId="2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向惠州石化销售甲苯二甲苯混合物收入</t>
        </r>
      </text>
    </comment>
    <comment ref="D85" authorId="3">
      <text>
        <r>
          <rPr>
            <b/>
            <sz val="9"/>
            <rFont val="宋体"/>
            <charset val="134"/>
          </rPr>
          <t>其中轻污油590吨，其余为重芳烃</t>
        </r>
      </text>
    </comment>
  </commentList>
</comments>
</file>

<file path=xl/sharedStrings.xml><?xml version="1.0" encoding="utf-8"?>
<sst xmlns="http://schemas.openxmlformats.org/spreadsheetml/2006/main" count="1161" uniqueCount="346">
  <si>
    <t>2021年8月XXX开氏全产全销利润测算表</t>
  </si>
  <si>
    <t>8月</t>
  </si>
  <si>
    <t>项    目</t>
  </si>
  <si>
    <t>备注</t>
  </si>
  <si>
    <t>一、营业总收入</t>
  </si>
  <si>
    <t>1、投入产出：按照计划发展部编制的月度生产计划，由计划发展部实时更新；                   2、原料价格：按照截至最新一日原料月均价测算；                  3、产品价格：按照截至最新一日产品月均价测算，其中PX参照台湾市场价格上浮150元/吨；          4、费用及税金情况：财务部更新维护；                    5、效益情况结果：预计亏损8万元。</t>
  </si>
  <si>
    <t xml:space="preserve">    其中：营业收入</t>
  </si>
  <si>
    <t xml:space="preserve">              其中：主营业务收入</t>
  </si>
  <si>
    <t xml:space="preserve">                    其他业务收入</t>
  </si>
  <si>
    <t xml:space="preserve">          利息收入</t>
  </si>
  <si>
    <t xml:space="preserve">          已赚保费</t>
  </si>
  <si>
    <t xml:space="preserve">          手续费及佣金收入</t>
  </si>
  <si>
    <t>二、营业总成本</t>
  </si>
  <si>
    <t xml:space="preserve">    其中：营业成本</t>
  </si>
  <si>
    <t xml:space="preserve">              其中：主营业务成本</t>
  </si>
  <si>
    <t xml:space="preserve">                    其他业务成本</t>
  </si>
  <si>
    <t xml:space="preserve">          利息支出</t>
  </si>
  <si>
    <t xml:space="preserve">          手续费及佣金支出</t>
  </si>
  <si>
    <t xml:space="preserve">          退保金</t>
  </si>
  <si>
    <t xml:space="preserve">          赔付支出净额</t>
  </si>
  <si>
    <t xml:space="preserve">          提取保险合同准备净额</t>
  </si>
  <si>
    <t xml:space="preserve">          保单红利支出</t>
  </si>
  <si>
    <t xml:space="preserve">          分保费用 </t>
  </si>
  <si>
    <t xml:space="preserve">          营业税金及附加</t>
  </si>
  <si>
    <t xml:space="preserve">          销售费用</t>
  </si>
  <si>
    <t>      管理费用</t>
  </si>
  <si>
    <t>      财务费用</t>
  </si>
  <si>
    <t xml:space="preserve">          资产减值损失</t>
  </si>
  <si>
    <t xml:space="preserve">    加：公允价值变动收益（损失以“-”号填列）</t>
  </si>
  <si>
    <t xml:space="preserve">        投资收益（损失以“-”号填列）</t>
  </si>
  <si>
    <t xml:space="preserve">            其中：对联营企业和合营企业的投资收益</t>
  </si>
  <si>
    <t xml:space="preserve">        汇兑收益（损失以“-”号填列）</t>
  </si>
  <si>
    <t>三、营业利润（损失以“-”号填列）</t>
  </si>
  <si>
    <t>    加：营业外收入</t>
  </si>
  <si>
    <t>    减：营业外支出</t>
  </si>
  <si>
    <t xml:space="preserve">          其中：非流动资产处置损失</t>
  </si>
  <si>
    <t>四、利润总额（亏损总额以“-”号填列）</t>
  </si>
  <si>
    <t>    减：所得税费用</t>
  </si>
  <si>
    <t>五、净利润（净亏损以“-”号填列）</t>
  </si>
  <si>
    <t>期初库存影响</t>
  </si>
  <si>
    <t>XXX开氏效益测算表——销售收入</t>
  </si>
  <si>
    <t>序号</t>
  </si>
  <si>
    <t>项目</t>
  </si>
  <si>
    <t>消费税率</t>
  </si>
  <si>
    <t>本月销量</t>
  </si>
  <si>
    <t>含税价</t>
  </si>
  <si>
    <t>不含税价</t>
  </si>
  <si>
    <t>收入</t>
  </si>
  <si>
    <t>裸税价</t>
  </si>
  <si>
    <t>高沸点芳烃溶剂</t>
  </si>
  <si>
    <t>C10粗芳烃</t>
  </si>
  <si>
    <t>合计</t>
  </si>
  <si>
    <t>消费税</t>
  </si>
  <si>
    <t>增值税</t>
  </si>
  <si>
    <t>营业税金及附加</t>
  </si>
  <si>
    <t>其他业务消费税</t>
  </si>
  <si>
    <t>XXX开氏效益测算表——产品产销存明细表</t>
  </si>
  <si>
    <t>期初库存</t>
  </si>
  <si>
    <t>本期生产</t>
  </si>
  <si>
    <t>本期销售</t>
  </si>
  <si>
    <t>期末库存</t>
  </si>
  <si>
    <t>原料成本影响</t>
  </si>
  <si>
    <t>期初影响</t>
  </si>
  <si>
    <t>吨加工费</t>
  </si>
  <si>
    <t>销量变化</t>
  </si>
  <si>
    <t>数量</t>
  </si>
  <si>
    <t>单价</t>
  </si>
  <si>
    <t>金额</t>
  </si>
  <si>
    <t>系数</t>
  </si>
  <si>
    <t>积数</t>
  </si>
  <si>
    <t>异构化干气</t>
  </si>
  <si>
    <t>苯</t>
  </si>
  <si>
    <t>对二甲苯</t>
  </si>
  <si>
    <t>邻二甲苯</t>
  </si>
  <si>
    <t>混合二甲苯</t>
  </si>
  <si>
    <t>粗甲苯</t>
  </si>
  <si>
    <t>重芳烃</t>
  </si>
  <si>
    <t>歧化原料</t>
  </si>
  <si>
    <t>石脑油</t>
  </si>
  <si>
    <t>石油混合二甲苯\5℃</t>
  </si>
  <si>
    <t>混合芳烃</t>
  </si>
  <si>
    <t>XXX开氏效益测算表——原料、燃料动力</t>
  </si>
  <si>
    <t>编制单位：中海开氏</t>
  </si>
  <si>
    <t>物料名称</t>
  </si>
  <si>
    <t>单位</t>
  </si>
  <si>
    <r>
      <rPr>
        <sz val="12"/>
        <rFont val="宋体"/>
        <charset val="134"/>
      </rPr>
      <t>金额(万元</t>
    </r>
    <r>
      <rPr>
        <sz val="12"/>
        <rFont val="宋体"/>
        <charset val="134"/>
      </rPr>
      <t>)</t>
    </r>
  </si>
  <si>
    <t>吨油成本</t>
  </si>
  <si>
    <t>一</t>
  </si>
  <si>
    <t>原料</t>
  </si>
  <si>
    <t>管网氢气</t>
  </si>
  <si>
    <t>吨</t>
  </si>
  <si>
    <t>重整生成油</t>
  </si>
  <si>
    <t>碳十粗芳烃</t>
  </si>
  <si>
    <t>甲苯</t>
  </si>
  <si>
    <t>混合二甲苯（3℃）</t>
  </si>
  <si>
    <t>二</t>
  </si>
  <si>
    <t>辅助材料</t>
  </si>
  <si>
    <t>三</t>
  </si>
  <si>
    <t>燃料、动力</t>
  </si>
  <si>
    <t>1.25Mpa氮气</t>
  </si>
  <si>
    <t>循环水</t>
  </si>
  <si>
    <t>除盐水</t>
  </si>
  <si>
    <t>除氧水</t>
  </si>
  <si>
    <t>自来水</t>
  </si>
  <si>
    <t>电</t>
  </si>
  <si>
    <t>KWH</t>
  </si>
  <si>
    <t>度</t>
  </si>
  <si>
    <t>3.5MPa蒸汽</t>
  </si>
  <si>
    <t>0.8MPa氮气</t>
  </si>
  <si>
    <t>NM3</t>
  </si>
  <si>
    <t>4.0MPa氮气</t>
  </si>
  <si>
    <t>净化风</t>
  </si>
  <si>
    <t>非净化风</t>
  </si>
  <si>
    <t>0.45MP蒸汽（产出）</t>
  </si>
  <si>
    <r>
      <rPr>
        <sz val="10"/>
        <rFont val="Times New Roman Cyr"/>
        <charset val="134"/>
      </rPr>
      <t>1.1MP</t>
    </r>
    <r>
      <rPr>
        <sz val="10"/>
        <rFont val="宋体"/>
        <charset val="134"/>
      </rPr>
      <t>蒸汽（产出）</t>
    </r>
  </si>
  <si>
    <t>凝结水（产出）</t>
  </si>
  <si>
    <t>2.5MPa蒸汽</t>
  </si>
  <si>
    <t>燃料气</t>
  </si>
  <si>
    <t>液化石油气</t>
  </si>
  <si>
    <t>四</t>
  </si>
  <si>
    <t>其他费用</t>
  </si>
  <si>
    <t>折旧、摊销</t>
  </si>
  <si>
    <t>催化剂长期摊销</t>
  </si>
  <si>
    <t>人工费用</t>
  </si>
  <si>
    <t>修理费</t>
  </si>
  <si>
    <t>安全费用</t>
  </si>
  <si>
    <t>财务费用</t>
  </si>
  <si>
    <t>销售运杂费</t>
  </si>
  <si>
    <t>其他</t>
  </si>
  <si>
    <t>五</t>
  </si>
  <si>
    <t>成本费用合计</t>
  </si>
  <si>
    <t>减：管理费用</t>
  </si>
  <si>
    <t xml:space="preserve">    财务费用</t>
  </si>
  <si>
    <t xml:space="preserve">    销售费用</t>
  </si>
  <si>
    <t>加：期初半成品</t>
  </si>
  <si>
    <t>减：期末半成品</t>
  </si>
  <si>
    <t>其他减少</t>
  </si>
  <si>
    <t>六</t>
  </si>
  <si>
    <t>商品产品总成本</t>
  </si>
  <si>
    <t>加：期初产成品</t>
  </si>
  <si>
    <t>减：期末产成品</t>
  </si>
  <si>
    <t xml:space="preserve">    产成品其他减少</t>
  </si>
  <si>
    <t>加：产成品盘盈盘亏</t>
  </si>
  <si>
    <t xml:space="preserve">    产成品其他增加</t>
  </si>
  <si>
    <t xml:space="preserve">    出口退税损失</t>
  </si>
  <si>
    <t xml:space="preserve">    其他</t>
  </si>
  <si>
    <t>七</t>
  </si>
  <si>
    <t>销售成本合计</t>
  </si>
  <si>
    <t>吨油加工成本</t>
  </si>
  <si>
    <t>吨油期间费用</t>
  </si>
  <si>
    <t>加工费</t>
  </si>
  <si>
    <t>上次预测</t>
  </si>
  <si>
    <t>差额</t>
  </si>
  <si>
    <t>生产成本</t>
  </si>
  <si>
    <t>期间费用</t>
  </si>
  <si>
    <t>加工成本</t>
  </si>
  <si>
    <t>XXX开氏效益测算表——费用明细表</t>
  </si>
  <si>
    <t>制造费用</t>
  </si>
  <si>
    <t>管理费用</t>
  </si>
  <si>
    <t>销售费用</t>
  </si>
  <si>
    <t>石化一厂</t>
  </si>
  <si>
    <t>综合管理费</t>
  </si>
  <si>
    <t>公共设施费用</t>
  </si>
  <si>
    <t>储罐使用费</t>
  </si>
  <si>
    <t>运输费</t>
  </si>
  <si>
    <t>对二甲苯*100/1.09</t>
  </si>
  <si>
    <t>化验分析费</t>
  </si>
  <si>
    <t>装卸费</t>
  </si>
  <si>
    <t>（苯+对二甲苯+邻二甲苯-30000）*40.91/1.06</t>
  </si>
  <si>
    <t>排污费</t>
  </si>
  <si>
    <t>土地租金</t>
  </si>
  <si>
    <t>销售代理费</t>
  </si>
  <si>
    <t>环保费</t>
  </si>
  <si>
    <t>港建费</t>
  </si>
  <si>
    <t>（苯+对二甲苯+邻二甲苯-20000）*15</t>
  </si>
  <si>
    <t>其他(安全费用)</t>
  </si>
  <si>
    <t>全厂性综合类服务费</t>
  </si>
  <si>
    <t>2017年总金额</t>
  </si>
  <si>
    <t>2017年月平均</t>
  </si>
  <si>
    <t>2018年预计总金额</t>
  </si>
  <si>
    <t>固定资产投资比例自惠州石化二期项目预转资后重新核定：2017年12月底，中海开氏固定资产（原值）2135054144.76元、惠州石化固定资产（原值）31934427928.586元。分摊比例确认为6.69%。结算按管理部门及设备、指挥、IT、HSE中心的成本费用扣除折旧费，再按固定资产投资比例分摊，包含税金。</t>
  </si>
  <si>
    <t>公共设施费用和公共设施日常维护维修费用</t>
  </si>
  <si>
    <t>全厂性公共设施资产使用费</t>
  </si>
  <si>
    <t>按固定资产投资比例分摊，包含贷款利息和税金</t>
  </si>
  <si>
    <t>生产人员服务费用</t>
  </si>
  <si>
    <t>炼油3部总人数为128人，其中：重整操作32人，芳烃操作74人，生产监督4人，管理及技术人员18人。分摊比例确认为74/110＝67.28%</t>
  </si>
  <si>
    <t>XXX开氏效益测算表——半成品明细表</t>
  </si>
  <si>
    <t>月初</t>
  </si>
  <si>
    <t>月未</t>
  </si>
  <si>
    <t>芳烃抽余油</t>
  </si>
  <si>
    <t>轻污油</t>
  </si>
  <si>
    <t>芳烃中间物料</t>
  </si>
  <si>
    <t>芳烃石脑油</t>
  </si>
  <si>
    <t>半成品小计</t>
  </si>
  <si>
    <t>日期</t>
  </si>
  <si>
    <t>隆众网中国台湾价格</t>
  </si>
  <si>
    <t>上月25-本月24</t>
  </si>
  <si>
    <t>去周末和节假日</t>
  </si>
  <si>
    <t>价格变动</t>
  </si>
  <si>
    <t>到岸价</t>
  </si>
  <si>
    <t>对二甲苯结算价（含税）
台湾市场价格+250</t>
  </si>
  <si>
    <t>隆众或安迅思每月24日左右公布的结算价-175-贴息。
其中贴息=（结算价-170）*年贴息率/12"</t>
  </si>
  <si>
    <t>平均价</t>
  </si>
  <si>
    <t>平均价格变动</t>
  </si>
  <si>
    <t>石脑油价格</t>
  </si>
  <si>
    <t>隆重网</t>
  </si>
  <si>
    <t>价格</t>
  </si>
  <si>
    <t>汇率</t>
  </si>
  <si>
    <t>日本</t>
  </si>
  <si>
    <t>平均价格</t>
  </si>
  <si>
    <t>平均汇率</t>
  </si>
  <si>
    <t>2021年起使用</t>
  </si>
  <si>
    <t>重整生成油价格=（MOPJ+4.9）*Ei*0.3693+重石脑油外售*0.6307+318）*1.13</t>
  </si>
  <si>
    <t>有外售时</t>
  </si>
  <si>
    <t>外销重石</t>
  </si>
  <si>
    <t>结算公式</t>
  </si>
  <si>
    <t>舟山石化</t>
  </si>
  <si>
    <t>（MOPJ+35）*汇率* 1.17+100</t>
  </si>
  <si>
    <t>珠海长炼</t>
  </si>
  <si>
    <t>（MOPJ+35）*汇率* 1.17+65</t>
  </si>
  <si>
    <t>福建联合石化</t>
  </si>
  <si>
    <t>（MOPJ+35）*汇率* 1.17+90</t>
  </si>
  <si>
    <t>泰州石化</t>
  </si>
  <si>
    <t>（MOPJ+35）*汇率* 1.17+130</t>
  </si>
  <si>
    <t>武汉凯顺</t>
  </si>
  <si>
    <t>（MOPJ+35）*汇率* 1.17</t>
  </si>
  <si>
    <t>河北鸿天</t>
  </si>
  <si>
    <t>找伍连荣确认，包括计价公式和数量</t>
  </si>
  <si>
    <t>隆众网-镇海炼化(挂)</t>
  </si>
  <si>
    <t>邻苯</t>
  </si>
  <si>
    <t>汽运</t>
  </si>
  <si>
    <t>船运</t>
  </si>
  <si>
    <t>安迅思-镇海炼化</t>
  </si>
  <si>
    <t>镇海炼化</t>
  </si>
  <si>
    <t>加权价格</t>
  </si>
  <si>
    <t>壳牌</t>
  </si>
  <si>
    <t>忠信</t>
  </si>
  <si>
    <t>安讯思-工作日</t>
  </si>
  <si>
    <t>国五0#</t>
  </si>
  <si>
    <t>柴油</t>
  </si>
  <si>
    <t>柴油均价</t>
  </si>
  <si>
    <t>柴油消费税</t>
  </si>
  <si>
    <t>石脑油消费税</t>
  </si>
  <si>
    <t>柴油消费税及附加</t>
  </si>
  <si>
    <t>石脑油消费税及附加</t>
  </si>
  <si>
    <t>安讯思-华南-异构级</t>
  </si>
  <si>
    <t>安迅思华东月均价</t>
  </si>
  <si>
    <t>安迅思华南</t>
  </si>
  <si>
    <t>25-24</t>
  </si>
  <si>
    <t>混苯</t>
  </si>
  <si>
    <t>华南</t>
  </si>
  <si>
    <t>产品</t>
  </si>
  <si>
    <t>评估日期</t>
  </si>
  <si>
    <t>含税价格</t>
  </si>
  <si>
    <t>混合二甲苯/异构级</t>
  </si>
  <si>
    <t>芳烃联合装置损益测算表</t>
  </si>
  <si>
    <t>芳烃联合装置试车损益计算表（本年累计）</t>
  </si>
  <si>
    <t>芳烃联合装置试车损益计算表（截止上月本年累计）</t>
  </si>
  <si>
    <t>含税价格(元/吨)</t>
  </si>
  <si>
    <t>不含税价(元/吨)</t>
  </si>
  <si>
    <t>金额（元）</t>
  </si>
  <si>
    <t>进项税</t>
  </si>
  <si>
    <t>一、原料</t>
  </si>
  <si>
    <t>炼厂氢气</t>
  </si>
  <si>
    <t>重整生成油(石脑油（V))</t>
  </si>
  <si>
    <t>工业用碳十粗芳烃</t>
  </si>
  <si>
    <t>吨油：</t>
  </si>
  <si>
    <t>石油甲苯（1号)</t>
  </si>
  <si>
    <t>二、辅助材料</t>
  </si>
  <si>
    <t>三、燃料、动力</t>
  </si>
  <si>
    <r>
      <rPr>
        <sz val="10"/>
        <rFont val="宋体"/>
        <charset val="134"/>
      </rPr>
      <t>1.25Mpa</t>
    </r>
    <r>
      <rPr>
        <sz val="10"/>
        <rFont val="宋体"/>
        <charset val="134"/>
      </rPr>
      <t>氮气</t>
    </r>
  </si>
  <si>
    <r>
      <rPr>
        <sz val="10"/>
        <rFont val="Times New Roman Cyr"/>
        <charset val="134"/>
      </rPr>
      <t>NM</t>
    </r>
    <r>
      <rPr>
        <vertAlign val="superscript"/>
        <sz val="10"/>
        <rFont val="Times New Roman Cyr"/>
        <charset val="134"/>
      </rPr>
      <t>3</t>
    </r>
  </si>
  <si>
    <r>
      <rPr>
        <sz val="10"/>
        <rFont val="Times New Roman Cyr"/>
        <charset val="134"/>
      </rPr>
      <t>1.25Mpa</t>
    </r>
    <r>
      <rPr>
        <sz val="10"/>
        <rFont val="宋体"/>
        <charset val="134"/>
      </rPr>
      <t>氮气</t>
    </r>
  </si>
  <si>
    <t>新鲜水</t>
  </si>
  <si>
    <t>燃料动力（未扣除副产品）</t>
  </si>
  <si>
    <r>
      <rPr>
        <sz val="10"/>
        <rFont val="宋体"/>
        <charset val="134"/>
      </rPr>
      <t>0.45MPa</t>
    </r>
    <r>
      <rPr>
        <sz val="10"/>
        <rFont val="宋体"/>
        <charset val="134"/>
      </rPr>
      <t>蒸汽</t>
    </r>
  </si>
  <si>
    <r>
      <rPr>
        <sz val="10"/>
        <rFont val="Times New Roman Cyr"/>
        <charset val="134"/>
      </rPr>
      <t>0.45MP</t>
    </r>
    <r>
      <rPr>
        <sz val="10"/>
        <rFont val="宋体"/>
        <charset val="134"/>
      </rPr>
      <t>蒸汽</t>
    </r>
  </si>
  <si>
    <t>0.45MP蒸汽</t>
  </si>
  <si>
    <r>
      <rPr>
        <sz val="10"/>
        <rFont val="宋体"/>
        <charset val="134"/>
      </rPr>
      <t>1.1MPa</t>
    </r>
    <r>
      <rPr>
        <sz val="10"/>
        <rFont val="宋体"/>
        <charset val="134"/>
      </rPr>
      <t>蒸汽</t>
    </r>
  </si>
  <si>
    <r>
      <rPr>
        <sz val="10"/>
        <rFont val="Times New Roman Cyr"/>
        <charset val="134"/>
      </rPr>
      <t>1.1MP</t>
    </r>
    <r>
      <rPr>
        <sz val="10"/>
        <rFont val="宋体"/>
        <charset val="134"/>
      </rPr>
      <t>蒸汽</t>
    </r>
  </si>
  <si>
    <t>1.1MP蒸汽</t>
  </si>
  <si>
    <t>凝结水</t>
  </si>
  <si>
    <r>
      <rPr>
        <sz val="10"/>
        <rFont val="宋体"/>
        <charset val="134"/>
      </rPr>
      <t>2.5MPa</t>
    </r>
    <r>
      <rPr>
        <sz val="10"/>
        <rFont val="宋体"/>
        <charset val="134"/>
      </rPr>
      <t>蒸汽</t>
    </r>
  </si>
  <si>
    <r>
      <rPr>
        <sz val="10"/>
        <rFont val="Times New Roman Cyr"/>
        <charset val="134"/>
      </rPr>
      <t>2.5MPa</t>
    </r>
    <r>
      <rPr>
        <sz val="10"/>
        <rFont val="宋体"/>
        <charset val="134"/>
      </rPr>
      <t>蒸汽</t>
    </r>
  </si>
  <si>
    <t>天然气</t>
  </si>
  <si>
    <t>费用合计</t>
  </si>
  <si>
    <t>单位费用</t>
  </si>
  <si>
    <t>总费用合计</t>
  </si>
  <si>
    <t>三、其他费用</t>
  </si>
  <si>
    <t>折旧</t>
  </si>
  <si>
    <t>保险费</t>
  </si>
  <si>
    <t>安全生产费</t>
  </si>
  <si>
    <t>安全生产费：</t>
  </si>
  <si>
    <t>三、总投入</t>
  </si>
  <si>
    <t>四、半成品变化</t>
  </si>
  <si>
    <t>增减量</t>
  </si>
  <si>
    <t>单位成本</t>
  </si>
  <si>
    <t>增减额("-"减)</t>
  </si>
  <si>
    <t>期初量</t>
  </si>
  <si>
    <t>单成本</t>
  </si>
  <si>
    <t>期初金额</t>
  </si>
  <si>
    <t>期末量</t>
  </si>
  <si>
    <t>期末金额</t>
  </si>
  <si>
    <t>（销价不含税-成本）价差</t>
  </si>
  <si>
    <t>（产成品成本-成本）价差</t>
  </si>
  <si>
    <t>三、产成品产出</t>
  </si>
  <si>
    <t>总成本</t>
  </si>
  <si>
    <t>本月收入</t>
  </si>
  <si>
    <t>期初成本</t>
  </si>
  <si>
    <t>单销成本</t>
  </si>
  <si>
    <t>销售总成本</t>
  </si>
  <si>
    <t>本年销量</t>
  </si>
  <si>
    <t>本年累计收入</t>
  </si>
  <si>
    <t>期末库存量</t>
  </si>
  <si>
    <t>期末库存金额</t>
  </si>
  <si>
    <t>芳烃干气</t>
  </si>
  <si>
    <t>轻组分</t>
  </si>
  <si>
    <t>重石脑油</t>
  </si>
  <si>
    <t>产成品成本小计</t>
  </si>
  <si>
    <t>五、税金及附加</t>
  </si>
  <si>
    <t>其中：苯售壳牌</t>
  </si>
  <si>
    <t>其他业务收入-其他业务成本</t>
  </si>
  <si>
    <t>其他业务收入</t>
  </si>
  <si>
    <t>资产处置收益</t>
  </si>
  <si>
    <t>营业外收入</t>
  </si>
  <si>
    <t>资产处置损失</t>
  </si>
  <si>
    <t>六、营业外支出</t>
  </si>
  <si>
    <t>七、利润总额</t>
  </si>
  <si>
    <t>八、自用</t>
  </si>
  <si>
    <t>八、自用燃料</t>
  </si>
  <si>
    <t>重芳烃（燃料油）</t>
  </si>
  <si>
    <t>燃料油</t>
  </si>
  <si>
    <t>燃料气（干气）</t>
  </si>
  <si>
    <t>综合商品率：</t>
  </si>
  <si>
    <t>含自用吨现金操作费</t>
  </si>
  <si>
    <t>单位完全费用：</t>
  </si>
  <si>
    <t>自用率：</t>
  </si>
  <si>
    <t>无自用吨现金操作费</t>
  </si>
  <si>
    <t>不含自用单费：</t>
  </si>
  <si>
    <t>半成品率：</t>
  </si>
  <si>
    <t>投入产出％</t>
  </si>
  <si>
    <t>自产燃料外购价与成本价差额：</t>
  </si>
  <si>
    <t>损失率：</t>
  </si>
  <si>
    <t>产销率％：</t>
  </si>
  <si>
    <t>可比综商：</t>
  </si>
  <si>
    <t>所得税费用</t>
  </si>
</sst>
</file>

<file path=xl/styles.xml><?xml version="1.0" encoding="utf-8"?>
<styleSheet xmlns="http://schemas.openxmlformats.org/spreadsheetml/2006/main">
  <numFmts count="57">
    <numFmt numFmtId="41" formatCode="_ * #,##0_ ;_ * \-#,##0_ ;_ * &quot;-&quot;_ ;_ @_ "/>
    <numFmt numFmtId="176" formatCode="_([$€]* #,##0.00_);_([$€]* \(#,##0.00\);_([$€]* &quot;-&quot;??_);_(@_)"/>
    <numFmt numFmtId="177" formatCode="0.00_)"/>
    <numFmt numFmtId="44" formatCode="_ &quot;￥&quot;* #,##0.00_ ;_ &quot;￥&quot;* \-#,##0.00_ ;_ &quot;￥&quot;* &quot;-&quot;??_ ;_ @_ "/>
    <numFmt numFmtId="178" formatCode="_ * #,##0_ ;_ * \-#,##0_ ;_ * &quot;-&quot;??_ ;_ @_ "/>
    <numFmt numFmtId="179" formatCode="_(&quot;$&quot;* #,##0_);_(&quot;$&quot;* \(#,##0\);_(&quot;$&quot;* &quot;-&quot;_);_(@_)"/>
    <numFmt numFmtId="42" formatCode="_ &quot;￥&quot;* #,##0_ ;_ &quot;￥&quot;* \-#,##0_ ;_ &quot;￥&quot;* &quot;-&quot;_ ;_ @_ "/>
    <numFmt numFmtId="43" formatCode="_ * #,##0.00_ ;_ * \-#,##0.00_ ;_ * &quot;-&quot;??_ ;_ @_ "/>
    <numFmt numFmtId="180" formatCode="mmm\ dd\,\ yy"/>
    <numFmt numFmtId="181" formatCode="_(&quot;US$&quot;\ * #,##0.00_);_(&quot;US$&quot;\ * \(#,##0.00\);_(&quot;US$&quot;\ * &quot;-&quot;??_);_(@_)"/>
    <numFmt numFmtId="182" formatCode="_(* #,##0_);_(* \(#,##0\);_(* &quot;-&quot;_);_(@_)"/>
    <numFmt numFmtId="183" formatCode="_-* #,##0.00_-;\-* #,##0.00_-;_-* &quot;-&quot;??_-;_-@_-"/>
    <numFmt numFmtId="184" formatCode="&quot;ª&quot;\:&quot;¹&quot;&quot;¹&quot;\:&quot;·&quot;&quot;·&quot;"/>
    <numFmt numFmtId="185" formatCode="_(&quot;$&quot;* #,##0.00_);_(&quot;$&quot;* \(#,##0.00\);_(&quot;$&quot;* &quot;-&quot;??_);_(@_)"/>
    <numFmt numFmtId="186" formatCode="#\ ##0.00"/>
    <numFmt numFmtId="187" formatCode="mm/dd/yy_)"/>
    <numFmt numFmtId="188" formatCode="_(* #,##0.00_);_(* \(#,##0.00\);_(* &quot;-&quot;??_);_(@_)"/>
    <numFmt numFmtId="189" formatCode="#,##0.0"/>
    <numFmt numFmtId="190" formatCode="_(&quot;$&quot;* #,##0.0_);_(&quot;$&quot;* \(#,##0.0\);_(&quot;$&quot;* &quot;-&quot;??_);_(@_)"/>
    <numFmt numFmtId="191" formatCode="#,##0.00_ ;[Red]\-#,##0.00\ "/>
    <numFmt numFmtId="192" formatCode="0_)"/>
    <numFmt numFmtId="193" formatCode="0.0%"/>
    <numFmt numFmtId="194" formatCode="0.00_ "/>
    <numFmt numFmtId="195" formatCode="mmmm\ d\,\ yyyy"/>
    <numFmt numFmtId="196" formatCode="#,##0.00000"/>
    <numFmt numFmtId="197" formatCode="#,##0.000;[Red]\-#,##0.000"/>
    <numFmt numFmtId="198" formatCode="_-* #,##0_-;\-* #,##0_-;_-* &quot;-&quot;??_-;_-@_-"/>
    <numFmt numFmtId="199" formatCode="_-* #,##0_-;\-* #,##0_-;_-* &quot;-&quot;_-;_-@_-"/>
    <numFmt numFmtId="200" formatCode="[$-F800]dddd\,\ mmmm\ dd\,\ yyyy"/>
    <numFmt numFmtId="201" formatCode="#,##0.000_ "/>
    <numFmt numFmtId="202" formatCode="#,##0.0_);\(#,##0.0\)"/>
    <numFmt numFmtId="203" formatCode="_(&quot;$&quot;* #,##0_);_(&quot;$&quot;* \(#,##0\);_(&quot;$&quot;* &quot;-&quot;??_);_(@_)"/>
    <numFmt numFmtId="204" formatCode="#,##0_ "/>
    <numFmt numFmtId="205" formatCode="* #,##0.00;* \-#,##0.00;* &quot;-&quot;??;@"/>
    <numFmt numFmtId="206" formatCode="0.000_ "/>
    <numFmt numFmtId="207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  <numFmt numFmtId="208" formatCode="0.0000000000000000_ "/>
    <numFmt numFmtId="209" formatCode="#,##0.000"/>
    <numFmt numFmtId="210" formatCode="#,##0.00_ "/>
    <numFmt numFmtId="211" formatCode="#,##0.0000"/>
    <numFmt numFmtId="212" formatCode="_ * #,##0.0000_ ;_ * \-#,##0.0000_ ;_ * &quot;-&quot;??_ ;_ @_ "/>
    <numFmt numFmtId="213" formatCode="#,##0.00_-;#,##0.00\-;&quot; &quot;"/>
    <numFmt numFmtId="214" formatCode="#,##0.00_);[Red]\(#,##0.00\)"/>
    <numFmt numFmtId="215" formatCode="0.000"/>
    <numFmt numFmtId="216" formatCode="0_ "/>
    <numFmt numFmtId="217" formatCode="#,##0.00000000_ "/>
    <numFmt numFmtId="218" formatCode="0.0000"/>
    <numFmt numFmtId="219" formatCode="0.00000"/>
    <numFmt numFmtId="220" formatCode="0.0000000000000_ "/>
    <numFmt numFmtId="221" formatCode="0.00_);\(0.00\)"/>
    <numFmt numFmtId="222" formatCode="0.000000000000_ "/>
    <numFmt numFmtId="223" formatCode="0.000000000000000_ "/>
    <numFmt numFmtId="224" formatCode="yyyy&quot;年&quot;mm&quot;月&quot;dd&quot;日&quot;"/>
    <numFmt numFmtId="225" formatCode="0.00_);[Red]\(0.00\)"/>
    <numFmt numFmtId="226" formatCode="#"/>
    <numFmt numFmtId="227" formatCode="#,##0.0000000000000_ ;[Red]\-#,##0.0000000000000\ "/>
    <numFmt numFmtId="228" formatCode="#,##0_);[Red]\(#,##0\)"/>
  </numFmts>
  <fonts count="171"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0"/>
      <name val="宋体"/>
      <charset val="134"/>
    </font>
    <font>
      <b/>
      <sz val="10"/>
      <name val="宋体"/>
      <charset val="134"/>
    </font>
    <font>
      <sz val="10"/>
      <name val="Times New Roman Cyr"/>
      <charset val="134"/>
    </font>
    <font>
      <b/>
      <sz val="10"/>
      <name val="Times New Roman Cyr"/>
      <charset val="134"/>
    </font>
    <font>
      <b/>
      <sz val="9"/>
      <name val="宋体"/>
      <charset val="134"/>
    </font>
    <font>
      <sz val="11"/>
      <name val="Dialog"/>
      <charset val="0"/>
    </font>
    <font>
      <sz val="10"/>
      <color rgb="FFFF0000"/>
      <name val="Arial"/>
      <charset val="134"/>
    </font>
    <font>
      <sz val="9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2"/>
      <color theme="9"/>
      <name val="宋体"/>
      <charset val="134"/>
    </font>
    <font>
      <sz val="7"/>
      <color rgb="FF000000"/>
      <name val="宋体"/>
      <charset val="134"/>
    </font>
    <font>
      <b/>
      <sz val="7"/>
      <color rgb="FF000000"/>
      <name val="宋体"/>
      <charset val="134"/>
    </font>
    <font>
      <b/>
      <sz val="9"/>
      <color rgb="FF000000"/>
      <name val="宋体"/>
      <charset val="134"/>
    </font>
    <font>
      <sz val="7"/>
      <name val="Tahoma"/>
      <charset val="134"/>
    </font>
    <font>
      <sz val="11"/>
      <color rgb="FF000000"/>
      <name val="宋体"/>
      <charset val="134"/>
    </font>
    <font>
      <sz val="7"/>
      <color theme="9"/>
      <name val="Tahoma"/>
      <charset val="134"/>
    </font>
    <font>
      <sz val="10"/>
      <color theme="9"/>
      <name val="宋体"/>
      <charset val="134"/>
    </font>
    <font>
      <sz val="11"/>
      <color theme="9"/>
      <name val="宋体"/>
      <charset val="134"/>
    </font>
    <font>
      <sz val="8"/>
      <name val="宋体"/>
      <charset val="134"/>
    </font>
    <font>
      <sz val="7"/>
      <name val="宋体"/>
      <charset val="134"/>
    </font>
    <font>
      <sz val="11"/>
      <name val="Calibri"/>
      <charset val="134"/>
    </font>
    <font>
      <sz val="12"/>
      <color rgb="FFFF0000"/>
      <name val="宋体"/>
      <charset val="134"/>
    </font>
    <font>
      <sz val="10"/>
      <color rgb="FFFF0000"/>
      <name val="宋体"/>
      <charset val="134"/>
    </font>
    <font>
      <b/>
      <sz val="9"/>
      <name val="Tahoma"/>
      <charset val="134"/>
    </font>
    <font>
      <sz val="9"/>
      <name val="Tahoma"/>
      <charset val="134"/>
    </font>
    <font>
      <sz val="9"/>
      <color rgb="FFFF0000"/>
      <name val="Tahoma"/>
      <charset val="134"/>
    </font>
    <font>
      <b/>
      <sz val="22"/>
      <name val="宋体"/>
      <charset val="134"/>
    </font>
    <font>
      <sz val="12"/>
      <name val="Times New Roman Cyr"/>
      <charset val="134"/>
    </font>
    <font>
      <b/>
      <sz val="12"/>
      <name val="Times New Roman Cyr"/>
      <charset val="134"/>
    </font>
    <font>
      <b/>
      <sz val="10"/>
      <name val="仿宋_GB2312"/>
      <charset val="134"/>
    </font>
    <font>
      <sz val="10"/>
      <name val="仿宋_GB2312"/>
      <charset val="134"/>
    </font>
    <font>
      <sz val="14"/>
      <name val="宋体"/>
      <charset val="134"/>
    </font>
    <font>
      <sz val="11"/>
      <name val="Arial"/>
      <charset val="134"/>
    </font>
    <font>
      <b/>
      <sz val="11"/>
      <name val="Arial"/>
      <charset val="134"/>
    </font>
    <font>
      <b/>
      <sz val="12"/>
      <color rgb="FFFF0000"/>
      <name val="宋体"/>
      <charset val="134"/>
    </font>
    <font>
      <b/>
      <sz val="11"/>
      <color rgb="FFFF0000"/>
      <name val="Arial"/>
      <charset val="134"/>
    </font>
    <font>
      <sz val="11"/>
      <color rgb="FFC00000"/>
      <name val="Arial"/>
      <charset val="134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sz val="10"/>
      <name val="Arial"/>
      <charset val="134"/>
    </font>
    <font>
      <sz val="12"/>
      <name val="Times New Roman"/>
      <charset val="134"/>
    </font>
    <font>
      <b/>
      <sz val="11"/>
      <name val="宋体"/>
      <charset val="134"/>
    </font>
    <font>
      <sz val="10"/>
      <color indexed="8"/>
      <name val="Arial"/>
      <charset val="134"/>
    </font>
    <font>
      <sz val="10"/>
      <name val="Times New Roman Cyr"/>
      <charset val="204"/>
    </font>
    <font>
      <sz val="10"/>
      <color indexed="39"/>
      <name val="Arial"/>
      <charset val="134"/>
    </font>
    <font>
      <sz val="11"/>
      <color theme="0"/>
      <name val="宋体"/>
      <charset val="0"/>
      <scheme val="minor"/>
    </font>
    <font>
      <sz val="12"/>
      <color indexed="17"/>
      <name val="宋体"/>
      <charset val="134"/>
    </font>
    <font>
      <b/>
      <sz val="11"/>
      <color indexed="8"/>
      <name val="宋体"/>
      <charset val="134"/>
    </font>
    <font>
      <sz val="12"/>
      <color indexed="20"/>
      <name val="宋体"/>
      <charset val="134"/>
    </font>
    <font>
      <sz val="11"/>
      <color theme="0"/>
      <name val="宋体"/>
      <charset val="134"/>
      <scheme val="minor"/>
    </font>
    <font>
      <b/>
      <sz val="10"/>
      <color indexed="8"/>
      <name val="Arial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i/>
      <sz val="10"/>
      <name val="Times New Roman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8"/>
      <color indexed="16"/>
      <name val="Century Schoolbook"/>
      <charset val="134"/>
    </font>
    <font>
      <sz val="10"/>
      <color indexed="10"/>
      <name val="Arial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u/>
      <sz val="8"/>
      <name val="Helv"/>
      <charset val="134"/>
    </font>
    <font>
      <sz val="12"/>
      <name val="Tms Rmn"/>
      <charset val="134"/>
    </font>
    <font>
      <sz val="12"/>
      <color indexed="10"/>
      <name val="Arial"/>
      <charset val="134"/>
    </font>
    <font>
      <sz val="11"/>
      <color rgb="FFFA7D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indexed="56"/>
      <name val="Arial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2"/>
      <name val="Arial"/>
      <charset val="134"/>
    </font>
    <font>
      <sz val="8"/>
      <name val="Arial"/>
      <charset val="134"/>
    </font>
    <font>
      <sz val="11"/>
      <color rgb="FFFF0000"/>
      <name val="宋体"/>
      <charset val="134"/>
      <scheme val="minor"/>
    </font>
    <font>
      <sz val="9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i/>
      <sz val="10"/>
      <color indexed="23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2"/>
      <color indexed="8"/>
      <name val="Arial"/>
      <charset val="134"/>
    </font>
    <font>
      <b/>
      <sz val="11"/>
      <color indexed="16"/>
      <name val="Times New Roman"/>
      <charset val="134"/>
    </font>
    <font>
      <sz val="10"/>
      <color indexed="9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indexed="56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indexed="8"/>
      <name val="Arial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8"/>
      <name val="黑体"/>
      <charset val="134"/>
    </font>
    <font>
      <b/>
      <sz val="11"/>
      <color indexed="56"/>
      <name val="宋体"/>
      <charset val="134"/>
    </font>
    <font>
      <sz val="11"/>
      <name val="Times New Roman"/>
      <charset val="134"/>
    </font>
    <font>
      <b/>
      <sz val="8"/>
      <color indexed="12"/>
      <name val="Helv"/>
      <charset val="134"/>
    </font>
    <font>
      <sz val="10"/>
      <name val="Times New Roman"/>
      <charset val="134"/>
    </font>
    <font>
      <b/>
      <sz val="15"/>
      <color indexed="56"/>
      <name val="Arial"/>
      <charset val="134"/>
    </font>
    <font>
      <b/>
      <sz val="11"/>
      <color rgb="FF3F3F3F"/>
      <name val="宋体"/>
      <charset val="134"/>
      <scheme val="minor"/>
    </font>
    <font>
      <sz val="10"/>
      <name val="Geneva"/>
      <charset val="134"/>
    </font>
    <font>
      <u/>
      <sz val="12"/>
      <color indexed="28"/>
      <name val="宋体"/>
      <charset val="134"/>
    </font>
    <font>
      <b/>
      <sz val="10"/>
      <color indexed="63"/>
      <name val="Arial"/>
      <charset val="134"/>
    </font>
    <font>
      <sz val="12"/>
      <name val="바탕체"/>
      <charset val="134"/>
    </font>
    <font>
      <b/>
      <sz val="18"/>
      <color theme="3"/>
      <name val="宋体"/>
      <charset val="134"/>
      <scheme val="major"/>
    </font>
    <font>
      <u/>
      <sz val="8.05"/>
      <color indexed="12"/>
      <name val="SWISS"/>
      <charset val="134"/>
    </font>
    <font>
      <u/>
      <sz val="12"/>
      <color indexed="18"/>
      <name val="宋体"/>
      <charset val="134"/>
    </font>
    <font>
      <b/>
      <sz val="11"/>
      <color theme="0"/>
      <name val="宋体"/>
      <charset val="134"/>
      <scheme val="minor"/>
    </font>
    <font>
      <u/>
      <sz val="10"/>
      <color indexed="36"/>
      <name val="Tahoma"/>
      <charset val="134"/>
    </font>
    <font>
      <sz val="11"/>
      <color indexed="8"/>
      <name val="Times New Roman"/>
      <charset val="134"/>
    </font>
    <font>
      <sz val="12"/>
      <color indexed="8"/>
      <name val="Times New Roman"/>
      <charset val="134"/>
    </font>
    <font>
      <sz val="10"/>
      <color indexed="17"/>
      <name val="楷体_GB2312"/>
      <charset val="134"/>
    </font>
    <font>
      <b/>
      <i/>
      <sz val="10"/>
      <name val="Times New Roman"/>
      <charset val="134"/>
    </font>
    <font>
      <b/>
      <sz val="11"/>
      <color indexed="9"/>
      <name val="宋体"/>
      <charset val="134"/>
    </font>
    <font>
      <sz val="12"/>
      <name val="Arial"/>
      <charset val="134"/>
    </font>
    <font>
      <sz val="11"/>
      <name val="ＭＳ Ｐゴシック"/>
      <charset val="134"/>
    </font>
    <font>
      <sz val="11"/>
      <color indexed="10"/>
      <name val="宋体"/>
      <charset val="134"/>
    </font>
    <font>
      <b/>
      <sz val="13"/>
      <color indexed="56"/>
      <name val="Arial"/>
      <charset val="134"/>
    </font>
    <font>
      <b/>
      <sz val="8"/>
      <color indexed="8"/>
      <name val="Helv"/>
      <charset val="134"/>
    </font>
    <font>
      <b/>
      <sz val="8"/>
      <name val="Helv"/>
      <charset val="134"/>
    </font>
    <font>
      <sz val="10"/>
      <color indexed="20"/>
      <name val="Arial"/>
      <charset val="134"/>
    </font>
    <font>
      <sz val="10"/>
      <color indexed="52"/>
      <name val="Arial"/>
      <charset val="134"/>
    </font>
    <font>
      <sz val="14"/>
      <name val="System"/>
      <charset val="134"/>
    </font>
    <font>
      <u/>
      <sz val="10"/>
      <color indexed="12"/>
      <name val="Tahoma"/>
      <charset val="134"/>
    </font>
    <font>
      <sz val="10"/>
      <name val="Courier"/>
      <charset val="134"/>
    </font>
    <font>
      <sz val="8"/>
      <name val="Helvetica"/>
      <charset val="134"/>
    </font>
    <font>
      <b/>
      <sz val="12"/>
      <name val="Helv"/>
      <charset val="134"/>
    </font>
    <font>
      <b/>
      <sz val="18"/>
      <color indexed="56"/>
      <name val="宋体"/>
      <charset val="134"/>
    </font>
    <font>
      <sz val="8"/>
      <name val="LinePrinter"/>
      <charset val="134"/>
    </font>
    <font>
      <sz val="11"/>
      <color indexed="60"/>
      <name val="宋体"/>
      <charset val="134"/>
    </font>
    <font>
      <b/>
      <sz val="14"/>
      <name val="TimesNewRomanPS"/>
      <charset val="134"/>
    </font>
    <font>
      <b/>
      <sz val="10"/>
      <color indexed="52"/>
      <name val="Arial"/>
      <charset val="134"/>
    </font>
    <font>
      <sz val="11"/>
      <color indexed="20"/>
      <name val="Tahoma"/>
      <charset val="134"/>
    </font>
    <font>
      <i/>
      <sz val="11"/>
      <color indexed="23"/>
      <name val="宋体"/>
      <charset val="134"/>
    </font>
    <font>
      <b/>
      <sz val="10"/>
      <color indexed="9"/>
      <name val="Arial"/>
      <charset val="134"/>
    </font>
    <font>
      <b/>
      <sz val="15"/>
      <color indexed="56"/>
      <name val="宋体"/>
      <charset val="134"/>
    </font>
    <font>
      <sz val="10"/>
      <color indexed="17"/>
      <name val="Arial"/>
      <charset val="134"/>
    </font>
    <font>
      <u/>
      <sz val="8"/>
      <color indexed="12"/>
      <name val="Arial"/>
      <charset val="134"/>
    </font>
    <font>
      <sz val="11"/>
      <color indexed="52"/>
      <name val="宋体"/>
      <charset val="134"/>
    </font>
    <font>
      <sz val="10"/>
      <color indexed="60"/>
      <name val="Arial"/>
      <charset val="134"/>
    </font>
    <font>
      <sz val="7"/>
      <name val="Small Fonts"/>
      <charset val="134"/>
    </font>
    <font>
      <b/>
      <i/>
      <sz val="11"/>
      <color indexed="8"/>
      <name val="Times New Roman"/>
      <charset val="134"/>
    </font>
    <font>
      <b/>
      <sz val="22"/>
      <color indexed="8"/>
      <name val="Times New Roman"/>
      <charset val="134"/>
    </font>
    <font>
      <b/>
      <sz val="16"/>
      <color indexed="23"/>
      <name val="Arial"/>
      <charset val="134"/>
    </font>
    <font>
      <b/>
      <i/>
      <sz val="10"/>
      <name val="隶书体"/>
      <charset val="134"/>
    </font>
    <font>
      <sz val="11"/>
      <name val="明朝"/>
      <charset val="255"/>
    </font>
    <font>
      <sz val="10"/>
      <color indexed="20"/>
      <name val="楷体_GB2312"/>
      <charset val="134"/>
    </font>
    <font>
      <sz val="11"/>
      <color indexed="17"/>
      <name val="Tahoma"/>
      <charset val="134"/>
    </font>
    <font>
      <sz val="10"/>
      <name val="隶书_GB2312"/>
      <charset val="134"/>
    </font>
    <font>
      <sz val="11"/>
      <name val="蹈框"/>
      <charset val="134"/>
    </font>
    <font>
      <vertAlign val="superscript"/>
      <sz val="10"/>
      <name val="Times New Roman Cyr"/>
      <charset val="134"/>
    </font>
    <font>
      <sz val="9"/>
      <name val="宋体"/>
      <charset val="134"/>
    </font>
    <font>
      <b/>
      <sz val="9"/>
      <name val="宋体"/>
      <charset val="134"/>
    </font>
  </fonts>
  <fills count="7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DF6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9"/>
      </patternFill>
    </fill>
  </fills>
  <borders count="8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CCCCCC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5319">
    <xf numFmtId="0" fontId="0" fillId="0" borderId="0"/>
    <xf numFmtId="4" fontId="52" fillId="2" borderId="63" applyNumberFormat="0" applyProtection="0">
      <alignment vertical="center"/>
    </xf>
    <xf numFmtId="4" fontId="50" fillId="27" borderId="63" applyNumberFormat="0" applyProtection="0">
      <alignment horizontal="left" vertical="center" indent="1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0" fontId="47" fillId="37" borderId="63" applyNumberFormat="0" applyProtection="0">
      <alignment horizontal="left" vertical="center" indent="1"/>
    </xf>
    <xf numFmtId="4" fontId="52" fillId="26" borderId="63" applyNumberFormat="0" applyProtection="0">
      <alignment horizontal="right" vertical="center"/>
    </xf>
    <xf numFmtId="4" fontId="51" fillId="0" borderId="0">
      <alignment vertical="center"/>
    </xf>
    <xf numFmtId="42" fontId="66" fillId="0" borderId="0" applyFont="0" applyFill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0" borderId="0"/>
    <xf numFmtId="4" fontId="50" fillId="36" borderId="63" applyNumberFormat="0" applyProtection="0">
      <alignment horizontal="left" vertical="center" indent="1"/>
    </xf>
    <xf numFmtId="0" fontId="67" fillId="50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81" fillId="51" borderId="69" applyNumberFormat="0" applyAlignment="0" applyProtection="0">
      <alignment vertical="center"/>
    </xf>
    <xf numFmtId="4" fontId="51" fillId="0" borderId="0">
      <alignment vertical="center"/>
    </xf>
    <xf numFmtId="4" fontId="52" fillId="26" borderId="63" applyNumberFormat="0" applyProtection="0">
      <alignment horizontal="right" vertical="center"/>
    </xf>
    <xf numFmtId="4" fontId="51" fillId="0" borderId="0">
      <alignment vertical="center"/>
    </xf>
    <xf numFmtId="44" fontId="66" fillId="0" borderId="0" applyFont="0" applyFill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2" fillId="27" borderId="63" applyNumberForma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47" fillId="0" borderId="0"/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0" fontId="80" fillId="5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26" borderId="63" applyNumberFormat="0" applyProtection="0">
      <alignment horizontal="left" vertical="center" indent="1"/>
    </xf>
    <xf numFmtId="43" fontId="0" fillId="0" borderId="0" applyFont="0" applyFill="0" applyBorder="0" applyAlignment="0" applyProtection="0"/>
    <xf numFmtId="179" fontId="47" fillId="0" borderId="0" applyFont="0" applyFill="0" applyBorder="0" applyAlignment="0" applyProtection="0"/>
    <xf numFmtId="4" fontId="52" fillId="2" borderId="63" applyNumberForma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47" fillId="0" borderId="0"/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0" fontId="50" fillId="0" borderId="0">
      <alignment vertical="top"/>
    </xf>
    <xf numFmtId="0" fontId="78" fillId="0" borderId="0" applyNumberFormat="0" applyFill="0" applyBorder="0" applyAlignment="0" applyProtection="0">
      <alignment vertical="center"/>
    </xf>
    <xf numFmtId="4" fontId="5" fillId="0" borderId="0">
      <alignment vertical="center"/>
    </xf>
    <xf numFmtId="10" fontId="85" fillId="27" borderId="1" applyNumberFormat="0" applyBorder="0" applyAlignment="0" applyProtection="0"/>
    <xf numFmtId="4" fontId="51" fillId="0" borderId="0">
      <alignment vertical="center"/>
    </xf>
    <xf numFmtId="9" fontId="0" fillId="0" borderId="0" applyFont="0" applyFill="0" applyBorder="0" applyAlignment="0" applyProtection="0"/>
    <xf numFmtId="0" fontId="47" fillId="23" borderId="63" applyNumberFormat="0" applyProtection="0">
      <alignment horizontal="left" vertical="center" indent="1"/>
    </xf>
    <xf numFmtId="0" fontId="83" fillId="0" borderId="0" applyNumberFormat="0" applyFill="0" applyBorder="0" applyAlignment="0" applyProtection="0">
      <alignment vertical="center"/>
    </xf>
    <xf numFmtId="0" fontId="87" fillId="0" borderId="0">
      <alignment horizontal="left"/>
    </xf>
    <xf numFmtId="0" fontId="66" fillId="61" borderId="71" applyNumberFormat="0" applyFont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0" fontId="61" fillId="0" borderId="0"/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64" fillId="35" borderId="66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0" fillId="25" borderId="63" applyNumberFormat="0" applyProtection="0">
      <alignment horizontal="right" vertical="center"/>
    </xf>
    <xf numFmtId="0" fontId="93" fillId="0" borderId="0" applyNumberFormat="0" applyFill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95" fillId="14" borderId="69" applyNumberFormat="0" applyAlignment="0" applyProtection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0" fillId="59" borderId="63" applyNumberFormat="0" applyProtection="0">
      <alignment horizontal="right" vertical="center"/>
    </xf>
    <xf numFmtId="0" fontId="72" fillId="0" borderId="67" applyNumberFormat="0" applyFill="0" applyAlignment="0" applyProtection="0">
      <alignment vertical="center"/>
    </xf>
    <xf numFmtId="0" fontId="50" fillId="0" borderId="0">
      <alignment vertical="top"/>
    </xf>
    <xf numFmtId="0" fontId="59" fillId="33" borderId="66" applyNumberFormat="0" applyAlignment="0" applyProtection="0">
      <alignment vertical="center"/>
    </xf>
    <xf numFmtId="0" fontId="0" fillId="0" borderId="0"/>
    <xf numFmtId="0" fontId="96" fillId="56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71" fillId="0" borderId="67" applyNumberFormat="0" applyFill="0" applyAlignment="0" applyProtection="0">
      <alignment vertical="center"/>
    </xf>
    <xf numFmtId="4" fontId="51" fillId="0" borderId="0">
      <alignment vertical="center"/>
    </xf>
    <xf numFmtId="4" fontId="50" fillId="25" borderId="63" applyNumberFormat="0" applyProtection="0">
      <alignment horizontal="right" vertical="center"/>
    </xf>
    <xf numFmtId="0" fontId="64" fillId="35" borderId="66" applyNumberFormat="0" applyAlignment="0" applyProtection="0">
      <alignment vertical="center"/>
    </xf>
    <xf numFmtId="0" fontId="53" fillId="58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8" fillId="0" borderId="75" applyNumberFormat="0" applyFill="0" applyAlignment="0" applyProtection="0">
      <alignment vertical="center"/>
    </xf>
    <xf numFmtId="4" fontId="50" fillId="25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0" fontId="53" fillId="31" borderId="0" applyNumberFormat="0" applyBorder="0" applyAlignment="0" applyProtection="0">
      <alignment vertical="center"/>
    </xf>
    <xf numFmtId="43" fontId="47" fillId="0" borderId="1" applyNumberFormat="0"/>
    <xf numFmtId="4" fontId="5" fillId="0" borderId="0">
      <alignment vertical="center"/>
    </xf>
    <xf numFmtId="0" fontId="48" fillId="0" borderId="0"/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100" fillId="14" borderId="76" applyNumberFormat="0" applyAlignment="0" applyProtection="0">
      <alignment vertical="center"/>
    </xf>
    <xf numFmtId="4" fontId="51" fillId="0" borderId="0">
      <alignment vertical="center"/>
    </xf>
    <xf numFmtId="0" fontId="54" fillId="16" borderId="0" applyNumberFormat="0" applyBorder="0" applyAlignment="0" applyProtection="0">
      <alignment vertical="center"/>
    </xf>
    <xf numFmtId="0" fontId="48" fillId="0" borderId="0"/>
    <xf numFmtId="0" fontId="101" fillId="14" borderId="69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2" fillId="2" borderId="63" applyNumberFormat="0" applyProtection="0">
      <alignment vertical="center"/>
    </xf>
    <xf numFmtId="4" fontId="51" fillId="0" borderId="0">
      <alignment vertical="center"/>
    </xf>
    <xf numFmtId="4" fontId="50" fillId="27" borderId="63" applyNumberFormat="0" applyProtection="0">
      <alignment horizontal="left" vertical="center" indent="1"/>
    </xf>
    <xf numFmtId="0" fontId="103" fillId="65" borderId="78" applyNumberFormat="0" applyAlignment="0" applyProtection="0">
      <alignment vertical="center"/>
    </xf>
    <xf numFmtId="4" fontId="51" fillId="0" borderId="0">
      <alignment vertical="center"/>
    </xf>
    <xf numFmtId="4" fontId="50" fillId="24" borderId="63" applyNumberFormat="0" applyProtection="0">
      <alignment horizontal="right" vertical="center"/>
    </xf>
    <xf numFmtId="0" fontId="67" fillId="4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50" fillId="0" borderId="0">
      <alignment vertical="top"/>
    </xf>
    <xf numFmtId="0" fontId="64" fillId="35" borderId="66" applyNumberFormat="0" applyAlignment="0" applyProtection="0">
      <alignment vertical="center"/>
    </xf>
    <xf numFmtId="0" fontId="105" fillId="0" borderId="70" applyNumberFormat="0" applyFill="0" applyAlignment="0" applyProtection="0">
      <alignment vertical="center"/>
    </xf>
    <xf numFmtId="0" fontId="71" fillId="0" borderId="74" applyNumberFormat="0" applyFill="0" applyAlignment="0" applyProtection="0">
      <alignment vertical="center"/>
    </xf>
    <xf numFmtId="4" fontId="51" fillId="0" borderId="0">
      <alignment vertical="center"/>
    </xf>
    <xf numFmtId="4" fontId="50" fillId="25" borderId="63" applyNumberFormat="0" applyProtection="0">
      <alignment horizontal="right" vertical="center"/>
    </xf>
    <xf numFmtId="0" fontId="107" fillId="0" borderId="72" applyNumberFormat="0" applyFill="0" applyAlignment="0" applyProtection="0">
      <alignment vertical="center"/>
    </xf>
    <xf numFmtId="0" fontId="108" fillId="6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109" fillId="6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4" fontId="51" fillId="0" borderId="0">
      <alignment vertical="center"/>
    </xf>
    <xf numFmtId="0" fontId="55" fillId="0" borderId="65" applyNumberFormat="0" applyFill="0" applyAlignment="0" applyProtection="0">
      <alignment vertical="center"/>
    </xf>
    <xf numFmtId="0" fontId="47" fillId="0" borderId="0"/>
    <xf numFmtId="0" fontId="66" fillId="50" borderId="0" applyNumberFormat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4" fontId="51" fillId="0" borderId="0">
      <alignment vertical="center"/>
    </xf>
    <xf numFmtId="0" fontId="67" fillId="4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0" fontId="53" fillId="60" borderId="0" applyNumberFormat="0" applyBorder="0" applyAlignment="0" applyProtection="0">
      <alignment vertical="center"/>
    </xf>
    <xf numFmtId="4" fontId="51" fillId="0" borderId="0">
      <alignment vertical="center"/>
    </xf>
    <xf numFmtId="0" fontId="55" fillId="0" borderId="65" applyNumberFormat="0" applyFill="0" applyAlignment="0" applyProtection="0">
      <alignment vertical="center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7" fillId="19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27" borderId="63" applyNumberFormat="0" applyProtection="0">
      <alignment horizontal="left" vertical="center" indent="1"/>
    </xf>
    <xf numFmtId="0" fontId="67" fillId="68" borderId="0" applyNumberFormat="0" applyBorder="0" applyAlignment="0" applyProtection="0">
      <alignment vertical="center"/>
    </xf>
    <xf numFmtId="4" fontId="58" fillId="32" borderId="63" applyNumberFormat="0" applyProtection="0">
      <alignment horizontal="left" vertical="center" indent="1"/>
    </xf>
    <xf numFmtId="0" fontId="47" fillId="0" borderId="0"/>
    <xf numFmtId="4" fontId="50" fillId="2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98" fillId="6" borderId="5"/>
    <xf numFmtId="4" fontId="50" fillId="43" borderId="63" applyNumberFormat="0" applyProtection="0">
      <alignment horizontal="right" vertical="center"/>
    </xf>
    <xf numFmtId="4" fontId="51" fillId="0" borderId="0">
      <alignment vertical="center"/>
    </xf>
    <xf numFmtId="0" fontId="67" fillId="55" borderId="0" applyNumberFormat="0" applyBorder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4" fontId="58" fillId="32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0" fontId="48" fillId="0" borderId="0"/>
    <xf numFmtId="4" fontId="51" fillId="0" borderId="0">
      <alignment vertical="center"/>
    </xf>
    <xf numFmtId="0" fontId="67" fillId="53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5" fillId="27" borderId="64" applyNumberFormat="0" applyFon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2" borderId="63" applyNumberFormat="0" applyProtection="0">
      <alignment horizontal="left" vertical="center" indent="1"/>
    </xf>
    <xf numFmtId="184" fontId="0" fillId="0" borderId="0">
      <protection locked="0"/>
    </xf>
    <xf numFmtId="0" fontId="63" fillId="24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52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43" fontId="47" fillId="0" borderId="1" applyNumberFormat="0"/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50" fillId="0" borderId="0">
      <alignment vertical="top"/>
    </xf>
    <xf numFmtId="4" fontId="51" fillId="0" borderId="0">
      <alignment vertical="center"/>
    </xf>
    <xf numFmtId="184" fontId="0" fillId="0" borderId="0">
      <protection locked="0"/>
    </xf>
    <xf numFmtId="0" fontId="67" fillId="20" borderId="0" applyNumberFormat="0" applyBorder="0" applyAlignment="0" applyProtection="0">
      <alignment vertical="center"/>
    </xf>
    <xf numFmtId="4" fontId="51" fillId="0" borderId="0">
      <alignment vertical="center"/>
    </xf>
    <xf numFmtId="0" fontId="112" fillId="0" borderId="80" applyNumberFormat="0" applyFill="0" applyAlignment="0" applyProtection="0">
      <alignment vertical="center"/>
    </xf>
    <xf numFmtId="4" fontId="51" fillId="0" borderId="0">
      <alignment vertical="center"/>
    </xf>
    <xf numFmtId="0" fontId="53" fillId="69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0" fillId="0" borderId="0">
      <alignment vertical="top"/>
    </xf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0" fontId="50" fillId="0" borderId="0">
      <alignment vertical="top"/>
    </xf>
    <xf numFmtId="0" fontId="61" fillId="0" borderId="0"/>
    <xf numFmtId="4" fontId="5" fillId="0" borderId="0">
      <alignment vertical="center"/>
    </xf>
    <xf numFmtId="0" fontId="0" fillId="0" borderId="0"/>
    <xf numFmtId="0" fontId="73" fillId="51" borderId="69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48" fillId="0" borderId="0"/>
    <xf numFmtId="4" fontId="51" fillId="0" borderId="0">
      <alignment vertical="center"/>
    </xf>
    <xf numFmtId="0" fontId="0" fillId="0" borderId="0"/>
    <xf numFmtId="4" fontId="5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vertical="center"/>
    </xf>
    <xf numFmtId="4" fontId="50" fillId="43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0" fontId="50" fillId="0" borderId="0">
      <alignment vertical="top"/>
    </xf>
    <xf numFmtId="0" fontId="50" fillId="0" borderId="0">
      <alignment vertical="top"/>
    </xf>
    <xf numFmtId="4" fontId="50" fillId="59" borderId="63" applyNumberFormat="0" applyProtection="0">
      <alignment horizontal="right" vertical="center"/>
    </xf>
    <xf numFmtId="0" fontId="86" fillId="0" borderId="0" applyNumberFormat="0" applyFill="0" applyBorder="0" applyAlignment="0" applyProtection="0">
      <alignment vertical="center"/>
    </xf>
    <xf numFmtId="184" fontId="0" fillId="0" borderId="0">
      <protection locked="0"/>
    </xf>
    <xf numFmtId="0" fontId="57" fillId="58" borderId="0" applyNumberFormat="0" applyBorder="0" applyAlignment="0" applyProtection="0">
      <alignment vertical="center"/>
    </xf>
    <xf numFmtId="4" fontId="51" fillId="0" borderId="0">
      <alignment vertical="center"/>
    </xf>
    <xf numFmtId="0" fontId="50" fillId="0" borderId="0">
      <alignment vertical="top"/>
    </xf>
    <xf numFmtId="0" fontId="47" fillId="0" borderId="0"/>
    <xf numFmtId="4" fontId="5" fillId="0" borderId="0">
      <alignment vertical="center"/>
    </xf>
    <xf numFmtId="0" fontId="47" fillId="0" borderId="0"/>
    <xf numFmtId="4" fontId="51" fillId="0" borderId="0">
      <alignment vertical="center"/>
    </xf>
    <xf numFmtId="4" fontId="51" fillId="0" borderId="0">
      <alignment vertical="center"/>
    </xf>
    <xf numFmtId="0" fontId="47" fillId="0" borderId="0"/>
    <xf numFmtId="0" fontId="50" fillId="0" borderId="0">
      <alignment vertical="top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0" fillId="27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0" borderId="0"/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47" fillId="0" borderId="0"/>
    <xf numFmtId="0" fontId="48" fillId="0" borderId="0"/>
    <xf numFmtId="0" fontId="66" fillId="42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7" fillId="58" borderId="0" applyNumberFormat="0" applyBorder="0" applyAlignment="0" applyProtection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50" fillId="0" borderId="0">
      <alignment vertical="top"/>
    </xf>
    <xf numFmtId="4" fontId="51" fillId="0" borderId="0">
      <alignment vertical="center"/>
    </xf>
    <xf numFmtId="0" fontId="47" fillId="0" borderId="0"/>
    <xf numFmtId="0" fontId="5" fillId="27" borderId="64" applyNumberFormat="0" applyFont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0" fontId="47" fillId="0" borderId="0"/>
    <xf numFmtId="0" fontId="71" fillId="0" borderId="74" applyNumberFormat="0" applyFill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0" fontId="73" fillId="51" borderId="69" applyNumberFormat="0" applyAlignment="0" applyProtection="0">
      <alignment vertical="center"/>
    </xf>
    <xf numFmtId="186" fontId="114" fillId="0" borderId="0">
      <alignment horizontal="right"/>
    </xf>
    <xf numFmtId="4" fontId="50" fillId="44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1" fillId="0" borderId="0">
      <alignment vertical="center"/>
    </xf>
    <xf numFmtId="4" fontId="5" fillId="0" borderId="0">
      <alignment vertical="center"/>
    </xf>
    <xf numFmtId="0" fontId="48" fillId="0" borderId="0"/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4" fontId="50" fillId="48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0" fontId="50" fillId="52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0" fontId="50" fillId="0" borderId="0">
      <alignment vertical="top"/>
    </xf>
    <xf numFmtId="177" fontId="113" fillId="0" borderId="0" applyFill="0" applyBorder="0" applyAlignment="0"/>
    <xf numFmtId="4" fontId="5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43" borderId="63" applyNumberFormat="0" applyProtection="0">
      <alignment horizontal="right" vertical="center"/>
    </xf>
    <xf numFmtId="0" fontId="54" fillId="16" borderId="0" applyNumberFormat="0" applyBorder="0" applyAlignment="0" applyProtection="0">
      <alignment vertical="center"/>
    </xf>
    <xf numFmtId="0" fontId="50" fillId="0" borderId="0">
      <alignment vertical="top"/>
    </xf>
    <xf numFmtId="0" fontId="47" fillId="23" borderId="63" applyNumberFormat="0" applyProtection="0">
      <alignment horizontal="left" vertical="center" indent="1"/>
    </xf>
    <xf numFmtId="0" fontId="50" fillId="0" borderId="0">
      <alignment vertical="top"/>
    </xf>
    <xf numFmtId="0" fontId="50" fillId="0" borderId="0">
      <alignment vertical="top"/>
    </xf>
    <xf numFmtId="0" fontId="54" fillId="16" borderId="0" applyNumberFormat="0" applyBorder="0" applyAlignment="0" applyProtection="0">
      <alignment vertical="center"/>
    </xf>
    <xf numFmtId="0" fontId="50" fillId="0" borderId="0">
      <alignment vertical="top"/>
    </xf>
    <xf numFmtId="4" fontId="50" fillId="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10" fontId="115" fillId="0" borderId="0" applyFont="0" applyFill="0" applyBorder="0" applyAlignment="0" applyProtection="0"/>
    <xf numFmtId="0" fontId="50" fillId="0" borderId="0">
      <alignment vertical="top"/>
    </xf>
    <xf numFmtId="0" fontId="50" fillId="0" borderId="0">
      <alignment vertical="top"/>
    </xf>
    <xf numFmtId="0" fontId="47" fillId="0" borderId="0"/>
    <xf numFmtId="4" fontId="5" fillId="0" borderId="0">
      <alignment vertical="center"/>
    </xf>
    <xf numFmtId="10" fontId="85" fillId="27" borderId="1" applyNumberFormat="0" applyBorder="0" applyAlignment="0" applyProtection="0"/>
    <xf numFmtId="4" fontId="5" fillId="0" borderId="0">
      <alignment vertical="center"/>
    </xf>
    <xf numFmtId="0" fontId="47" fillId="0" borderId="0"/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47" fillId="0" borderId="0"/>
    <xf numFmtId="0" fontId="96" fillId="56" borderId="0" applyNumberFormat="0" applyBorder="0" applyAlignment="0" applyProtection="0">
      <alignment vertical="center"/>
    </xf>
    <xf numFmtId="0" fontId="117" fillId="14" borderId="76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181" fontId="47" fillId="0" borderId="0"/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6" fillId="57" borderId="0" applyNumberFormat="0" applyBorder="0" applyAlignment="0" applyProtection="0">
      <alignment vertical="center"/>
    </xf>
    <xf numFmtId="4" fontId="51" fillId="0" borderId="0">
      <alignment vertical="center"/>
    </xf>
    <xf numFmtId="0" fontId="50" fillId="0" borderId="0">
      <alignment vertical="top"/>
    </xf>
    <xf numFmtId="4" fontId="5" fillId="0" borderId="0">
      <alignment vertical="center"/>
    </xf>
    <xf numFmtId="0" fontId="59" fillId="33" borderId="66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0" fillId="0" borderId="0">
      <alignment vertical="top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10" borderId="63" applyNumberFormat="0" applyProtection="0">
      <alignment horizontal="right" vertical="center"/>
    </xf>
    <xf numFmtId="0" fontId="48" fillId="0" borderId="0"/>
    <xf numFmtId="4" fontId="51" fillId="0" borderId="0">
      <alignment vertical="center"/>
    </xf>
    <xf numFmtId="4" fontId="51" fillId="0" borderId="0">
      <alignment vertical="center"/>
    </xf>
    <xf numFmtId="4" fontId="58" fillId="32" borderId="63" applyNumberFormat="0" applyProtection="0">
      <alignment horizontal="left" vertical="center" indent="1"/>
    </xf>
    <xf numFmtId="0" fontId="62" fillId="35" borderId="63" applyNumberForma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0" fillId="0" borderId="0">
      <alignment vertical="top"/>
    </xf>
    <xf numFmtId="0" fontId="60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0" fontId="57" fillId="3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47" fillId="35" borderId="63" applyNumberFormat="0" applyProtection="0">
      <alignment horizontal="left" vertical="center" indent="1"/>
    </xf>
    <xf numFmtId="0" fontId="120" fillId="35" borderId="63" applyNumberFormat="0" applyAlignment="0" applyProtection="0"/>
    <xf numFmtId="4" fontId="50" fillId="40" borderId="63" applyNumberFormat="0" applyProtection="0">
      <alignment horizontal="right" vertical="center"/>
    </xf>
    <xf numFmtId="4" fontId="5" fillId="0" borderId="0">
      <alignment vertical="center"/>
    </xf>
    <xf numFmtId="0" fontId="47" fillId="35" borderId="63" applyNumberFormat="0" applyProtection="0">
      <alignment horizontal="left" vertical="center" indent="1"/>
    </xf>
    <xf numFmtId="4" fontId="50" fillId="40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35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1" fillId="0" borderId="0">
      <alignment vertical="center"/>
    </xf>
    <xf numFmtId="0" fontId="47" fillId="35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35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50" fillId="24" borderId="0" applyNumberFormat="0" applyBorder="0" applyAlignment="0" applyProtection="0"/>
    <xf numFmtId="4" fontId="51" fillId="0" borderId="0">
      <alignment vertical="center"/>
    </xf>
    <xf numFmtId="0" fontId="47" fillId="35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27" borderId="63" applyNumberForma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4" fontId="51" fillId="0" borderId="0">
      <alignment vertical="center"/>
    </xf>
    <xf numFmtId="0" fontId="57" fillId="34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5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59" fillId="33" borderId="66" applyNumberFormat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68" fillId="0" borderId="0" applyNumberFormat="0" applyFill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0" fillId="43" borderId="0" applyNumberFormat="0" applyBorder="0" applyAlignment="0" applyProtection="0"/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4" fontId="50" fillId="2" borderId="63" applyNumberFormat="0" applyProtection="0">
      <alignment vertical="center"/>
    </xf>
    <xf numFmtId="4" fontId="51" fillId="0" borderId="0">
      <alignment vertical="center"/>
    </xf>
    <xf numFmtId="0" fontId="47" fillId="37" borderId="63" applyNumberFormat="0" applyProtection="0">
      <alignment horizontal="left" vertical="center" indent="1"/>
    </xf>
    <xf numFmtId="4" fontId="50" fillId="27" borderId="63" applyNumberFormat="0" applyProtection="0">
      <alignment vertical="center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0" fillId="2" borderId="63" applyNumberForma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0" fontId="50" fillId="26" borderId="63" applyNumberFormat="0" applyProtection="0">
      <alignment horizontal="right" vertical="center"/>
    </xf>
    <xf numFmtId="4" fontId="51" fillId="0" borderId="0">
      <alignment vertical="center"/>
    </xf>
    <xf numFmtId="4" fontId="50" fillId="27" borderId="63" applyNumberForma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0" fillId="2" borderId="63" applyNumberFormat="0" applyProtection="0">
      <alignment vertical="center"/>
    </xf>
    <xf numFmtId="0" fontId="71" fillId="0" borderId="74" applyNumberFormat="0" applyFill="0" applyAlignment="0" applyProtection="0">
      <alignment vertical="center"/>
    </xf>
    <xf numFmtId="4" fontId="51" fillId="0" borderId="0">
      <alignment vertical="center"/>
    </xf>
    <xf numFmtId="4" fontId="50" fillId="25" borderId="63" applyNumberFormat="0" applyProtection="0">
      <alignment horizontal="right" vertical="center"/>
    </xf>
    <xf numFmtId="4" fontId="5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" fillId="0" borderId="0">
      <alignment vertical="center"/>
    </xf>
    <xf numFmtId="0" fontId="57" fillId="58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7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190" fontId="0" fillId="0" borderId="0" applyFont="0" applyFill="0" applyBorder="0" applyAlignment="0" applyProtection="0"/>
    <xf numFmtId="0" fontId="64" fillId="35" borderId="66" applyNumberFormat="0" applyAlignment="0" applyProtection="0">
      <alignment vertical="center"/>
    </xf>
    <xf numFmtId="4" fontId="70" fillId="26" borderId="63" applyNumberFormat="0" applyProtection="0">
      <alignment horizontal="right" vertical="center"/>
    </xf>
    <xf numFmtId="4" fontId="51" fillId="0" borderId="0">
      <alignment vertical="center"/>
    </xf>
    <xf numFmtId="4" fontId="5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4" fontId="51" fillId="0" borderId="0">
      <alignment vertical="center"/>
    </xf>
    <xf numFmtId="0" fontId="64" fillId="35" borderId="66" applyNumberFormat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0" fillId="52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0" fontId="57" fillId="38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" fillId="0" borderId="0">
      <alignment vertical="center"/>
    </xf>
    <xf numFmtId="0" fontId="64" fillId="35" borderId="66" applyNumberFormat="0" applyAlignment="0" applyProtection="0">
      <alignment vertical="center"/>
    </xf>
    <xf numFmtId="0" fontId="74" fillId="0" borderId="0"/>
    <xf numFmtId="4" fontId="51" fillId="0" borderId="0">
      <alignment vertical="center"/>
    </xf>
    <xf numFmtId="4" fontId="50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44" borderId="63" applyNumberFormat="0" applyProtection="0">
      <alignment horizontal="right" vertical="center"/>
    </xf>
    <xf numFmtId="4" fontId="52" fillId="27" borderId="63" applyNumberFormat="0" applyProtection="0">
      <alignment vertical="center"/>
    </xf>
    <xf numFmtId="4" fontId="5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2" fillId="27" borderId="63" applyNumberFormat="0" applyProtection="0">
      <alignment vertical="center"/>
    </xf>
    <xf numFmtId="4" fontId="5" fillId="0" borderId="0">
      <alignment vertical="center"/>
    </xf>
    <xf numFmtId="0" fontId="54" fillId="16" borderId="0" applyNumberFormat="0" applyBorder="0" applyAlignment="0" applyProtection="0">
      <alignment vertical="center"/>
    </xf>
    <xf numFmtId="4" fontId="52" fillId="27" borderId="63" applyNumberFormat="0" applyProtection="0">
      <alignment vertical="center"/>
    </xf>
    <xf numFmtId="4" fontId="51" fillId="0" borderId="0">
      <alignment vertical="center"/>
    </xf>
    <xf numFmtId="4" fontId="50" fillId="24" borderId="63" applyNumberFormat="0" applyProtection="0">
      <alignment horizontal="right" vertical="center"/>
    </xf>
    <xf numFmtId="0" fontId="123" fillId="0" borderId="0" applyNumberFormat="0" applyFill="0" applyBorder="0" applyAlignment="0" applyProtection="0">
      <alignment vertical="top"/>
      <protection locked="0"/>
    </xf>
    <xf numFmtId="4" fontId="51" fillId="0" borderId="0">
      <alignment vertical="center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7" fillId="30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184" fontId="0" fillId="0" borderId="0">
      <protection locked="0"/>
    </xf>
    <xf numFmtId="4" fontId="51" fillId="0" borderId="0">
      <alignment vertical="center"/>
    </xf>
    <xf numFmtId="4" fontId="51" fillId="0" borderId="0">
      <alignment vertical="center"/>
    </xf>
    <xf numFmtId="0" fontId="62" fillId="35" borderId="63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0" fillId="43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43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0" fillId="52" borderId="63" applyNumberFormat="0" applyProtection="0">
      <alignment horizontal="right"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7" fillId="31" borderId="0" applyNumberFormat="0" applyBorder="0" applyAlignment="0" applyProtection="0">
      <alignment vertical="center"/>
    </xf>
    <xf numFmtId="4" fontId="5" fillId="0" borderId="0">
      <alignment vertical="center"/>
    </xf>
    <xf numFmtId="0" fontId="62" fillId="35" borderId="63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2" fillId="35" borderId="63" applyNumberFormat="0" applyAlignment="0" applyProtection="0">
      <alignment vertical="center"/>
    </xf>
    <xf numFmtId="4" fontId="5" fillId="0" borderId="0">
      <alignment vertical="center"/>
    </xf>
    <xf numFmtId="0" fontId="47" fillId="0" borderId="0"/>
    <xf numFmtId="4" fontId="51" fillId="0" borderId="0">
      <alignment vertical="center"/>
    </xf>
    <xf numFmtId="4" fontId="51" fillId="0" borderId="0">
      <alignment vertical="center"/>
    </xf>
    <xf numFmtId="0" fontId="73" fillId="51" borderId="69" applyNumberForma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" fillId="0" borderId="0">
      <alignment vertical="center"/>
    </xf>
    <xf numFmtId="0" fontId="62" fillId="35" borderId="63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7" fillId="69" borderId="0" applyNumberFormat="0" applyBorder="0" applyAlignment="0" applyProtection="0">
      <alignment vertical="center"/>
    </xf>
    <xf numFmtId="4" fontId="50" fillId="2" borderId="63" applyNumberForma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47" fillId="37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0" fontId="47" fillId="37" borderId="63" applyNumberFormat="0" applyProtection="0">
      <alignment horizontal="left" vertical="center" indent="1"/>
    </xf>
    <xf numFmtId="4" fontId="51" fillId="0" borderId="0">
      <alignment vertical="center"/>
    </xf>
    <xf numFmtId="4" fontId="5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0" fontId="96" fillId="56" borderId="0" applyNumberFormat="0" applyBorder="0" applyAlignment="0" applyProtection="0">
      <alignment vertical="center"/>
    </xf>
    <xf numFmtId="0" fontId="84" fillId="0" borderId="42">
      <alignment horizontal="left" vertical="center"/>
    </xf>
    <xf numFmtId="4" fontId="5" fillId="0" borderId="0">
      <alignment vertical="center"/>
    </xf>
    <xf numFmtId="4" fontId="50" fillId="59" borderId="63" applyNumberFormat="0" applyProtection="0">
      <alignment horizontal="right" vertical="center"/>
    </xf>
    <xf numFmtId="4" fontId="5" fillId="0" borderId="0">
      <alignment vertical="center"/>
    </xf>
    <xf numFmtId="4" fontId="5" fillId="0" borderId="0">
      <alignment vertical="center"/>
    </xf>
    <xf numFmtId="0" fontId="66" fillId="57" borderId="0" applyNumberFormat="0" applyBorder="0" applyAlignment="0" applyProtection="0">
      <alignment vertical="center"/>
    </xf>
    <xf numFmtId="4" fontId="5" fillId="0" borderId="0">
      <alignment vertical="center"/>
    </xf>
    <xf numFmtId="0" fontId="84" fillId="0" borderId="42">
      <alignment horizontal="left"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0" fontId="84" fillId="0" borderId="42">
      <alignment horizontal="left"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6" fillId="24" borderId="0" applyNumberFormat="0" applyBorder="0" applyAlignment="0" applyProtection="0">
      <alignment vertical="center"/>
    </xf>
    <xf numFmtId="0" fontId="65" fillId="5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52" borderId="63" applyNumberFormat="0" applyProtection="0">
      <alignment horizontal="right" vertical="center"/>
    </xf>
    <xf numFmtId="0" fontId="74" fillId="0" borderId="0"/>
    <xf numFmtId="4" fontId="51" fillId="0" borderId="0">
      <alignment vertical="center"/>
    </xf>
    <xf numFmtId="4" fontId="51" fillId="0" borderId="0">
      <alignment vertical="center"/>
    </xf>
    <xf numFmtId="4" fontId="50" fillId="36" borderId="63" applyNumberFormat="0" applyProtection="0">
      <alignment horizontal="left" vertical="center" indent="1"/>
    </xf>
    <xf numFmtId="0" fontId="66" fillId="19" borderId="0" applyNumberFormat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top"/>
      <protection locked="0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55" fillId="0" borderId="65" applyNumberFormat="0" applyFill="0" applyAlignment="0" applyProtection="0">
      <alignment vertical="center"/>
    </xf>
    <xf numFmtId="0" fontId="50" fillId="0" borderId="0">
      <alignment vertical="top"/>
    </xf>
    <xf numFmtId="4" fontId="51" fillId="0" borderId="0">
      <alignment vertical="center"/>
    </xf>
    <xf numFmtId="4" fontId="51" fillId="0" borderId="0">
      <alignment vertical="center"/>
    </xf>
    <xf numFmtId="0" fontId="68" fillId="0" borderId="73" applyNumberFormat="0" applyFill="0" applyAlignment="0" applyProtection="0">
      <alignment vertical="center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0" fontId="52" fillId="26" borderId="63" applyNumberFormat="0" applyProtection="0">
      <alignment horizontal="right" vertical="center"/>
    </xf>
    <xf numFmtId="4" fontId="5" fillId="0" borderId="0">
      <alignment vertical="center"/>
    </xf>
    <xf numFmtId="0" fontId="47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8" fillId="32" borderId="63" applyNumberFormat="0" applyProtection="0">
      <alignment horizontal="left" vertical="center" indent="1"/>
    </xf>
    <xf numFmtId="0" fontId="66" fillId="4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89" fillId="70" borderId="0" applyNumberFormat="0" applyBorder="0" applyAlignment="0" applyProtection="0">
      <alignment vertical="center"/>
    </xf>
    <xf numFmtId="4" fontId="5" fillId="0" borderId="0">
      <alignment vertical="center"/>
    </xf>
    <xf numFmtId="0" fontId="47" fillId="37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0" fontId="66" fillId="42" borderId="0" applyNumberFormat="0" applyBorder="0" applyAlignment="0" applyProtection="0">
      <alignment vertical="center"/>
    </xf>
    <xf numFmtId="0" fontId="89" fillId="70" borderId="0" applyNumberFormat="0" applyBorder="0" applyAlignment="0" applyProtection="0">
      <alignment vertical="center"/>
    </xf>
    <xf numFmtId="4" fontId="51" fillId="0" borderId="0">
      <alignment vertical="center"/>
    </xf>
    <xf numFmtId="0" fontId="47" fillId="37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4" fontId="51" fillId="0" borderId="0">
      <alignment vertical="center"/>
    </xf>
    <xf numFmtId="0" fontId="54" fillId="16" borderId="0" applyNumberFormat="0" applyBorder="0" applyAlignment="0" applyProtection="0">
      <alignment vertical="center"/>
    </xf>
    <xf numFmtId="4" fontId="5" fillId="0" borderId="0">
      <alignment vertical="center"/>
    </xf>
    <xf numFmtId="0" fontId="89" fillId="3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0" fontId="47" fillId="37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" fillId="0" borderId="0">
      <alignment vertical="center"/>
    </xf>
    <xf numFmtId="0" fontId="77" fillId="0" borderId="70" applyNumberFormat="0" applyFill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70" fillId="26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57" fillId="31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7" fillId="58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110" fillId="61" borderId="71" applyNumberFormat="0" applyFon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96" fillId="5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4" fontId="5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0" fillId="44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95" fillId="14" borderId="69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4" fontId="51" fillId="0" borderId="0">
      <alignment vertical="center"/>
    </xf>
    <xf numFmtId="4" fontId="50" fillId="2" borderId="63" applyNumberFormat="0" applyProtection="0">
      <alignment vertical="center"/>
    </xf>
    <xf numFmtId="4" fontId="50" fillId="43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0" fontId="96" fillId="5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59" borderId="63" applyNumberFormat="0" applyProtection="0">
      <alignment horizontal="right" vertical="center"/>
    </xf>
    <xf numFmtId="40" fontId="127" fillId="6" borderId="0">
      <alignment horizontal="right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59" borderId="63" applyNumberFormat="0" applyProtection="0">
      <alignment horizontal="right" vertical="center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" fillId="0" borderId="0">
      <alignment vertical="center"/>
    </xf>
    <xf numFmtId="0" fontId="47" fillId="35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0" fontId="47" fillId="35" borderId="63" applyNumberFormat="0" applyProtection="0">
      <alignment horizontal="left" vertical="center" indent="1"/>
    </xf>
    <xf numFmtId="0" fontId="86" fillId="0" borderId="0" applyNumberFormat="0" applyFill="0" applyBorder="0" applyAlignment="0" applyProtection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10" fontId="85" fillId="27" borderId="1" applyNumberFormat="0" applyBorder="0" applyAlignment="0" applyProtection="0"/>
    <xf numFmtId="4" fontId="51" fillId="0" borderId="0">
      <alignment vertical="center"/>
    </xf>
    <xf numFmtId="0" fontId="62" fillId="35" borderId="63" applyNumberFormat="0" applyAlignment="0" applyProtection="0">
      <alignment vertical="center"/>
    </xf>
    <xf numFmtId="4" fontId="51" fillId="0" borderId="0">
      <alignment vertical="center"/>
    </xf>
    <xf numFmtId="4" fontId="50" fillId="24" borderId="63" applyNumberFormat="0" applyProtection="0">
      <alignment horizontal="right" vertical="center"/>
    </xf>
    <xf numFmtId="4" fontId="51" fillId="0" borderId="0">
      <alignment vertical="center"/>
    </xf>
    <xf numFmtId="4" fontId="50" fillId="26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0" fontId="50" fillId="36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66" fillId="68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6" borderId="63" applyNumberFormat="0" applyProtection="0">
      <alignment horizontal="right" vertical="center"/>
    </xf>
    <xf numFmtId="0" fontId="99" fillId="67" borderId="0" applyNumberFormat="0" applyBorder="0" applyAlignment="0" applyProtection="0"/>
    <xf numFmtId="4" fontId="51" fillId="0" borderId="0">
      <alignment vertical="center"/>
    </xf>
    <xf numFmtId="4" fontId="51" fillId="0" borderId="0">
      <alignment vertical="center"/>
    </xf>
    <xf numFmtId="4" fontId="50" fillId="52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52" borderId="63" applyNumberFormat="0" applyProtection="0">
      <alignment horizontal="right" vertical="center"/>
    </xf>
    <xf numFmtId="4" fontId="51" fillId="0" borderId="0">
      <alignment vertical="center"/>
    </xf>
    <xf numFmtId="43" fontId="47" fillId="0" borderId="0" applyFont="0" applyFill="0" applyBorder="0" applyAlignment="0" applyProtection="0"/>
    <xf numFmtId="4" fontId="5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47" fillId="0" borderId="0"/>
    <xf numFmtId="0" fontId="47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181" fontId="47" fillId="0" borderId="0"/>
    <xf numFmtId="4" fontId="51" fillId="0" borderId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6" fillId="47" borderId="0" applyNumberFormat="0" applyBorder="0" applyAlignment="0" applyProtection="0">
      <alignment vertical="center"/>
    </xf>
    <xf numFmtId="4" fontId="50" fillId="43" borderId="63" applyNumberFormat="0" applyProtection="0">
      <alignment horizontal="right" vertical="center"/>
    </xf>
    <xf numFmtId="4" fontId="51" fillId="0" borderId="0">
      <alignment vertical="center"/>
    </xf>
    <xf numFmtId="4" fontId="5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52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0" fontId="74" fillId="0" borderId="0"/>
    <xf numFmtId="0" fontId="56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88" fillId="0" borderId="72" applyNumberFormat="0" applyFill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181" fontId="47" fillId="0" borderId="0"/>
    <xf numFmtId="0" fontId="64" fillId="35" borderId="66" applyNumberFormat="0" applyAlignment="0" applyProtection="0">
      <alignment vertical="center"/>
    </xf>
    <xf numFmtId="4" fontId="5" fillId="0" borderId="0">
      <alignment vertical="center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0" fillId="43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59" borderId="63" applyNumberFormat="0" applyProtection="0">
      <alignment horizontal="right" vertical="center"/>
    </xf>
    <xf numFmtId="0" fontId="47" fillId="36" borderId="63" applyNumberFormat="0" applyProtection="0">
      <alignment horizontal="left" vertical="center" indent="1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0" fontId="47" fillId="36" borderId="63" applyNumberFormat="0" applyProtection="0">
      <alignment horizontal="left" vertical="center" indent="1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0" fontId="62" fillId="35" borderId="63" applyNumberForma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2" fillId="35" borderId="63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0" fontId="54" fillId="16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44" borderId="63" applyNumberFormat="0" applyProtection="0">
      <alignment horizontal="right" vertical="center"/>
    </xf>
    <xf numFmtId="4" fontId="5" fillId="0" borderId="0">
      <alignment vertical="center"/>
    </xf>
    <xf numFmtId="4" fontId="51" fillId="0" borderId="0">
      <alignment vertical="center"/>
    </xf>
    <xf numFmtId="4" fontId="50" fillId="44" borderId="63" applyNumberFormat="0" applyProtection="0">
      <alignment horizontal="right"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4" fontId="52" fillId="26" borderId="63" applyNumberFormat="0" applyProtection="0">
      <alignment horizontal="right" vertical="center"/>
    </xf>
    <xf numFmtId="0" fontId="54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47" fillId="36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2" fillId="26" borderId="63" applyNumberFormat="0" applyProtection="0">
      <alignment horizontal="right" vertical="center"/>
    </xf>
    <xf numFmtId="0" fontId="68" fillId="0" borderId="0" applyNumberFormat="0" applyFill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47" fillId="36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4" fontId="5" fillId="0" borderId="0">
      <alignment vertical="center"/>
    </xf>
    <xf numFmtId="0" fontId="57" fillId="5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8" fillId="0" borderId="0"/>
    <xf numFmtId="0" fontId="47" fillId="36" borderId="63" applyNumberFormat="0" applyProtection="0">
      <alignment horizontal="left" vertical="center" indent="1"/>
    </xf>
    <xf numFmtId="4" fontId="5" fillId="0" borderId="0">
      <alignment vertical="center"/>
    </xf>
    <xf numFmtId="0" fontId="94" fillId="62" borderId="0" applyNumberFormat="0" applyBorder="0" applyAlignment="0" applyProtection="0">
      <alignment vertical="center"/>
    </xf>
    <xf numFmtId="4" fontId="50" fillId="43" borderId="63" applyNumberFormat="0" applyProtection="0">
      <alignment horizontal="right" vertical="center"/>
    </xf>
    <xf numFmtId="4" fontId="5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1" fillId="0" borderId="0">
      <alignment vertical="center"/>
    </xf>
    <xf numFmtId="184" fontId="0" fillId="0" borderId="0">
      <protection locked="0"/>
    </xf>
    <xf numFmtId="4" fontId="5" fillId="0" borderId="0">
      <alignment vertical="center"/>
    </xf>
    <xf numFmtId="0" fontId="55" fillId="0" borderId="65" applyNumberFormat="0" applyFill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52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0" fontId="102" fillId="0" borderId="77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2" borderId="63" applyNumberFormat="0" applyProtection="0">
      <alignment horizontal="left" vertical="center" indent="1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44" borderId="63" applyNumberFormat="0" applyProtection="0">
      <alignment horizontal="right" vertical="center"/>
    </xf>
    <xf numFmtId="4" fontId="51" fillId="0" borderId="0">
      <alignment vertical="center"/>
    </xf>
    <xf numFmtId="0" fontId="47" fillId="36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110" fillId="61" borderId="71" applyNumberFormat="0" applyFon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66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0" fillId="10" borderId="63" applyNumberFormat="0" applyProtection="0">
      <alignment horizontal="right" vertical="center"/>
    </xf>
    <xf numFmtId="0" fontId="47" fillId="36" borderId="63" applyNumberFormat="0" applyProtection="0">
      <alignment horizontal="left" vertical="center" indent="1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6" fillId="49" borderId="0" applyNumberFormat="0" applyBorder="0" applyAlignment="0" applyProtection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40" borderId="63" applyNumberFormat="0" applyProtection="0">
      <alignment horizontal="right"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0" fontId="57" fillId="31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47" fillId="37" borderId="63" applyNumberFormat="0" applyProtection="0">
      <alignment horizontal="left" vertical="center" indent="1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70" fillId="26" borderId="63" applyNumberFormat="0" applyProtection="0">
      <alignment horizontal="right" vertical="center"/>
    </xf>
    <xf numFmtId="4" fontId="51" fillId="0" borderId="0">
      <alignment vertical="center"/>
    </xf>
    <xf numFmtId="0" fontId="0" fillId="27" borderId="64" applyNumberFormat="0" applyFont="0" applyAlignment="0" applyProtection="0">
      <alignment vertical="center"/>
    </xf>
    <xf numFmtId="4" fontId="51" fillId="0" borderId="0">
      <alignment vertical="center"/>
    </xf>
    <xf numFmtId="0" fontId="57" fillId="28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59" borderId="63" applyNumberFormat="0" applyProtection="0">
      <alignment horizontal="right" vertical="center"/>
    </xf>
    <xf numFmtId="0" fontId="66" fillId="42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59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181" fontId="47" fillId="0" borderId="0"/>
    <xf numFmtId="4" fontId="52" fillId="2" borderId="63" applyNumberFormat="0" applyProtection="0">
      <alignment vertical="center"/>
    </xf>
    <xf numFmtId="0" fontId="117" fillId="14" borderId="7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7" fillId="30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36" borderId="63" applyNumberFormat="0" applyProtection="0">
      <alignment horizontal="left" vertical="center" indent="1"/>
    </xf>
    <xf numFmtId="0" fontId="57" fillId="28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7" fillId="29" borderId="0" applyNumberFormat="0" applyBorder="0" applyAlignment="0" applyProtection="0">
      <alignment vertical="center"/>
    </xf>
    <xf numFmtId="4" fontId="51" fillId="0" borderId="0">
      <alignment vertical="center"/>
    </xf>
    <xf numFmtId="0" fontId="57" fillId="29" borderId="0" applyNumberFormat="0" applyBorder="0" applyAlignment="0" applyProtection="0">
      <alignment vertical="center"/>
    </xf>
    <xf numFmtId="4" fontId="5" fillId="0" borderId="0">
      <alignment vertical="center"/>
    </xf>
    <xf numFmtId="194" fontId="113" fillId="0" borderId="0" applyFill="0" applyBorder="0" applyAlignment="0">
      <alignment horizontal="left" vertical="center" wrapText="1"/>
    </xf>
    <xf numFmtId="4" fontId="5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0" fontId="99" fillId="54" borderId="0" applyNumberFormat="0" applyBorder="0" applyAlignment="0" applyProtection="0"/>
    <xf numFmtId="4" fontId="5" fillId="0" borderId="0">
      <alignment vertical="center"/>
    </xf>
    <xf numFmtId="4" fontId="50" fillId="52" borderId="63" applyNumberFormat="0" applyProtection="0">
      <alignment horizontal="right" vertical="center"/>
    </xf>
    <xf numFmtId="4" fontId="5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0" fontId="95" fillId="14" borderId="69" applyNumberForma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52" borderId="63" applyNumberFormat="0" applyProtection="0">
      <alignment horizontal="right" vertical="center"/>
    </xf>
    <xf numFmtId="4" fontId="51" fillId="0" borderId="0">
      <alignment vertical="center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0" fillId="40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0" fontId="50" fillId="8" borderId="0" applyNumberFormat="0" applyBorder="0" applyAlignment="0" applyProtection="0"/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131" fillId="37" borderId="82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2" fillId="35" borderId="63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0" fontId="62" fillId="35" borderId="63" applyNumberFormat="0" applyAlignment="0" applyProtection="0">
      <alignment vertical="center"/>
    </xf>
    <xf numFmtId="4" fontId="5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0" fillId="43" borderId="63" applyNumberFormat="0" applyProtection="0">
      <alignment horizontal="right"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57" fillId="60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70" fillId="26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4" fillId="16" borderId="0" applyNumberFormat="0" applyBorder="0" applyAlignment="0" applyProtection="0">
      <alignment vertical="center"/>
    </xf>
    <xf numFmtId="0" fontId="47" fillId="0" borderId="0"/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0" fillId="43" borderId="63" applyNumberFormat="0" applyProtection="0">
      <alignment horizontal="right"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0" fillId="40" borderId="63" applyNumberFormat="0" applyProtection="0">
      <alignment horizontal="right" vertical="center"/>
    </xf>
    <xf numFmtId="4" fontId="51" fillId="0" borderId="0">
      <alignment vertical="center"/>
    </xf>
    <xf numFmtId="0" fontId="79" fillId="0" borderId="80" applyNumberFormat="0" applyFill="0" applyAlignment="0" applyProtection="0"/>
    <xf numFmtId="0" fontId="66" fillId="20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4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0" fontId="65" fillId="54" borderId="0" applyNumberFormat="0" applyBorder="0" applyAlignment="0" applyProtection="0">
      <alignment vertical="center"/>
    </xf>
    <xf numFmtId="4" fontId="50" fillId="52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4" fontId="5" fillId="0" borderId="0">
      <alignment vertical="center"/>
    </xf>
    <xf numFmtId="0" fontId="71" fillId="0" borderId="74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4" fontId="5" fillId="0" borderId="0">
      <alignment vertical="center"/>
    </xf>
    <xf numFmtId="4" fontId="50" fillId="10" borderId="63" applyNumberFormat="0" applyProtection="0">
      <alignment horizontal="right" vertical="center"/>
    </xf>
    <xf numFmtId="4" fontId="5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10" borderId="63" applyNumberFormat="0" applyProtection="0">
      <alignment horizontal="right" vertical="center"/>
    </xf>
    <xf numFmtId="4" fontId="5" fillId="0" borderId="0">
      <alignment vertical="center"/>
    </xf>
    <xf numFmtId="0" fontId="57" fillId="69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0" fillId="40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57" fillId="69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50" fillId="44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0" fontId="0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77" fillId="0" borderId="70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10" fontId="85" fillId="27" borderId="1" applyNumberFormat="0" applyBorder="0" applyAlignment="0" applyProtection="0"/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3" fontId="48" fillId="0" borderId="0" applyFont="0" applyFill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6" borderId="63" applyNumberFormat="0" applyProtection="0">
      <alignment horizontal="left" vertical="center" indent="1"/>
    </xf>
    <xf numFmtId="4" fontId="51" fillId="0" borderId="0">
      <alignment vertical="center"/>
    </xf>
    <xf numFmtId="4" fontId="5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4" fontId="51" fillId="0" borderId="0">
      <alignment vertical="center"/>
    </xf>
    <xf numFmtId="0" fontId="66" fillId="4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57" fillId="2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4" fontId="50" fillId="36" borderId="63" applyNumberFormat="0" applyProtection="0">
      <alignment horizontal="left" vertical="center" indent="1"/>
    </xf>
    <xf numFmtId="4" fontId="51" fillId="0" borderId="0">
      <alignment vertical="center"/>
    </xf>
    <xf numFmtId="0" fontId="75" fillId="0" borderId="0" applyNumberFormat="0" applyFill="0" applyBorder="0" applyAlignment="0" applyProtection="0"/>
    <xf numFmtId="4" fontId="51" fillId="0" borderId="0">
      <alignment vertical="center"/>
    </xf>
    <xf numFmtId="4" fontId="51" fillId="0" borderId="0">
      <alignment vertical="center"/>
    </xf>
    <xf numFmtId="0" fontId="117" fillId="14" borderId="76" applyNumberForma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57" fillId="29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0" fillId="0" borderId="0">
      <alignment vertical="top"/>
    </xf>
    <xf numFmtId="0" fontId="47" fillId="36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0" fillId="10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5" fillId="0" borderId="65" applyNumberFormat="0" applyFill="0" applyAlignment="0" applyProtection="0">
      <alignment vertical="center"/>
    </xf>
    <xf numFmtId="4" fontId="5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0" fillId="59" borderId="63" applyNumberFormat="0" applyProtection="0">
      <alignment horizontal="right" vertical="center"/>
    </xf>
    <xf numFmtId="184" fontId="0" fillId="0" borderId="0">
      <protection locked="0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57" fillId="58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47" fillId="36" borderId="63" applyNumberFormat="0" applyProtection="0">
      <alignment horizontal="left" vertical="center" indent="1"/>
    </xf>
    <xf numFmtId="4" fontId="5" fillId="0" borderId="0">
      <alignment vertical="center"/>
    </xf>
    <xf numFmtId="0" fontId="47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57" fillId="45" borderId="0" applyNumberFormat="0" applyBorder="0" applyAlignment="0" applyProtection="0">
      <alignment vertical="center"/>
    </xf>
    <xf numFmtId="0" fontId="48" fillId="0" borderId="0" applyNumberFormat="0" applyFont="0" applyAlignment="0"/>
    <xf numFmtId="4" fontId="5" fillId="0" borderId="0">
      <alignment vertical="center"/>
    </xf>
    <xf numFmtId="4" fontId="51" fillId="0" borderId="0">
      <alignment vertical="center"/>
    </xf>
    <xf numFmtId="0" fontId="47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136" fillId="0" borderId="0" applyNumberFormat="0" applyAlignment="0">
      <alignment horizontal="left"/>
    </xf>
    <xf numFmtId="4" fontId="5" fillId="0" borderId="0">
      <alignment vertical="center"/>
    </xf>
    <xf numFmtId="0" fontId="71" fillId="0" borderId="74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0" fillId="0" borderId="0">
      <alignment vertical="top"/>
    </xf>
    <xf numFmtId="4" fontId="51" fillId="0" borderId="0">
      <alignment vertical="center"/>
    </xf>
    <xf numFmtId="0" fontId="55" fillId="0" borderId="65" applyNumberFormat="0" applyFill="0" applyAlignment="0" applyProtection="0">
      <alignment vertical="center"/>
    </xf>
    <xf numFmtId="4" fontId="5" fillId="0" borderId="0">
      <alignment vertical="center"/>
    </xf>
    <xf numFmtId="0" fontId="62" fillId="35" borderId="63" applyNumberFormat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4" fontId="52" fillId="2" borderId="63" applyNumberForma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185" fontId="47" fillId="0" borderId="0" applyFont="0" applyFill="0" applyBorder="0" applyAlignment="0" applyProtection="0"/>
    <xf numFmtId="0" fontId="56" fillId="24" borderId="0" applyNumberFormat="0" applyBorder="0" applyAlignment="0" applyProtection="0">
      <alignment vertical="center"/>
    </xf>
    <xf numFmtId="4" fontId="69" fillId="0" borderId="0">
      <alignment horizontal="right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0" fontId="57" fillId="29" borderId="0" applyNumberFormat="0" applyBorder="0" applyAlignment="0" applyProtection="0">
      <alignment vertical="center"/>
    </xf>
    <xf numFmtId="4" fontId="50" fillId="36" borderId="63" applyNumberFormat="0" applyProtection="0">
      <alignment horizontal="left" vertical="center" indent="1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" fillId="0" borderId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7" fillId="29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" fillId="0" borderId="0">
      <alignment vertical="center"/>
    </xf>
    <xf numFmtId="4" fontId="5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5" fillId="0" borderId="65" applyNumberFormat="0" applyFill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66" fillId="68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70" fillId="26" borderId="63" applyNumberFormat="0" applyProtection="0">
      <alignment horizontal="right" vertical="center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70" fillId="26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7" fillId="2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4" fontId="50" fillId="43" borderId="63" applyNumberFormat="0" applyProtection="0">
      <alignment horizontal="right"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4" fontId="51" fillId="0" borderId="0">
      <alignment vertical="center"/>
    </xf>
    <xf numFmtId="4" fontId="50" fillId="44" borderId="63" applyNumberFormat="0" applyProtection="0">
      <alignment horizontal="right" vertical="center"/>
    </xf>
    <xf numFmtId="4" fontId="5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8" fillId="32" borderId="63" applyNumberFormat="0" applyProtection="0">
      <alignment horizontal="left" vertical="center" indent="1"/>
    </xf>
    <xf numFmtId="0" fontId="64" fillId="35" borderId="66" applyNumberFormat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4" fontId="50" fillId="44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7" fillId="29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0" fillId="0" borderId="0">
      <alignment vertical="top"/>
    </xf>
    <xf numFmtId="4" fontId="50" fillId="26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7" fillId="29" borderId="0" applyNumberFormat="0" applyBorder="0" applyAlignment="0" applyProtection="0">
      <alignment vertical="center"/>
    </xf>
    <xf numFmtId="4" fontId="50" fillId="2" borderId="63" applyNumberForma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8" fillId="32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68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1" fillId="0" borderId="0"/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10" borderId="63" applyNumberFormat="0" applyProtection="0">
      <alignment horizontal="right" vertical="center"/>
    </xf>
    <xf numFmtId="0" fontId="57" fillId="30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0" fillId="0" borderId="0">
      <alignment vertical="top"/>
    </xf>
    <xf numFmtId="0" fontId="47" fillId="23" borderId="63" applyNumberFormat="0" applyProtection="0">
      <alignment horizontal="left" vertical="center" indent="1"/>
    </xf>
    <xf numFmtId="0" fontId="62" fillId="35" borderId="63" applyNumberFormat="0" applyAlignment="0" applyProtection="0">
      <alignment vertical="center"/>
    </xf>
    <xf numFmtId="4" fontId="5" fillId="0" borderId="0">
      <alignment vertical="center"/>
    </xf>
    <xf numFmtId="0" fontId="54" fillId="16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4" fontId="5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0" fillId="24" borderId="63" applyNumberFormat="0" applyProtection="0">
      <alignment horizontal="right" vertical="center"/>
    </xf>
    <xf numFmtId="4" fontId="51" fillId="0" borderId="0">
      <alignment vertical="center"/>
    </xf>
    <xf numFmtId="10" fontId="85" fillId="27" borderId="1" applyNumberFormat="0" applyBorder="0" applyAlignment="0" applyProtection="0"/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0" fontId="125" fillId="65" borderId="78" applyNumberFormat="0" applyAlignment="0" applyProtection="0">
      <alignment vertical="center"/>
    </xf>
    <xf numFmtId="4" fontId="5" fillId="0" borderId="0">
      <alignment vertical="center"/>
    </xf>
    <xf numFmtId="4" fontId="50" fillId="43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0" fontId="98" fillId="6" borderId="5"/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125" fillId="65" borderId="78" applyNumberFormat="0" applyAlignment="0" applyProtection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" fillId="0" borderId="0">
      <alignment vertical="center"/>
    </xf>
    <xf numFmtId="0" fontId="66" fillId="0" borderId="0">
      <alignment vertical="center"/>
    </xf>
    <xf numFmtId="0" fontId="66" fillId="68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0" fillId="2" borderId="63" applyNumberFormat="0" applyProtection="0">
      <alignment vertical="center"/>
    </xf>
    <xf numFmtId="4" fontId="5" fillId="0" borderId="0">
      <alignment vertical="center"/>
    </xf>
    <xf numFmtId="0" fontId="54" fillId="16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4" fontId="5" fillId="0" borderId="0">
      <alignment vertical="center"/>
    </xf>
    <xf numFmtId="0" fontId="66" fillId="20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47" fillId="35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57" fillId="28" borderId="0" applyNumberFormat="0" applyBorder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0" fillId="43" borderId="63" applyNumberFormat="0" applyProtection="0">
      <alignment horizontal="right" vertical="center"/>
    </xf>
    <xf numFmtId="4" fontId="51" fillId="0" borderId="0">
      <alignment vertical="center"/>
    </xf>
    <xf numFmtId="4" fontId="50" fillId="44" borderId="63" applyNumberFormat="0" applyProtection="0">
      <alignment horizontal="right" vertical="center"/>
    </xf>
    <xf numFmtId="0" fontId="122" fillId="0" borderId="0" applyNumberFormat="0" applyFill="0" applyBorder="0" applyAlignment="0" applyProtection="0">
      <alignment vertical="center"/>
    </xf>
    <xf numFmtId="4" fontId="51" fillId="0" borderId="0">
      <alignment vertical="center"/>
    </xf>
    <xf numFmtId="4" fontId="50" fillId="44" borderId="63" applyNumberFormat="0" applyProtection="0">
      <alignment horizontal="right" vertical="center"/>
    </xf>
    <xf numFmtId="0" fontId="47" fillId="37" borderId="63" applyNumberFormat="0" applyProtection="0">
      <alignment horizontal="left" vertical="center" indent="1"/>
    </xf>
    <xf numFmtId="4" fontId="51" fillId="0" borderId="0">
      <alignment vertical="center"/>
    </xf>
    <xf numFmtId="4" fontId="70" fillId="26" borderId="63" applyNumberFormat="0" applyProtection="0">
      <alignment horizontal="right" vertical="center"/>
    </xf>
    <xf numFmtId="4" fontId="51" fillId="0" borderId="0">
      <alignment vertical="center"/>
    </xf>
    <xf numFmtId="0" fontId="50" fillId="48" borderId="63" applyNumberFormat="0" applyProtection="0">
      <alignment horizontal="right" vertical="center"/>
    </xf>
    <xf numFmtId="0" fontId="57" fillId="3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2" fillId="35" borderId="63" applyNumberFormat="0" applyAlignment="0" applyProtection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27" borderId="63" applyNumberFormat="0" applyProtection="0">
      <alignment horizontal="left" vertical="center" indent="1"/>
    </xf>
    <xf numFmtId="4" fontId="5" fillId="0" borderId="0">
      <alignment vertical="center"/>
    </xf>
    <xf numFmtId="0" fontId="50" fillId="0" borderId="0">
      <alignment vertical="top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9" fontId="48" fillId="0" borderId="0" applyFont="0" applyFill="0" applyBorder="0" applyAlignment="0" applyProtection="0"/>
    <xf numFmtId="4" fontId="50" fillId="26" borderId="63" applyNumberFormat="0" applyProtection="0">
      <alignment horizontal="right" vertical="center"/>
    </xf>
    <xf numFmtId="4" fontId="5" fillId="0" borderId="0">
      <alignment vertical="center"/>
    </xf>
    <xf numFmtId="0" fontId="65" fillId="59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0" fontId="68" fillId="0" borderId="73" applyNumberFormat="0" applyFill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68" fillId="0" borderId="73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6" fillId="2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57" fillId="3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4" fontId="51" fillId="0" borderId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57" fillId="69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38" fontId="85" fillId="35" borderId="0" applyNumberFormat="0" applyBorder="0" applyAlignment="0" applyProtection="0"/>
    <xf numFmtId="0" fontId="60" fillId="16" borderId="0" applyNumberFormat="0" applyBorder="0" applyAlignment="0" applyProtection="0">
      <alignment vertical="center"/>
    </xf>
    <xf numFmtId="0" fontId="0" fillId="0" borderId="0"/>
    <xf numFmtId="4" fontId="51" fillId="0" borderId="0">
      <alignment vertical="center"/>
    </xf>
    <xf numFmtId="4" fontId="51" fillId="0" borderId="0">
      <alignment vertical="center"/>
    </xf>
    <xf numFmtId="0" fontId="62" fillId="35" borderId="63" applyNumberFormat="0" applyAlignment="0" applyProtection="0">
      <alignment vertical="center"/>
    </xf>
    <xf numFmtId="4" fontId="51" fillId="0" borderId="0">
      <alignment vertical="center"/>
    </xf>
    <xf numFmtId="4" fontId="50" fillId="44" borderId="63" applyNumberFormat="0" applyProtection="0">
      <alignment horizontal="right" vertical="center"/>
    </xf>
    <xf numFmtId="4" fontId="50" fillId="2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0" fillId="0" borderId="0">
      <alignment vertical="top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0" fontId="57" fillId="69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0" fillId="0" borderId="0"/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24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0" fontId="139" fillId="0" borderId="83" applyNumberFormat="0" applyFill="0" applyAlignment="0" applyProtection="0"/>
    <xf numFmtId="0" fontId="89" fillId="71" borderId="0" applyNumberFormat="0" applyBorder="0" applyAlignment="0" applyProtection="0">
      <alignment vertical="center"/>
    </xf>
    <xf numFmtId="39" fontId="0" fillId="0" borderId="0"/>
    <xf numFmtId="4" fontId="51" fillId="0" borderId="0">
      <alignment vertical="center"/>
    </xf>
    <xf numFmtId="4" fontId="5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96" fillId="56" borderId="0" applyNumberFormat="0" applyBorder="0" applyAlignment="0" applyProtection="0">
      <alignment vertical="center"/>
    </xf>
    <xf numFmtId="4" fontId="51" fillId="0" borderId="0">
      <alignment vertical="center"/>
    </xf>
    <xf numFmtId="0" fontId="96" fillId="56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37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43" borderId="63" applyNumberFormat="0" applyProtection="0">
      <alignment horizontal="right" vertical="center"/>
    </xf>
    <xf numFmtId="4" fontId="5" fillId="0" borderId="0">
      <alignment vertical="center"/>
    </xf>
    <xf numFmtId="4" fontId="51" fillId="0" borderId="0">
      <alignment vertical="center"/>
    </xf>
    <xf numFmtId="4" fontId="50" fillId="43" borderId="63" applyNumberFormat="0" applyProtection="0">
      <alignment horizontal="right"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72" fillId="0" borderId="68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5" fillId="0" borderId="65" applyNumberFormat="0" applyFill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8" fillId="0" borderId="73" applyNumberFormat="0" applyFill="0" applyAlignment="0" applyProtection="0">
      <alignment vertical="center"/>
    </xf>
    <xf numFmtId="0" fontId="61" fillId="0" borderId="0"/>
    <xf numFmtId="4" fontId="51" fillId="0" borderId="0">
      <alignment vertical="center"/>
    </xf>
    <xf numFmtId="0" fontId="64" fillId="35" borderId="66" applyNumberFormat="0" applyAlignment="0" applyProtection="0">
      <alignment vertical="center"/>
    </xf>
    <xf numFmtId="0" fontId="50" fillId="0" borderId="0">
      <alignment vertical="top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0" fontId="50" fillId="0" borderId="0">
      <alignment vertical="top"/>
    </xf>
    <xf numFmtId="0" fontId="58" fillId="32" borderId="63" applyNumberFormat="0" applyProtection="0">
      <alignment horizontal="left" vertical="center" indent="1"/>
    </xf>
    <xf numFmtId="0" fontId="50" fillId="0" borderId="0">
      <alignment vertical="top"/>
    </xf>
    <xf numFmtId="4" fontId="50" fillId="59" borderId="63" applyNumberFormat="0" applyProtection="0">
      <alignment horizontal="right" vertical="center"/>
    </xf>
    <xf numFmtId="0" fontId="57" fillId="1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0" fontId="55" fillId="0" borderId="65" applyNumberFormat="0" applyFill="0" applyAlignment="0" applyProtection="0">
      <alignment vertical="center"/>
    </xf>
    <xf numFmtId="0" fontId="50" fillId="0" borderId="0">
      <alignment vertical="top"/>
    </xf>
    <xf numFmtId="0" fontId="57" fillId="69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50" fillId="0" borderId="0">
      <alignment vertical="top"/>
    </xf>
    <xf numFmtId="0" fontId="56" fillId="24" borderId="0" applyNumberFormat="0" applyBorder="0" applyAlignment="0" applyProtection="0">
      <alignment vertical="center"/>
    </xf>
    <xf numFmtId="0" fontId="48" fillId="0" borderId="0">
      <alignment vertical="center"/>
    </xf>
    <xf numFmtId="4" fontId="51" fillId="0" borderId="0">
      <alignment vertical="center"/>
    </xf>
    <xf numFmtId="0" fontId="50" fillId="0" borderId="0">
      <alignment vertical="top"/>
    </xf>
    <xf numFmtId="0" fontId="50" fillId="0" borderId="0">
      <alignment vertical="top"/>
    </xf>
    <xf numFmtId="4" fontId="50" fillId="10" borderId="63" applyNumberFormat="0" applyProtection="0">
      <alignment horizontal="right" vertical="center"/>
    </xf>
    <xf numFmtId="4" fontId="51" fillId="0" borderId="0">
      <alignment vertical="center"/>
    </xf>
    <xf numFmtId="4" fontId="50" fillId="52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0" fontId="57" fillId="38" borderId="0" applyNumberFormat="0" applyBorder="0" applyAlignment="0" applyProtection="0">
      <alignment vertical="center"/>
    </xf>
    <xf numFmtId="0" fontId="47" fillId="0" borderId="0"/>
    <xf numFmtId="4" fontId="52" fillId="27" borderId="63" applyNumberFormat="0" applyProtection="0">
      <alignment vertical="center"/>
    </xf>
    <xf numFmtId="0" fontId="140" fillId="0" borderId="0"/>
    <xf numFmtId="4" fontId="50" fillId="36" borderId="63" applyNumberFormat="0" applyProtection="0">
      <alignment horizontal="left" vertical="center" indent="1"/>
    </xf>
    <xf numFmtId="0" fontId="47" fillId="0" borderId="0"/>
    <xf numFmtId="0" fontId="63" fillId="24" borderId="0" applyNumberFormat="0" applyBorder="0" applyAlignment="0" applyProtection="0">
      <alignment vertical="center"/>
    </xf>
    <xf numFmtId="0" fontId="135" fillId="0" borderId="77" applyNumberFormat="0" applyFill="0" applyAlignment="0" applyProtection="0"/>
    <xf numFmtId="0" fontId="47" fillId="0" borderId="0"/>
    <xf numFmtId="0" fontId="47" fillId="0" borderId="0"/>
    <xf numFmtId="4" fontId="51" fillId="0" borderId="0">
      <alignment vertical="center"/>
    </xf>
    <xf numFmtId="0" fontId="47" fillId="0" borderId="0"/>
    <xf numFmtId="4" fontId="50" fillId="2" borderId="63" applyNumberFormat="0" applyProtection="0">
      <alignment horizontal="left" vertical="center" indent="1"/>
    </xf>
    <xf numFmtId="0" fontId="47" fillId="0" borderId="0"/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48" fillId="0" borderId="0"/>
    <xf numFmtId="4" fontId="87" fillId="0" borderId="0">
      <alignment horizontal="right"/>
    </xf>
    <xf numFmtId="4" fontId="51" fillId="0" borderId="0">
      <alignment vertical="center"/>
    </xf>
    <xf numFmtId="0" fontId="48" fillId="0" borderId="0"/>
    <xf numFmtId="4" fontId="50" fillId="59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0" fontId="48" fillId="0" borderId="0"/>
    <xf numFmtId="0" fontId="66" fillId="55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48" fillId="0" borderId="0"/>
    <xf numFmtId="4" fontId="50" fillId="40" borderId="63" applyNumberFormat="0" applyProtection="0">
      <alignment horizontal="right" vertical="center"/>
    </xf>
    <xf numFmtId="0" fontId="48" fillId="0" borderId="0"/>
    <xf numFmtId="0" fontId="57" fillId="30" borderId="0" applyNumberFormat="0" applyBorder="0" applyAlignment="0" applyProtection="0">
      <alignment vertical="center"/>
    </xf>
    <xf numFmtId="4" fontId="51" fillId="0" borderId="0">
      <alignment vertical="center"/>
    </xf>
    <xf numFmtId="4" fontId="70" fillId="26" borderId="63" applyNumberFormat="0" applyProtection="0">
      <alignment horizontal="right" vertical="center"/>
    </xf>
    <xf numFmtId="4" fontId="5" fillId="0" borderId="0">
      <alignment vertical="center"/>
    </xf>
    <xf numFmtId="4" fontId="70" fillId="26" borderId="63" applyNumberFormat="0" applyProtection="0">
      <alignment horizontal="right"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0" fillId="24" borderId="63" applyNumberFormat="0" applyProtection="0">
      <alignment horizontal="right" vertical="center"/>
    </xf>
    <xf numFmtId="0" fontId="50" fillId="0" borderId="0">
      <alignment vertical="top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4" fontId="5" fillId="0" borderId="0">
      <alignment vertical="center"/>
    </xf>
    <xf numFmtId="0" fontId="66" fillId="55" borderId="0" applyNumberFormat="0" applyBorder="0" applyAlignment="0" applyProtection="0">
      <alignment vertical="center"/>
    </xf>
    <xf numFmtId="0" fontId="89" fillId="24" borderId="0" applyNumberFormat="0" applyBorder="0" applyAlignment="0" applyProtection="0">
      <alignment vertical="center"/>
    </xf>
    <xf numFmtId="0" fontId="50" fillId="0" borderId="0">
      <alignment vertical="top"/>
    </xf>
    <xf numFmtId="4" fontId="51" fillId="0" borderId="0">
      <alignment vertical="center"/>
    </xf>
    <xf numFmtId="0" fontId="57" fillId="31" borderId="0" applyNumberFormat="0" applyBorder="0" applyAlignment="0" applyProtection="0">
      <alignment vertical="center"/>
    </xf>
    <xf numFmtId="4" fontId="5" fillId="0" borderId="0">
      <alignment vertical="center"/>
    </xf>
    <xf numFmtId="0" fontId="54" fillId="16" borderId="0" applyNumberFormat="0" applyBorder="0" applyAlignment="0" applyProtection="0">
      <alignment vertical="center"/>
    </xf>
    <xf numFmtId="0" fontId="140" fillId="0" borderId="0"/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57" fillId="41" borderId="0" applyNumberFormat="0" applyBorder="0" applyAlignment="0" applyProtection="0">
      <alignment vertical="center"/>
    </xf>
    <xf numFmtId="4" fontId="5" fillId="0" borderId="0">
      <alignment vertical="center"/>
    </xf>
    <xf numFmtId="0" fontId="57" fillId="41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72" fillId="0" borderId="68" applyNumberFormat="0" applyFill="0" applyAlignment="0" applyProtection="0">
      <alignment vertical="center"/>
    </xf>
    <xf numFmtId="4" fontId="51" fillId="0" borderId="0">
      <alignment vertical="center"/>
    </xf>
    <xf numFmtId="0" fontId="72" fillId="0" borderId="68" applyNumberFormat="0" applyFill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4" fillId="16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0" fontId="74" fillId="0" borderId="0"/>
    <xf numFmtId="0" fontId="56" fillId="24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0" fontId="66" fillId="39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48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27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4" fontId="52" fillId="2" borderId="63" applyNumberForma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2" fillId="35" borderId="63" applyNumberForma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2" fillId="26" borderId="63" applyNumberFormat="0" applyProtection="0">
      <alignment horizontal="right" vertical="center"/>
    </xf>
    <xf numFmtId="4" fontId="51" fillId="0" borderId="0">
      <alignment vertical="center"/>
    </xf>
    <xf numFmtId="0" fontId="47" fillId="35" borderId="63" applyNumberFormat="0" applyProtection="0">
      <alignment horizontal="left" vertical="center" indent="1"/>
    </xf>
    <xf numFmtId="4" fontId="52" fillId="26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2" fillId="26" borderId="63" applyNumberFormat="0" applyProtection="0">
      <alignment horizontal="right" vertical="center"/>
    </xf>
    <xf numFmtId="0" fontId="55" fillId="0" borderId="65" applyNumberFormat="0" applyFill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64" fillId="35" borderId="66" applyNumberFormat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0" fillId="27" borderId="63" applyNumberFormat="0" applyProtection="0">
      <alignment horizontal="left" vertical="center" indent="1"/>
    </xf>
    <xf numFmtId="0" fontId="64" fillId="35" borderId="66" applyNumberFormat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47" fillId="37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4" fillId="16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10" borderId="63" applyNumberFormat="0" applyProtection="0">
      <alignment horizontal="right" vertical="center"/>
    </xf>
    <xf numFmtId="0" fontId="47" fillId="36" borderId="63" applyNumberFormat="0" applyProtection="0">
      <alignment horizontal="left" vertical="center" indent="1"/>
    </xf>
    <xf numFmtId="0" fontId="57" fillId="30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0" fillId="10" borderId="63" applyNumberFormat="0" applyProtection="0">
      <alignment horizontal="right" vertical="center"/>
    </xf>
    <xf numFmtId="0" fontId="57" fillId="30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7" borderId="63" applyNumberFormat="0" applyProtection="0">
      <alignment vertical="center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0" fillId="27" borderId="64" applyNumberFormat="0" applyFont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65" fillId="52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0" fillId="52" borderId="63" applyNumberFormat="0" applyProtection="0">
      <alignment horizontal="right" vertical="center"/>
    </xf>
    <xf numFmtId="0" fontId="65" fillId="52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52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52" borderId="63" applyNumberFormat="0" applyProtection="0">
      <alignment horizontal="right" vertical="center"/>
    </xf>
    <xf numFmtId="0" fontId="57" fillId="3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8" fillId="32" borderId="63" applyNumberFormat="0" applyProtection="0">
      <alignment horizontal="left" vertical="center" indent="1"/>
    </xf>
    <xf numFmtId="4" fontId="51" fillId="0" borderId="0">
      <alignment vertical="center"/>
    </xf>
    <xf numFmtId="0" fontId="50" fillId="25" borderId="63" applyNumberFormat="0" applyProtection="0">
      <alignment horizontal="right" vertical="center"/>
    </xf>
    <xf numFmtId="4" fontId="5" fillId="0" borderId="0">
      <alignment vertical="center"/>
    </xf>
    <xf numFmtId="4" fontId="5" fillId="0" borderId="0">
      <alignment vertical="center"/>
    </xf>
    <xf numFmtId="0" fontId="47" fillId="35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2" fillId="2" borderId="63" applyNumberFormat="0" applyProtection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10" borderId="63" applyNumberFormat="0" applyProtection="0">
      <alignment horizontal="right" vertical="center"/>
    </xf>
    <xf numFmtId="4" fontId="51" fillId="0" borderId="0">
      <alignment vertical="center"/>
    </xf>
    <xf numFmtId="0" fontId="99" fillId="72" borderId="0" applyNumberFormat="0" applyBorder="0" applyAlignment="0" applyProtection="0"/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10" fontId="132" fillId="0" borderId="0" applyFont="0" applyFill="0" applyBorder="0" applyAlignment="0" applyProtection="0"/>
    <xf numFmtId="0" fontId="63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7" fillId="5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48" borderId="63" applyNumberFormat="0" applyProtection="0">
      <alignment horizontal="right" vertical="center"/>
    </xf>
    <xf numFmtId="4" fontId="51" fillId="0" borderId="0">
      <alignment vertical="center"/>
    </xf>
    <xf numFmtId="0" fontId="52" fillId="27" borderId="63" applyNumberForma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117" fillId="14" borderId="76" applyNumberFormat="0" applyAlignment="0" applyProtection="0">
      <alignment vertical="center"/>
    </xf>
    <xf numFmtId="0" fontId="70" fillId="0" borderId="0" applyNumberFormat="0" applyFill="0" applyBorder="0" applyAlignment="0" applyProtection="0"/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4" fontId="50" fillId="2" borderId="63" applyNumberForma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4" fontId="50" fillId="48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40" borderId="63" applyNumberFormat="0" applyProtection="0">
      <alignment horizontal="right" vertical="center"/>
    </xf>
    <xf numFmtId="0" fontId="66" fillId="50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40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89" fillId="43" borderId="0" applyNumberFormat="0" applyBorder="0" applyAlignment="0" applyProtection="0">
      <alignment vertical="center"/>
    </xf>
    <xf numFmtId="4" fontId="5" fillId="0" borderId="0">
      <alignment vertical="center"/>
    </xf>
    <xf numFmtId="0" fontId="89" fillId="43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0" fillId="48" borderId="63" applyNumberFormat="0" applyProtection="0">
      <alignment horizontal="right" vertical="center"/>
    </xf>
    <xf numFmtId="0" fontId="57" fillId="34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48" borderId="63" applyNumberFormat="0" applyProtection="0">
      <alignment horizontal="right" vertical="center"/>
    </xf>
    <xf numFmtId="4" fontId="5" fillId="0" borderId="0">
      <alignment vertical="center"/>
    </xf>
    <xf numFmtId="0" fontId="52" fillId="2" borderId="63" applyNumberForma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48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57" fillId="28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0" fillId="44" borderId="63" applyNumberFormat="0" applyProtection="0">
      <alignment horizontal="right" vertical="center"/>
    </xf>
    <xf numFmtId="0" fontId="47" fillId="37" borderId="63" applyNumberFormat="0" applyProtection="0">
      <alignment horizontal="left" vertical="center" indent="1"/>
    </xf>
    <xf numFmtId="4" fontId="51" fillId="0" borderId="0">
      <alignment vertical="center"/>
    </xf>
    <xf numFmtId="0" fontId="62" fillId="35" borderId="63" applyNumberForma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5" fillId="48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7" fillId="12" borderId="0" applyNumberFormat="0" applyBorder="0" applyAlignment="0" applyProtection="0">
      <alignment vertical="center"/>
    </xf>
    <xf numFmtId="14" fontId="143" fillId="73" borderId="0" applyNumberFormat="0" applyAlignment="0">
      <alignment horizontal="left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7" fillId="58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0" fontId="48" fillId="0" borderId="0"/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54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6" fillId="46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2" fillId="2" borderId="63" applyNumberForma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0" fillId="40" borderId="63" applyNumberFormat="0" applyProtection="0">
      <alignment horizontal="right"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4" fontId="50" fillId="10" borderId="63" applyNumberFormat="0" applyProtection="0">
      <alignment horizontal="right" vertical="center"/>
    </xf>
    <xf numFmtId="4" fontId="5" fillId="0" borderId="0">
      <alignment vertical="center"/>
    </xf>
    <xf numFmtId="4" fontId="50" fillId="10" borderId="63" applyNumberFormat="0" applyProtection="0">
      <alignment horizontal="right" vertical="center"/>
    </xf>
    <xf numFmtId="0" fontId="65" fillId="72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4" fontId="50" fillId="10" borderId="63" applyNumberFormat="0" applyProtection="0">
      <alignment horizontal="right" vertical="center"/>
    </xf>
    <xf numFmtId="4" fontId="5" fillId="0" borderId="0">
      <alignment vertical="center"/>
    </xf>
    <xf numFmtId="4" fontId="5" fillId="0" borderId="0">
      <alignment vertical="center"/>
    </xf>
    <xf numFmtId="0" fontId="144" fillId="0" borderId="0" applyNumberFormat="0" applyFill="0" applyBorder="0" applyAlignment="0" applyProtection="0"/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0" fillId="24" borderId="63" applyNumberFormat="0" applyProtection="0">
      <alignment horizontal="right" vertical="center"/>
    </xf>
    <xf numFmtId="4" fontId="5" fillId="0" borderId="0">
      <alignment vertical="center"/>
    </xf>
    <xf numFmtId="4" fontId="50" fillId="24" borderId="63" applyNumberFormat="0" applyProtection="0">
      <alignment horizontal="right" vertical="center"/>
    </xf>
    <xf numFmtId="4" fontId="5" fillId="0" borderId="0">
      <alignment vertical="center"/>
    </xf>
    <xf numFmtId="0" fontId="59" fillId="33" borderId="66" applyNumberFormat="0" applyAlignment="0" applyProtection="0">
      <alignment vertical="center"/>
    </xf>
    <xf numFmtId="0" fontId="61" fillId="0" borderId="0"/>
    <xf numFmtId="4" fontId="51" fillId="0" borderId="0">
      <alignment vertical="center"/>
    </xf>
    <xf numFmtId="4" fontId="51" fillId="0" borderId="0">
      <alignment vertical="center"/>
    </xf>
    <xf numFmtId="0" fontId="73" fillId="51" borderId="69" applyNumberFormat="0" applyAlignment="0" applyProtection="0">
      <alignment vertical="center"/>
    </xf>
    <xf numFmtId="4" fontId="51" fillId="0" borderId="0">
      <alignment vertical="center"/>
    </xf>
    <xf numFmtId="4" fontId="50" fillId="24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4" fontId="5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" fillId="0" borderId="0">
      <alignment vertical="center"/>
    </xf>
    <xf numFmtId="0" fontId="66" fillId="49" borderId="0" applyNumberFormat="0" applyBorder="0" applyAlignment="0" applyProtection="0">
      <alignment vertical="center"/>
    </xf>
    <xf numFmtId="4" fontId="52" fillId="27" borderId="63" applyNumberForma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6" fillId="2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66" fillId="47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6" fillId="20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2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0" fillId="27" borderId="63" applyNumberFormat="0" applyProtection="0">
      <alignment vertical="center"/>
    </xf>
    <xf numFmtId="4" fontId="51" fillId="0" borderId="0">
      <alignment vertical="center"/>
    </xf>
    <xf numFmtId="4" fontId="50" fillId="27" borderId="63" applyNumberForma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182" fontId="48" fillId="0" borderId="0" applyFont="0" applyFill="0" applyBorder="0" applyAlignment="0" applyProtection="0"/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64" fillId="35" borderId="66" applyNumberFormat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47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57" fillId="69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0" fillId="26" borderId="63" applyNumberFormat="0" applyProtection="0">
      <alignment horizontal="left" vertical="center" indent="1"/>
    </xf>
    <xf numFmtId="4" fontId="5" fillId="0" borderId="0">
      <alignment vertical="center"/>
    </xf>
    <xf numFmtId="4" fontId="5" fillId="0" borderId="0">
      <alignment vertical="center"/>
    </xf>
    <xf numFmtId="4" fontId="50" fillId="26" borderId="63" applyNumberFormat="0" applyProtection="0">
      <alignment horizontal="left" vertical="center" indent="1"/>
    </xf>
    <xf numFmtId="0" fontId="66" fillId="39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8" fillId="32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0" fillId="26" borderId="63" applyNumberFormat="0" applyProtection="0">
      <alignment horizontal="left" vertical="center" indent="1"/>
    </xf>
    <xf numFmtId="4" fontId="50" fillId="25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0" fillId="25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188" fontId="48" fillId="0" borderId="0" applyFont="0" applyFill="0" applyBorder="0" applyAlignment="0" applyProtection="0"/>
    <xf numFmtId="4" fontId="5" fillId="0" borderId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59" fillId="33" borderId="66" applyNumberFormat="0" applyAlignment="0" applyProtection="0">
      <alignment vertical="center"/>
    </xf>
    <xf numFmtId="4" fontId="5" fillId="0" borderId="0">
      <alignment vertical="center"/>
    </xf>
    <xf numFmtId="0" fontId="84" fillId="0" borderId="42">
      <alignment horizontal="left" vertical="center"/>
    </xf>
    <xf numFmtId="0" fontId="59" fillId="33" borderId="66" applyNumberForma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2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0" fillId="2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26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26" borderId="63" applyNumberFormat="0" applyProtection="0">
      <alignment horizontal="left" vertical="center" indent="1"/>
    </xf>
    <xf numFmtId="0" fontId="68" fillId="0" borderId="73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112" fillId="0" borderId="0" applyNumberFormat="0" applyFill="0" applyBorder="0" applyAlignment="0" applyProtection="0">
      <alignment vertical="center"/>
    </xf>
    <xf numFmtId="4" fontId="50" fillId="24" borderId="63" applyNumberFormat="0" applyProtection="0">
      <alignment horizontal="right" vertical="center"/>
    </xf>
    <xf numFmtId="4" fontId="51" fillId="0" borderId="0">
      <alignment vertical="center"/>
    </xf>
    <xf numFmtId="0" fontId="79" fillId="0" borderId="0" applyNumberFormat="0" applyFill="0" applyBorder="0" applyAlignment="0" applyProtection="0"/>
    <xf numFmtId="4" fontId="50" fillId="24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47" fillId="36" borderId="63" applyNumberFormat="0" applyProtection="0">
      <alignment horizontal="left" vertical="center" indent="1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0" fontId="66" fillId="49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26" borderId="63" applyNumberFormat="0" applyProtection="0">
      <alignment horizontal="left" vertical="center" indent="1"/>
    </xf>
    <xf numFmtId="4" fontId="5" fillId="0" borderId="0">
      <alignment vertical="center"/>
    </xf>
    <xf numFmtId="4" fontId="50" fillId="26" borderId="63" applyNumberFormat="0" applyProtection="0">
      <alignment horizontal="left" vertical="center" indent="1"/>
    </xf>
    <xf numFmtId="4" fontId="51" fillId="0" borderId="0">
      <alignment vertical="center"/>
    </xf>
    <xf numFmtId="0" fontId="66" fillId="42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36" borderId="63" applyNumberFormat="0" applyProtection="0">
      <alignment horizontal="left" vertical="center" indent="1"/>
    </xf>
    <xf numFmtId="4" fontId="51" fillId="0" borderId="0">
      <alignment vertical="center"/>
    </xf>
    <xf numFmtId="4" fontId="58" fillId="32" borderId="63" applyNumberFormat="0" applyProtection="0">
      <alignment horizontal="left" vertical="center" indent="1"/>
    </xf>
    <xf numFmtId="4" fontId="51" fillId="0" borderId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0" fillId="48" borderId="63" applyNumberFormat="0" applyProtection="0">
      <alignment horizontal="right" vertical="center"/>
    </xf>
    <xf numFmtId="0" fontId="106" fillId="0" borderId="0" applyNumberFormat="0" applyFont="0" applyBorder="0" applyAlignment="0"/>
    <xf numFmtId="4" fontId="5" fillId="0" borderId="0">
      <alignment vertical="center"/>
    </xf>
    <xf numFmtId="4" fontId="50" fillId="27" borderId="63" applyNumberFormat="0" applyProtection="0">
      <alignment vertical="center"/>
    </xf>
    <xf numFmtId="4" fontId="5" fillId="0" borderId="0">
      <alignment vertical="center"/>
    </xf>
    <xf numFmtId="4" fontId="50" fillId="27" borderId="63" applyNumberFormat="0" applyProtection="0">
      <alignment vertical="center"/>
    </xf>
    <xf numFmtId="0" fontId="59" fillId="33" borderId="66" applyNumberFormat="0" applyAlignment="0" applyProtection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0" fontId="122" fillId="0" borderId="0" applyNumberFormat="0" applyFill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1" fillId="0" borderId="0">
      <alignment vertical="center"/>
    </xf>
    <xf numFmtId="4" fontId="52" fillId="26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181" fontId="47" fillId="0" borderId="0"/>
    <xf numFmtId="0" fontId="66" fillId="49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4" fontId="51" fillId="0" borderId="0">
      <alignment vertical="center"/>
    </xf>
    <xf numFmtId="0" fontId="141" fillId="0" borderId="0" applyNumberFormat="0" applyFill="0" applyBorder="0" applyAlignment="0" applyProtection="0">
      <alignment vertical="top"/>
      <protection locked="0"/>
    </xf>
    <xf numFmtId="4" fontId="51" fillId="0" borderId="0">
      <alignment vertical="center"/>
    </xf>
    <xf numFmtId="4" fontId="5" fillId="0" borderId="0">
      <alignment vertical="center"/>
    </xf>
    <xf numFmtId="0" fontId="57" fillId="31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66" fillId="53" borderId="0" applyNumberFormat="0" applyBorder="0" applyAlignment="0" applyProtection="0">
      <alignment vertical="center"/>
    </xf>
    <xf numFmtId="4" fontId="51" fillId="0" borderId="0">
      <alignment vertical="center"/>
    </xf>
    <xf numFmtId="4" fontId="50" fillId="44" borderId="63" applyNumberFormat="0" applyProtection="0">
      <alignment horizontal="right" vertical="center"/>
    </xf>
    <xf numFmtId="4" fontId="5" fillId="0" borderId="0">
      <alignment vertical="center"/>
    </xf>
    <xf numFmtId="4" fontId="5" fillId="0" borderId="0">
      <alignment vertical="center"/>
    </xf>
    <xf numFmtId="4" fontId="50" fillId="2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0" fillId="8" borderId="0" applyNumberFormat="0" applyBorder="0" applyAlignment="0" applyProtection="0"/>
    <xf numFmtId="4" fontId="51" fillId="0" borderId="0">
      <alignment vertical="center"/>
    </xf>
    <xf numFmtId="4" fontId="52" fillId="26" borderId="63" applyNumberFormat="0" applyProtection="0">
      <alignment horizontal="right"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6" fillId="50" borderId="0" applyNumberFormat="0" applyBorder="0" applyAlignment="0" applyProtection="0">
      <alignment vertical="center"/>
    </xf>
    <xf numFmtId="4" fontId="5" fillId="0" borderId="0">
      <alignment vertical="center"/>
    </xf>
    <xf numFmtId="0" fontId="0" fillId="27" borderId="64" applyNumberFormat="0" applyFon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4" fontId="51" fillId="0" borderId="0">
      <alignment vertical="center"/>
    </xf>
    <xf numFmtId="0" fontId="64" fillId="35" borderId="66" applyNumberFormat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27" borderId="63" applyNumberFormat="0" applyProtection="0">
      <alignment horizontal="left" vertical="center" indent="1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0" fillId="43" borderId="63" applyNumberFormat="0" applyProtection="0">
      <alignment horizontal="right" vertical="center"/>
    </xf>
    <xf numFmtId="0" fontId="47" fillId="37" borderId="63" applyNumberFormat="0" applyProtection="0">
      <alignment horizontal="left" vertical="center" indent="1"/>
    </xf>
    <xf numFmtId="0" fontId="0" fillId="0" borderId="0" applyNumberFormat="0" applyFill="0" applyBorder="0" applyAlignment="0" applyProtection="0">
      <alignment vertical="center"/>
    </xf>
    <xf numFmtId="4" fontId="51" fillId="0" borderId="0">
      <alignment vertical="center"/>
    </xf>
    <xf numFmtId="4" fontId="50" fillId="43" borderId="63" applyNumberFormat="0" applyProtection="0">
      <alignment horizontal="right" vertical="center"/>
    </xf>
    <xf numFmtId="0" fontId="47" fillId="37" borderId="63" applyNumberFormat="0" applyProtection="0">
      <alignment horizontal="left" vertical="center" indent="1"/>
    </xf>
    <xf numFmtId="0" fontId="0" fillId="0" borderId="0"/>
    <xf numFmtId="4" fontId="5" fillId="0" borderId="0">
      <alignment vertical="center"/>
    </xf>
    <xf numFmtId="4" fontId="5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" fillId="0" borderId="0">
      <alignment vertical="center"/>
    </xf>
    <xf numFmtId="0" fontId="66" fillId="68" borderId="0" applyNumberFormat="0" applyBorder="0" applyAlignment="0" applyProtection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0" fontId="66" fillId="68" borderId="0" applyNumberFormat="0" applyBorder="0" applyAlignment="0" applyProtection="0">
      <alignment vertical="center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4" fontId="50" fillId="43" borderId="63" applyNumberFormat="0" applyProtection="0">
      <alignment horizontal="right" vertical="center"/>
    </xf>
    <xf numFmtId="0" fontId="113" fillId="0" borderId="0" applyFill="0" applyBorder="0" applyAlignment="0">
      <alignment horizontal="left" vertical="center"/>
    </xf>
    <xf numFmtId="4" fontId="50" fillId="43" borderId="63" applyNumberFormat="0" applyProtection="0">
      <alignment horizontal="right"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59" borderId="63" applyNumberFormat="0" applyProtection="0">
      <alignment horizontal="right" vertical="center"/>
    </xf>
    <xf numFmtId="4" fontId="50" fillId="36" borderId="63" applyNumberFormat="0" applyProtection="0">
      <alignment horizontal="left" vertical="center" indent="1"/>
    </xf>
    <xf numFmtId="4" fontId="5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10" borderId="63" applyNumberFormat="0" applyProtection="0">
      <alignment horizontal="right" vertical="center"/>
    </xf>
    <xf numFmtId="4" fontId="51" fillId="0" borderId="0">
      <alignment vertical="center"/>
    </xf>
    <xf numFmtId="43" fontId="0" fillId="0" borderId="0" applyFont="0" applyFill="0" applyBorder="0" applyAlignment="0" applyProtection="0"/>
    <xf numFmtId="4" fontId="50" fillId="26" borderId="63" applyNumberFormat="0" applyProtection="0">
      <alignment horizontal="left" vertical="center" indent="1"/>
    </xf>
    <xf numFmtId="0" fontId="68" fillId="0" borderId="0" applyNumberFormat="0" applyFill="0" applyBorder="0" applyAlignment="0" applyProtection="0">
      <alignment vertical="center"/>
    </xf>
    <xf numFmtId="4" fontId="51" fillId="0" borderId="0">
      <alignment vertical="center"/>
    </xf>
    <xf numFmtId="4" fontId="50" fillId="48" borderId="63" applyNumberFormat="0" applyProtection="0">
      <alignment horizontal="right" vertical="center"/>
    </xf>
    <xf numFmtId="0" fontId="54" fillId="16" borderId="0" applyNumberFormat="0" applyBorder="0" applyAlignment="0" applyProtection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99" fillId="64" borderId="0" applyNumberFormat="0" applyBorder="0" applyAlignment="0" applyProtection="0"/>
    <xf numFmtId="4" fontId="5" fillId="0" borderId="0">
      <alignment vertical="center"/>
    </xf>
    <xf numFmtId="0" fontId="66" fillId="42" borderId="0" applyNumberFormat="0" applyBorder="0" applyAlignment="0" applyProtection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0" fontId="56" fillId="24" borderId="0" applyNumberFormat="0" applyBorder="0" applyAlignment="0" applyProtection="0">
      <alignment vertical="center"/>
    </xf>
    <xf numFmtId="4" fontId="51" fillId="0" borderId="0">
      <alignment vertical="center"/>
    </xf>
    <xf numFmtId="0" fontId="50" fillId="59" borderId="63" applyNumberFormat="0" applyProtection="0">
      <alignment horizontal="right" vertical="center"/>
    </xf>
    <xf numFmtId="0" fontId="65" fillId="25" borderId="0" applyNumberFormat="0" applyBorder="0" applyAlignment="0" applyProtection="0">
      <alignment vertical="center"/>
    </xf>
    <xf numFmtId="4" fontId="51" fillId="0" borderId="0">
      <alignment vertical="center"/>
    </xf>
    <xf numFmtId="0" fontId="57" fillId="3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" fillId="0" borderId="0">
      <alignment vertical="center"/>
    </xf>
    <xf numFmtId="4" fontId="50" fillId="26" borderId="79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43" fontId="0" fillId="0" borderId="0" applyFont="0" applyFill="0" applyBorder="0" applyAlignment="0" applyProtection="0"/>
    <xf numFmtId="4" fontId="5" fillId="0" borderId="0">
      <alignment vertical="center"/>
    </xf>
    <xf numFmtId="4" fontId="50" fillId="26" borderId="79" applyNumberFormat="0" applyProtection="0">
      <alignment horizontal="left" vertical="center" indent="1"/>
    </xf>
    <xf numFmtId="0" fontId="84" fillId="0" borderId="33" applyNumberFormat="0" applyAlignment="0" applyProtection="0">
      <alignment horizontal="left" vertical="center"/>
    </xf>
    <xf numFmtId="0" fontId="47" fillId="23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43" fontId="0" fillId="0" borderId="0" applyFont="0" applyFill="0" applyBorder="0" applyAlignment="0" applyProtection="0"/>
    <xf numFmtId="4" fontId="51" fillId="0" borderId="0">
      <alignment vertical="center"/>
    </xf>
    <xf numFmtId="4" fontId="50" fillId="26" borderId="79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0" fontId="146" fillId="0" borderId="0">
      <alignment horizontal="left"/>
    </xf>
    <xf numFmtId="4" fontId="51" fillId="0" borderId="0">
      <alignment vertical="center"/>
    </xf>
    <xf numFmtId="4" fontId="50" fillId="26" borderId="79" applyNumberFormat="0" applyProtection="0">
      <alignment horizontal="left" vertical="center" indent="1"/>
    </xf>
    <xf numFmtId="0" fontId="84" fillId="0" borderId="42">
      <alignment horizontal="left" vertical="center"/>
    </xf>
    <xf numFmtId="0" fontId="47" fillId="23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0" fontId="106" fillId="0" borderId="0" applyNumberFormat="0" applyFont="0" applyBorder="0" applyAlignment="0"/>
    <xf numFmtId="4" fontId="5" fillId="0" borderId="0">
      <alignment vertical="center"/>
    </xf>
    <xf numFmtId="4" fontId="5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1" fillId="0" borderId="0">
      <alignment vertical="center"/>
    </xf>
    <xf numFmtId="4" fontId="50" fillId="59" borderId="63" applyNumberFormat="0" applyProtection="0">
      <alignment horizontal="right" vertical="center"/>
    </xf>
    <xf numFmtId="0" fontId="65" fillId="64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48" fillId="0" borderId="0"/>
    <xf numFmtId="0" fontId="66" fillId="47" borderId="0" applyNumberFormat="0" applyBorder="0" applyAlignment="0" applyProtection="0">
      <alignment vertical="center"/>
    </xf>
    <xf numFmtId="0" fontId="48" fillId="0" borderId="0"/>
    <xf numFmtId="0" fontId="50" fillId="0" borderId="0">
      <alignment vertical="top"/>
    </xf>
    <xf numFmtId="0" fontId="47" fillId="0" borderId="0"/>
    <xf numFmtId="0" fontId="64" fillId="35" borderId="66" applyNumberFormat="0" applyAlignment="0" applyProtection="0">
      <alignment vertical="center"/>
    </xf>
    <xf numFmtId="0" fontId="0" fillId="0" borderId="0"/>
    <xf numFmtId="0" fontId="64" fillId="35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0" fillId="0" borderId="0"/>
    <xf numFmtId="0" fontId="48" fillId="0" borderId="0"/>
    <xf numFmtId="0" fontId="54" fillId="16" borderId="0" applyNumberFormat="0" applyBorder="0" applyAlignment="0" applyProtection="0">
      <alignment vertical="center"/>
    </xf>
    <xf numFmtId="0" fontId="47" fillId="0" borderId="0"/>
    <xf numFmtId="0" fontId="55" fillId="0" borderId="65" applyNumberFormat="0" applyFill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0" fillId="0" borderId="0"/>
    <xf numFmtId="0" fontId="111" fillId="0" borderId="61" applyFont="0" applyFill="0" applyBorder="0" applyAlignment="0">
      <alignment horizontal="left" vertical="center"/>
    </xf>
    <xf numFmtId="0" fontId="47" fillId="37" borderId="63" applyNumberFormat="0" applyProtection="0">
      <alignment horizontal="left" vertical="center" indent="1"/>
    </xf>
    <xf numFmtId="0" fontId="111" fillId="0" borderId="61" applyFont="0" applyFill="0" applyBorder="0" applyAlignment="0">
      <alignment horizontal="left" vertical="center"/>
    </xf>
    <xf numFmtId="0" fontId="47" fillId="37" borderId="63" applyNumberFormat="0" applyProtection="0">
      <alignment horizontal="left" vertical="center" indent="1"/>
    </xf>
    <xf numFmtId="0" fontId="147" fillId="2" borderId="0" applyNumberFormat="0" applyBorder="0" applyAlignment="0" applyProtection="0">
      <alignment vertical="center"/>
    </xf>
    <xf numFmtId="0" fontId="111" fillId="0" borderId="61" applyFont="0" applyFill="0" applyBorder="0" applyAlignment="0">
      <alignment horizontal="left" vertical="center"/>
    </xf>
    <xf numFmtId="0" fontId="47" fillId="23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0" fontId="148" fillId="0" borderId="0"/>
    <xf numFmtId="0" fontId="89" fillId="23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89" fillId="23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/>
    <xf numFmtId="0" fontId="89" fillId="24" borderId="0" applyNumberFormat="0" applyBorder="0" applyAlignment="0" applyProtection="0">
      <alignment vertical="center"/>
    </xf>
    <xf numFmtId="4" fontId="50" fillId="26" borderId="63" applyNumberFormat="0" applyProtection="0">
      <alignment horizontal="right" vertical="center"/>
    </xf>
    <xf numFmtId="0" fontId="89" fillId="16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50" fillId="16" borderId="0" applyNumberFormat="0" applyBorder="0" applyAlignment="0" applyProtection="0"/>
    <xf numFmtId="0" fontId="89" fillId="71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89" fillId="7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50" fillId="71" borderId="0" applyNumberFormat="0" applyBorder="0" applyAlignment="0" applyProtection="0"/>
    <xf numFmtId="0" fontId="56" fillId="24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50" fillId="70" borderId="0" applyNumberFormat="0" applyBorder="0" applyAlignment="0" applyProtection="0"/>
    <xf numFmtId="0" fontId="66" fillId="47" borderId="0" applyNumberFormat="0" applyBorder="0" applyAlignment="0" applyProtection="0">
      <alignment vertical="center"/>
    </xf>
    <xf numFmtId="0" fontId="89" fillId="33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50" fillId="33" borderId="0" applyNumberFormat="0" applyBorder="0" applyAlignment="0" applyProtection="0"/>
    <xf numFmtId="0" fontId="57" fillId="28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0" fontId="89" fillId="23" borderId="0" applyNumberFormat="0" applyBorder="0" applyAlignment="0" applyProtection="0">
      <alignment vertical="center"/>
    </xf>
    <xf numFmtId="4" fontId="50" fillId="40" borderId="63" applyNumberFormat="0" applyProtection="0">
      <alignment horizontal="right" vertical="center"/>
    </xf>
    <xf numFmtId="0" fontId="66" fillId="19" borderId="0" applyNumberFormat="0" applyBorder="0" applyAlignment="0" applyProtection="0">
      <alignment vertical="center"/>
    </xf>
    <xf numFmtId="4" fontId="50" fillId="40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4" fontId="50" fillId="52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4" fontId="50" fillId="40" borderId="63" applyNumberFormat="0" applyProtection="0">
      <alignment horizontal="right" vertical="center"/>
    </xf>
    <xf numFmtId="0" fontId="66" fillId="55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66" fillId="55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66" fillId="55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57" fillId="2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5" fillId="54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150" fillId="24" borderId="0" applyNumberFormat="0" applyBorder="0" applyAlignment="0" applyProtection="0">
      <alignment vertical="center"/>
    </xf>
    <xf numFmtId="0" fontId="99" fillId="54" borderId="0" applyNumberFormat="0" applyBorder="0" applyAlignment="0" applyProtection="0"/>
    <xf numFmtId="0" fontId="66" fillId="5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69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4" fontId="50" fillId="40" borderId="63" applyNumberFormat="0" applyProtection="0">
      <alignment horizontal="right" vertical="center"/>
    </xf>
    <xf numFmtId="0" fontId="66" fillId="53" borderId="0" applyNumberFormat="0" applyBorder="0" applyAlignment="0" applyProtection="0">
      <alignment vertical="center"/>
    </xf>
    <xf numFmtId="4" fontId="50" fillId="40" borderId="63" applyNumberFormat="0" applyProtection="0">
      <alignment horizontal="right" vertical="center"/>
    </xf>
    <xf numFmtId="0" fontId="66" fillId="53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4" fontId="50" fillId="40" borderId="63" applyNumberFormat="0" applyProtection="0">
      <alignment horizontal="right"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198" fontId="48" fillId="0" borderId="0" applyFill="0" applyBorder="0" applyAlignment="0"/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/>
    <xf numFmtId="0" fontId="89" fillId="71" borderId="0" applyNumberFormat="0" applyBorder="0" applyAlignment="0" applyProtection="0">
      <alignment vertical="center"/>
    </xf>
    <xf numFmtId="39" fontId="0" fillId="0" borderId="0"/>
    <xf numFmtId="0" fontId="50" fillId="71" borderId="0" applyNumberFormat="0" applyBorder="0" applyAlignment="0" applyProtection="0"/>
    <xf numFmtId="39" fontId="0" fillId="0" borderId="0"/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89" fillId="10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89" fillId="10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50" fillId="10" borderId="0" applyNumberFormat="0" applyBorder="0" applyAlignment="0" applyProtection="0"/>
    <xf numFmtId="0" fontId="57" fillId="41" borderId="0" applyNumberFormat="0" applyBorder="0" applyAlignment="0" applyProtection="0">
      <alignment vertical="center"/>
    </xf>
    <xf numFmtId="0" fontId="66" fillId="68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4" fontId="70" fillId="26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66" fillId="68" borderId="0" applyNumberFormat="0" applyBorder="0" applyAlignment="0" applyProtection="0">
      <alignment vertical="center"/>
    </xf>
    <xf numFmtId="0" fontId="99" fillId="25" borderId="0" applyNumberFormat="0" applyBorder="0" applyAlignment="0" applyProtection="0"/>
    <xf numFmtId="0" fontId="57" fillId="41" borderId="0" applyNumberFormat="0" applyBorder="0" applyAlignment="0" applyProtection="0">
      <alignment vertical="center"/>
    </xf>
    <xf numFmtId="0" fontId="66" fillId="68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66" fillId="68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8" fillId="32" borderId="63" applyNumberFormat="0" applyProtection="0">
      <alignment horizontal="left" vertical="center" indent="1"/>
    </xf>
    <xf numFmtId="0" fontId="66" fillId="68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66" fillId="0" borderId="0">
      <alignment vertical="center"/>
    </xf>
    <xf numFmtId="0" fontId="66" fillId="68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6" fillId="68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6" fillId="68" borderId="0" applyNumberFormat="0" applyBorder="0" applyAlignment="0" applyProtection="0">
      <alignment vertical="center"/>
    </xf>
    <xf numFmtId="4" fontId="58" fillId="32" borderId="63" applyNumberFormat="0" applyProtection="0">
      <alignment horizontal="left" vertical="center" indent="1"/>
    </xf>
    <xf numFmtId="0" fontId="66" fillId="57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4" fontId="52" fillId="26" borderId="63" applyNumberFormat="0" applyProtection="0">
      <alignment horizontal="right" vertical="center"/>
    </xf>
    <xf numFmtId="0" fontId="57" fillId="31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4" fontId="50" fillId="26" borderId="63" applyNumberFormat="0" applyProtection="0">
      <alignment horizontal="right"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66" fillId="39" borderId="0" applyNumberFormat="0" applyBorder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4" fontId="50" fillId="44" borderId="63" applyNumberFormat="0" applyProtection="0">
      <alignment horizontal="right"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4" fontId="52" fillId="27" borderId="63" applyNumberFormat="0" applyProtection="0">
      <alignment vertical="center"/>
    </xf>
    <xf numFmtId="4" fontId="50" fillId="2" borderId="63" applyNumberFormat="0" applyProtection="0">
      <alignment vertical="center"/>
    </xf>
    <xf numFmtId="0" fontId="64" fillId="35" borderId="66" applyNumberFormat="0" applyAlignment="0" applyProtection="0">
      <alignment vertical="center"/>
    </xf>
    <xf numFmtId="4" fontId="50" fillId="2" borderId="63" applyNumberFormat="0" applyProtection="0">
      <alignment vertical="center"/>
    </xf>
    <xf numFmtId="4" fontId="70" fillId="26" borderId="63" applyNumberFormat="0" applyProtection="0">
      <alignment horizontal="right" vertical="center"/>
    </xf>
    <xf numFmtId="0" fontId="66" fillId="49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4" fontId="52" fillId="27" borderId="63" applyNumberForma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0" fillId="2" borderId="63" applyNumberForma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4" fontId="50" fillId="59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0" fontId="65" fillId="64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65" fillId="43" borderId="0" applyNumberFormat="0" applyBorder="0" applyAlignment="0" applyProtection="0">
      <alignment vertical="center"/>
    </xf>
    <xf numFmtId="4" fontId="50" fillId="52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4" fontId="50" fillId="52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0" fontId="99" fillId="43" borderId="0" applyNumberFormat="0" applyBorder="0" applyAlignment="0" applyProtection="0"/>
    <xf numFmtId="4" fontId="50" fillId="52" borderId="63" applyNumberFormat="0" applyProtection="0">
      <alignment horizontal="right" vertical="center"/>
    </xf>
    <xf numFmtId="0" fontId="65" fillId="67" borderId="0" applyNumberFormat="0" applyBorder="0" applyAlignment="0" applyProtection="0">
      <alignment vertical="center"/>
    </xf>
    <xf numFmtId="4" fontId="50" fillId="52" borderId="63" applyNumberFormat="0" applyProtection="0">
      <alignment horizontal="right" vertical="center"/>
    </xf>
    <xf numFmtId="0" fontId="65" fillId="67" borderId="0" applyNumberFormat="0" applyBorder="0" applyAlignment="0" applyProtection="0">
      <alignment vertical="center"/>
    </xf>
    <xf numFmtId="4" fontId="50" fillId="52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0" fontId="99" fillId="52" borderId="0" applyNumberFormat="0" applyBorder="0" applyAlignment="0" applyProtection="0"/>
    <xf numFmtId="4" fontId="50" fillId="52" borderId="63" applyNumberFormat="0" applyProtection="0">
      <alignment horizontal="right" vertical="center"/>
    </xf>
    <xf numFmtId="0" fontId="57" fillId="58" borderId="0" applyNumberFormat="0" applyBorder="0" applyAlignment="0" applyProtection="0">
      <alignment vertical="center"/>
    </xf>
    <xf numFmtId="4" fontId="50" fillId="44" borderId="63" applyNumberFormat="0" applyProtection="0">
      <alignment horizontal="right" vertical="center"/>
    </xf>
    <xf numFmtId="0" fontId="57" fillId="58" borderId="0" applyNumberFormat="0" applyBorder="0" applyAlignment="0" applyProtection="0">
      <alignment vertical="center"/>
    </xf>
    <xf numFmtId="0" fontId="57" fillId="58" borderId="0" applyNumberFormat="0" applyBorder="0" applyAlignment="0" applyProtection="0">
      <alignment vertical="center"/>
    </xf>
    <xf numFmtId="0" fontId="57" fillId="58" borderId="0" applyNumberFormat="0" applyBorder="0" applyAlignment="0" applyProtection="0">
      <alignment vertical="center"/>
    </xf>
    <xf numFmtId="0" fontId="57" fillId="58" borderId="0" applyNumberFormat="0" applyBorder="0" applyAlignment="0" applyProtection="0">
      <alignment vertical="center"/>
    </xf>
    <xf numFmtId="0" fontId="143" fillId="59" borderId="0" applyNumberFormat="0" applyBorder="0" applyAlignment="0">
      <protection locked="0"/>
    </xf>
    <xf numFmtId="0" fontId="47" fillId="23" borderId="63" applyNumberFormat="0" applyProtection="0">
      <alignment horizontal="left" vertical="center" indent="1"/>
    </xf>
    <xf numFmtId="0" fontId="57" fillId="58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4" fontId="50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4" fontId="50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0" fillId="40" borderId="63" applyNumberFormat="0" applyProtection="0">
      <alignment horizontal="right"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69" borderId="0" applyNumberFormat="0" applyBorder="0" applyAlignment="0" applyProtection="0">
      <alignment vertical="center"/>
    </xf>
    <xf numFmtId="0" fontId="57" fillId="69" borderId="0" applyNumberFormat="0" applyBorder="0" applyAlignment="0" applyProtection="0">
      <alignment vertical="center"/>
    </xf>
    <xf numFmtId="0" fontId="57" fillId="69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7" fillId="69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7" fillId="69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57" fillId="69" borderId="0" applyNumberFormat="0" applyBorder="0" applyAlignment="0" applyProtection="0">
      <alignment vertical="center"/>
    </xf>
    <xf numFmtId="0" fontId="65" fillId="72" borderId="0" applyNumberFormat="0" applyBorder="0" applyAlignment="0" applyProtection="0">
      <alignment vertical="center"/>
    </xf>
    <xf numFmtId="0" fontId="65" fillId="59" borderId="0" applyNumberFormat="0" applyBorder="0" applyAlignment="0" applyProtection="0">
      <alignment vertical="center"/>
    </xf>
    <xf numFmtId="0" fontId="99" fillId="59" borderId="0" applyNumberFormat="0" applyBorder="0" applyAlignment="0" applyProtection="0"/>
    <xf numFmtId="0" fontId="65" fillId="40" borderId="0" applyNumberFormat="0" applyBorder="0" applyAlignment="0" applyProtection="0">
      <alignment vertical="center"/>
    </xf>
    <xf numFmtId="0" fontId="72" fillId="0" borderId="68" applyNumberFormat="0" applyFill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72" fillId="0" borderId="68" applyNumberFormat="0" applyFill="0" applyAlignment="0" applyProtection="0">
      <alignment vertical="center"/>
    </xf>
    <xf numFmtId="0" fontId="99" fillId="40" borderId="0" applyNumberFormat="0" applyBorder="0" applyAlignment="0" applyProtection="0"/>
    <xf numFmtId="0" fontId="64" fillId="35" borderId="66" applyNumberFormat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65" fillId="67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65" fillId="67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99" fillId="67" borderId="0" applyNumberFormat="0" applyBorder="0" applyAlignment="0" applyProtection="0"/>
    <xf numFmtId="0" fontId="64" fillId="35" borderId="66" applyNumberFormat="0" applyAlignment="0" applyProtection="0">
      <alignment vertical="center"/>
    </xf>
    <xf numFmtId="0" fontId="65" fillId="54" borderId="0" applyNumberFormat="0" applyBorder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99" fillId="48" borderId="0" applyNumberFormat="0" applyBorder="0" applyAlignment="0" applyProtection="0"/>
    <xf numFmtId="0" fontId="63" fillId="24" borderId="0" applyNumberFormat="0" applyBorder="0" applyAlignment="0" applyProtection="0">
      <alignment vertical="center"/>
    </xf>
    <xf numFmtId="0" fontId="138" fillId="24" borderId="0" applyNumberFormat="0" applyBorder="0" applyAlignment="0" applyProtection="0"/>
    <xf numFmtId="4" fontId="50" fillId="27" borderId="63" applyNumberFormat="0" applyProtection="0">
      <alignment horizontal="left" vertical="center" indent="1"/>
    </xf>
    <xf numFmtId="0" fontId="149" fillId="35" borderId="66" applyNumberFormat="0" applyAlignment="0" applyProtection="0"/>
    <xf numFmtId="0" fontId="149" fillId="35" borderId="66" applyNumberFormat="0" applyAlignment="0" applyProtection="0"/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4" fontId="50" fillId="10" borderId="63" applyNumberFormat="0" applyProtection="0">
      <alignment horizontal="right"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64" fillId="35" borderId="66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189" fontId="115" fillId="0" borderId="0"/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64" fillId="35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131" fillId="37" borderId="82" applyNumberFormat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152" fillId="37" borderId="82" applyNumberFormat="0" applyAlignment="0" applyProtection="0"/>
    <xf numFmtId="181" fontId="47" fillId="0" borderId="0"/>
    <xf numFmtId="4" fontId="52" fillId="2" borderId="63" applyNumberFormat="0" applyProtection="0">
      <alignment vertical="center"/>
    </xf>
    <xf numFmtId="181" fontId="47" fillId="0" borderId="0"/>
    <xf numFmtId="0" fontId="54" fillId="16" borderId="0" applyNumberFormat="0" applyBorder="0" applyAlignment="0" applyProtection="0">
      <alignment vertical="center"/>
    </xf>
    <xf numFmtId="181" fontId="47" fillId="0" borderId="0"/>
    <xf numFmtId="0" fontId="60" fillId="16" borderId="0" applyNumberFormat="0" applyBorder="0" applyAlignment="0" applyProtection="0">
      <alignment vertical="center"/>
    </xf>
    <xf numFmtId="199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0" fontId="60" fillId="16" borderId="0" applyNumberFormat="0" applyBorder="0" applyAlignment="0" applyProtection="0">
      <alignment vertical="center"/>
    </xf>
    <xf numFmtId="184" fontId="0" fillId="0" borderId="0">
      <protection locked="0"/>
    </xf>
    <xf numFmtId="0" fontId="60" fillId="16" borderId="0" applyNumberFormat="0" applyBorder="0" applyAlignment="0" applyProtection="0">
      <alignment vertical="center"/>
    </xf>
    <xf numFmtId="195" fontId="115" fillId="0" borderId="0">
      <alignment horizontal="left"/>
    </xf>
    <xf numFmtId="4" fontId="50" fillId="27" borderId="63" applyNumberFormat="0" applyProtection="0">
      <alignment vertical="center"/>
    </xf>
    <xf numFmtId="176" fontId="51" fillId="0" borderId="0" applyFont="0" applyFill="0" applyBorder="0" applyAlignment="0" applyProtection="0"/>
    <xf numFmtId="176" fontId="51" fillId="0" borderId="0" applyFont="0" applyFill="0" applyBorder="0" applyAlignment="0" applyProtection="0"/>
    <xf numFmtId="4" fontId="52" fillId="26" borderId="63" applyNumberFormat="0" applyProtection="0">
      <alignment horizontal="right" vertical="center"/>
    </xf>
    <xf numFmtId="0" fontId="54" fillId="16" borderId="0" applyNumberFormat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/>
    <xf numFmtId="0" fontId="56" fillId="24" borderId="0" applyNumberFormat="0" applyBorder="0" applyAlignment="0" applyProtection="0">
      <alignment vertical="center"/>
    </xf>
    <xf numFmtId="184" fontId="0" fillId="0" borderId="0">
      <protection locked="0"/>
    </xf>
    <xf numFmtId="0" fontId="56" fillId="24" borderId="0" applyNumberFormat="0" applyBorder="0" applyAlignment="0" applyProtection="0">
      <alignment vertical="center"/>
    </xf>
    <xf numFmtId="184" fontId="0" fillId="0" borderId="0">
      <protection locked="0"/>
    </xf>
    <xf numFmtId="184" fontId="0" fillId="0" borderId="0">
      <protection locked="0"/>
    </xf>
    <xf numFmtId="184" fontId="0" fillId="0" borderId="0">
      <protection locked="0"/>
    </xf>
    <xf numFmtId="0" fontId="154" fillId="16" borderId="0" applyNumberFormat="0" applyBorder="0" applyAlignment="0" applyProtection="0"/>
    <xf numFmtId="0" fontId="84" fillId="0" borderId="42">
      <alignment horizontal="left" vertical="center"/>
    </xf>
    <xf numFmtId="4" fontId="50" fillId="48" borderId="63" applyNumberFormat="0" applyProtection="0">
      <alignment horizontal="right" vertical="center"/>
    </xf>
    <xf numFmtId="0" fontId="84" fillId="0" borderId="42">
      <alignment horizontal="left" vertical="center"/>
    </xf>
    <xf numFmtId="0" fontId="84" fillId="0" borderId="42">
      <alignment horizontal="left" vertical="center"/>
    </xf>
    <xf numFmtId="0" fontId="84" fillId="0" borderId="42">
      <alignment horizontal="left" vertical="center"/>
    </xf>
    <xf numFmtId="0" fontId="59" fillId="33" borderId="66" applyNumberFormat="0" applyAlignment="0" applyProtection="0">
      <alignment vertical="center"/>
    </xf>
    <xf numFmtId="0" fontId="153" fillId="0" borderId="81" applyNumberFormat="0" applyFill="0" applyAlignment="0" applyProtection="0">
      <alignment vertical="center"/>
    </xf>
    <xf numFmtId="4" fontId="70" fillId="26" borderId="63" applyNumberFormat="0" applyProtection="0">
      <alignment horizontal="right" vertical="center"/>
    </xf>
    <xf numFmtId="0" fontId="153" fillId="0" borderId="81" applyNumberFormat="0" applyFill="0" applyAlignment="0" applyProtection="0">
      <alignment vertical="center"/>
    </xf>
    <xf numFmtId="0" fontId="116" fillId="0" borderId="81" applyNumberFormat="0" applyFill="0" applyAlignment="0" applyProtection="0"/>
    <xf numFmtId="0" fontId="102" fillId="0" borderId="77" applyNumberFormat="0" applyFill="0" applyAlignment="0" applyProtection="0">
      <alignment vertical="center"/>
    </xf>
    <xf numFmtId="4" fontId="50" fillId="59" borderId="63" applyNumberFormat="0" applyProtection="0">
      <alignment horizontal="right" vertical="center"/>
    </xf>
    <xf numFmtId="0" fontId="112" fillId="0" borderId="80" applyNumberFormat="0" applyFill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top"/>
      <protection locked="0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2" fillId="26" borderId="63" applyNumberFormat="0" applyProtection="0">
      <alignment horizontal="right" vertical="center"/>
    </xf>
    <xf numFmtId="10" fontId="85" fillId="27" borderId="1" applyNumberFormat="0" applyBorder="0" applyAlignment="0" applyProtection="0"/>
    <xf numFmtId="10" fontId="85" fillId="27" borderId="1" applyNumberFormat="0" applyBorder="0" applyAlignment="0" applyProtection="0"/>
    <xf numFmtId="0" fontId="59" fillId="33" borderId="66" applyNumberFormat="0" applyAlignment="0" applyProtection="0">
      <alignment vertical="center"/>
    </xf>
    <xf numFmtId="0" fontId="96" fillId="56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4" fontId="52" fillId="26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4" fontId="52" fillId="26" borderId="63" applyNumberFormat="0" applyProtection="0">
      <alignment horizontal="right" vertical="center"/>
    </xf>
    <xf numFmtId="0" fontId="66" fillId="0" borderId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2" fillId="26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61" fillId="0" borderId="0"/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2" fillId="26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2" fillId="26" borderId="63" applyNumberFormat="0" applyProtection="0">
      <alignment horizontal="right" vertical="center"/>
    </xf>
    <xf numFmtId="0" fontId="86" fillId="0" borderId="0" applyNumberFormat="0" applyFill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47" fillId="37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0" fontId="47" fillId="37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2" fillId="26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4" fontId="52" fillId="26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4" fontId="52" fillId="26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7" fillId="0" borderId="0"/>
    <xf numFmtId="0" fontId="47" fillId="35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0" fillId="24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0" fillId="24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4" fontId="50" fillId="24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4" fontId="50" fillId="24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4" fontId="50" fillId="24" borderId="63" applyNumberFormat="0" applyProtection="0">
      <alignment horizontal="right"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4" fontId="58" fillId="32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4" fontId="58" fillId="32" borderId="63" applyNumberFormat="0" applyProtection="0">
      <alignment horizontal="left" vertical="center" indent="1"/>
    </xf>
    <xf numFmtId="0" fontId="59" fillId="33" borderId="66" applyNumberFormat="0" applyAlignment="0" applyProtection="0">
      <alignment vertical="center"/>
    </xf>
    <xf numFmtId="0" fontId="59" fillId="33" borderId="66" applyNumberFormat="0" applyAlignment="0" applyProtection="0">
      <alignment vertical="center"/>
    </xf>
    <xf numFmtId="0" fontId="156" fillId="0" borderId="83" applyNumberFormat="0" applyFill="0" applyAlignment="0" applyProtection="0">
      <alignment vertical="center"/>
    </xf>
    <xf numFmtId="0" fontId="156" fillId="0" borderId="83" applyNumberFormat="0" applyFill="0" applyAlignment="0" applyProtection="0">
      <alignment vertical="center"/>
    </xf>
    <xf numFmtId="0" fontId="110" fillId="61" borderId="71" applyNumberFormat="0" applyFont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66" fillId="0" borderId="0">
      <alignment vertical="center"/>
    </xf>
    <xf numFmtId="41" fontId="47" fillId="0" borderId="0" applyFont="0" applyFill="0" applyBorder="0" applyAlignment="0" applyProtection="0"/>
    <xf numFmtId="185" fontId="47" fillId="0" borderId="0" applyFont="0" applyFill="0" applyBorder="0" applyAlignment="0" applyProtection="0"/>
    <xf numFmtId="0" fontId="147" fillId="2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157" fillId="2" borderId="0" applyNumberFormat="0" applyBorder="0" applyAlignment="0" applyProtection="0"/>
    <xf numFmtId="37" fontId="158" fillId="0" borderId="0"/>
    <xf numFmtId="0" fontId="142" fillId="0" borderId="0"/>
    <xf numFmtId="4" fontId="50" fillId="2" borderId="63" applyNumberFormat="0" applyProtection="0">
      <alignment horizontal="left" vertical="center" indent="1"/>
    </xf>
    <xf numFmtId="0" fontId="0" fillId="0" borderId="0"/>
    <xf numFmtId="4" fontId="50" fillId="2" borderId="63" applyNumberFormat="0" applyProtection="0">
      <alignment horizontal="left" vertical="center" indent="1"/>
    </xf>
    <xf numFmtId="0" fontId="0" fillId="0" borderId="0"/>
    <xf numFmtId="0" fontId="63" fillId="24" borderId="0" applyNumberFormat="0" applyBorder="0" applyAlignment="0" applyProtection="0">
      <alignment vertical="center"/>
    </xf>
    <xf numFmtId="0" fontId="47" fillId="0" borderId="0"/>
    <xf numFmtId="4" fontId="50" fillId="59" borderId="63" applyNumberFormat="0" applyProtection="0">
      <alignment horizontal="right" vertical="center"/>
    </xf>
    <xf numFmtId="0" fontId="48" fillId="27" borderId="64" applyNumberFormat="0" applyFont="0" applyAlignment="0" applyProtection="0"/>
    <xf numFmtId="0" fontId="48" fillId="27" borderId="64" applyNumberFormat="0" applyFont="0" applyAlignment="0" applyProtection="0"/>
    <xf numFmtId="0" fontId="47" fillId="37" borderId="63" applyNumberFormat="0" applyProtection="0">
      <alignment horizontal="left" vertical="center" indent="1"/>
    </xf>
    <xf numFmtId="4" fontId="50" fillId="27" borderId="63" applyNumberForma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47" fillId="37" borderId="63" applyNumberFormat="0" applyProtection="0">
      <alignment horizontal="left" vertical="center" indent="1"/>
    </xf>
    <xf numFmtId="4" fontId="50" fillId="27" borderId="63" applyNumberForma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4" fontId="50" fillId="25" borderId="63" applyNumberFormat="0" applyProtection="0">
      <alignment horizontal="right" vertical="center"/>
    </xf>
    <xf numFmtId="0" fontId="5" fillId="27" borderId="64" applyNumberFormat="0" applyFont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4" fontId="50" fillId="25" borderId="63" applyNumberFormat="0" applyProtection="0">
      <alignment horizontal="right" vertical="center"/>
    </xf>
    <xf numFmtId="0" fontId="54" fillId="16" borderId="0" applyNumberFormat="0" applyBorder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4" fontId="50" fillId="25" borderId="63" applyNumberFormat="0" applyProtection="0">
      <alignment horizontal="right" vertical="center"/>
    </xf>
    <xf numFmtId="0" fontId="5" fillId="27" borderId="64" applyNumberFormat="0" applyFont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0" fontId="5" fillId="27" borderId="64" applyNumberFormat="0" applyFont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4" fontId="50" fillId="25" borderId="63" applyNumberFormat="0" applyProtection="0">
      <alignment horizontal="right" vertical="center"/>
    </xf>
    <xf numFmtId="0" fontId="5" fillId="27" borderId="64" applyNumberFormat="0" applyFont="0" applyAlignment="0" applyProtection="0">
      <alignment vertical="center"/>
    </xf>
    <xf numFmtId="4" fontId="52" fillId="2" borderId="63" applyNumberForma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5" fillId="27" borderId="64" applyNumberFormat="0" applyFon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0" fillId="27" borderId="63" applyNumberFormat="0" applyProtection="0">
      <alignment vertical="center"/>
    </xf>
    <xf numFmtId="0" fontId="0" fillId="27" borderId="64" applyNumberFormat="0" applyFont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4" fontId="50" fillId="43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0" fontId="0" fillId="27" borderId="64" applyNumberFormat="0" applyFont="0" applyAlignment="0" applyProtection="0">
      <alignment vertical="center"/>
    </xf>
    <xf numFmtId="4" fontId="50" fillId="43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0" fontId="0" fillId="27" borderId="64" applyNumberFormat="0" applyFont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0" fillId="27" borderId="64" applyNumberFormat="0" applyFont="0" applyAlignment="0" applyProtection="0">
      <alignment vertical="center"/>
    </xf>
    <xf numFmtId="4" fontId="50" fillId="10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0" fontId="0" fillId="27" borderId="64" applyNumberFormat="0" applyFont="0" applyAlignment="0" applyProtection="0">
      <alignment vertical="center"/>
    </xf>
    <xf numFmtId="4" fontId="70" fillId="26" borderId="63" applyNumberFormat="0" applyProtection="0">
      <alignment horizontal="right" vertical="center"/>
    </xf>
    <xf numFmtId="0" fontId="125" fillId="65" borderId="78" applyNumberFormat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4" fontId="50" fillId="36" borderId="63" applyNumberFormat="0" applyProtection="0">
      <alignment horizontal="left" vertical="center" indent="1"/>
    </xf>
    <xf numFmtId="0" fontId="0" fillId="27" borderId="64" applyNumberFormat="0" applyFont="0" applyAlignment="0" applyProtection="0">
      <alignment vertical="center"/>
    </xf>
    <xf numFmtId="0" fontId="125" fillId="65" borderId="78" applyNumberFormat="0" applyAlignment="0" applyProtection="0">
      <alignment vertical="center"/>
    </xf>
    <xf numFmtId="0" fontId="0" fillId="27" borderId="64" applyNumberFormat="0" applyFont="0" applyAlignment="0" applyProtection="0">
      <alignment vertical="center"/>
    </xf>
    <xf numFmtId="0" fontId="115" fillId="0" borderId="0">
      <alignment horizontal="center"/>
    </xf>
    <xf numFmtId="0" fontId="47" fillId="36" borderId="63" applyNumberFormat="0" applyProtection="0">
      <alignment horizontal="left" vertical="center" indent="1"/>
    </xf>
    <xf numFmtId="0" fontId="62" fillId="35" borderId="63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74" fillId="0" borderId="0"/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4" fontId="50" fillId="44" borderId="63" applyNumberFormat="0" applyProtection="0">
      <alignment horizontal="right"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10" fontId="47" fillId="0" borderId="0" applyFont="0" applyFill="0" applyBorder="0" applyAlignment="0" applyProtection="0"/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4" fontId="50" fillId="2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62" fillId="35" borderId="63" applyNumberFormat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4" fontId="50" fillId="27" borderId="63" applyNumberForma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95" fillId="14" borderId="69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2" fillId="35" borderId="63" applyNumberFormat="0" applyAlignment="0" applyProtection="0">
      <alignment vertical="center"/>
    </xf>
    <xf numFmtId="0" fontId="159" fillId="6" borderId="0">
      <alignment horizontal="right"/>
    </xf>
    <xf numFmtId="0" fontId="98" fillId="0" borderId="0" applyBorder="0">
      <alignment horizontal="centerContinuous"/>
    </xf>
    <xf numFmtId="0" fontId="86" fillId="0" borderId="0" applyNumberFormat="0" applyFill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160" fillId="0" borderId="0" applyBorder="0">
      <alignment horizontal="centerContinuous"/>
    </xf>
    <xf numFmtId="0" fontId="47" fillId="37" borderId="63" applyNumberFormat="0" applyProtection="0">
      <alignment horizontal="left" vertical="center" indent="1"/>
    </xf>
    <xf numFmtId="0" fontId="120" fillId="35" borderId="63" applyNumberFormat="0" applyAlignment="0" applyProtection="0"/>
    <xf numFmtId="0" fontId="56" fillId="24" borderId="0" applyNumberFormat="0" applyBorder="0" applyAlignment="0" applyProtection="0">
      <alignment vertical="center"/>
    </xf>
    <xf numFmtId="9" fontId="115" fillId="0" borderId="0" applyFont="0" applyFill="0" applyBorder="0" applyAlignment="0" applyProtection="0"/>
    <xf numFmtId="4" fontId="50" fillId="10" borderId="63" applyNumberFormat="0" applyProtection="0">
      <alignment horizontal="right" vertical="center"/>
    </xf>
    <xf numFmtId="0" fontId="54" fillId="16" borderId="0" applyNumberFormat="0" applyBorder="0" applyAlignment="0" applyProtection="0">
      <alignment vertical="center"/>
    </xf>
    <xf numFmtId="0" fontId="143" fillId="0" borderId="84" applyNumberFormat="0" applyBorder="0" applyAlignment="0">
      <alignment horizontal="left"/>
      <protection locked="0"/>
    </xf>
    <xf numFmtId="0" fontId="47" fillId="0" borderId="0"/>
    <xf numFmtId="0" fontId="0" fillId="0" borderId="0"/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44" borderId="63" applyNumberFormat="0" applyProtection="0">
      <alignment horizontal="right"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0" fillId="2" borderId="63" applyNumberForma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0" fillId="44" borderId="63" applyNumberFormat="0" applyProtection="0">
      <alignment horizontal="right" vertical="center"/>
    </xf>
    <xf numFmtId="0" fontId="96" fillId="56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0" fillId="2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0" fillId="2" borderId="63" applyNumberFormat="0" applyProtection="0">
      <alignment vertical="center"/>
    </xf>
    <xf numFmtId="4" fontId="50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0" fontId="124" fillId="0" borderId="0" applyNumberFormat="0" applyFill="0" applyBorder="0" applyAlignment="0" applyProtection="0">
      <alignment vertical="top"/>
      <protection locked="0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0" fillId="26" borderId="63" applyNumberFormat="0" applyProtection="0">
      <alignment horizontal="right" vertical="center"/>
    </xf>
    <xf numFmtId="4" fontId="52" fillId="2" borderId="63" applyNumberFormat="0" applyProtection="0">
      <alignment vertical="center"/>
    </xf>
    <xf numFmtId="4" fontId="50" fillId="27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4" fontId="52" fillId="2" borderId="63" applyNumberFormat="0" applyProtection="0">
      <alignment vertical="center"/>
    </xf>
    <xf numFmtId="4" fontId="50" fillId="26" borderId="63" applyNumberFormat="0" applyProtection="0">
      <alignment horizontal="right"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0" fontId="55" fillId="0" borderId="65" applyNumberFormat="0" applyFill="0" applyAlignment="0" applyProtection="0">
      <alignment vertical="center"/>
    </xf>
    <xf numFmtId="4" fontId="52" fillId="2" borderId="63" applyNumberFormat="0" applyProtection="0">
      <alignment vertical="center"/>
    </xf>
    <xf numFmtId="4" fontId="52" fillId="2" borderId="63" applyNumberFormat="0" applyProtection="0">
      <alignment vertical="center"/>
    </xf>
    <xf numFmtId="4" fontId="50" fillId="2" borderId="63" applyNumberFormat="0" applyProtection="0">
      <alignment horizontal="left" vertical="center" indent="1"/>
    </xf>
    <xf numFmtId="4" fontId="50" fillId="24" borderId="63" applyNumberFormat="0" applyProtection="0">
      <alignment horizontal="right" vertical="center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2" fillId="27" borderId="63" applyNumberForma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2" fillId="27" borderId="63" applyNumberFormat="0" applyProtection="0">
      <alignment vertical="center"/>
    </xf>
    <xf numFmtId="0" fontId="50" fillId="2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4" fontId="50" fillId="24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4" fontId="50" fillId="2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50" fillId="2" borderId="63" applyNumberFormat="0" applyProtection="0">
      <alignment horizontal="left" vertical="center" indent="1"/>
    </xf>
    <xf numFmtId="0" fontId="50" fillId="2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59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4" fontId="50" fillId="24" borderId="63" applyNumberFormat="0" applyProtection="0">
      <alignment horizontal="right" vertical="center"/>
    </xf>
    <xf numFmtId="0" fontId="50" fillId="27" borderId="63" applyNumberFormat="0" applyProtection="0">
      <alignment horizontal="left" vertical="center" indent="1"/>
    </xf>
    <xf numFmtId="0" fontId="161" fillId="0" borderId="0"/>
    <xf numFmtId="0" fontId="73" fillId="51" borderId="69" applyNumberForma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0" fontId="73" fillId="51" borderId="69" applyNumberFormat="0" applyAlignment="0" applyProtection="0">
      <alignment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0" fontId="73" fillId="51" borderId="69" applyNumberFormat="0" applyAlignment="0" applyProtection="0">
      <alignment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4" fontId="50" fillId="24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0" fontId="50" fillId="24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0" fontId="71" fillId="0" borderId="74" applyNumberFormat="0" applyFill="0" applyAlignment="0" applyProtection="0">
      <alignment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0" fillId="25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25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0" fontId="72" fillId="0" borderId="68" applyNumberFormat="0" applyFill="0" applyAlignment="0" applyProtection="0">
      <alignment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3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4" fontId="50" fillId="59" borderId="63" applyNumberFormat="0" applyProtection="0">
      <alignment horizontal="right" vertical="center"/>
    </xf>
    <xf numFmtId="4" fontId="50" fillId="36" borderId="63" applyNumberFormat="0" applyProtection="0">
      <alignment horizontal="left" vertical="center" indent="1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4" fontId="50" fillId="59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4" fontId="50" fillId="59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0" fontId="50" fillId="0" borderId="0">
      <alignment vertical="top"/>
    </xf>
    <xf numFmtId="4" fontId="50" fillId="59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1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0" fillId="10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4" fontId="50" fillId="10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52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4" fontId="50" fillId="52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4" fontId="50" fillId="52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4" fontId="50" fillId="52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4" fontId="50" fillId="52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0" fillId="48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0" fillId="48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4" fontId="50" fillId="48" borderId="63" applyNumberFormat="0" applyProtection="0">
      <alignment horizontal="right" vertical="center"/>
    </xf>
    <xf numFmtId="4" fontId="50" fillId="48" borderId="63" applyNumberFormat="0" applyProtection="0">
      <alignment horizontal="right" vertical="center"/>
    </xf>
    <xf numFmtId="4" fontId="50" fillId="48" borderId="63" applyNumberFormat="0" applyProtection="0">
      <alignment horizontal="right" vertical="center"/>
    </xf>
    <xf numFmtId="4" fontId="50" fillId="48" borderId="63" applyNumberFormat="0" applyProtection="0">
      <alignment horizontal="right" vertical="center"/>
    </xf>
    <xf numFmtId="4" fontId="50" fillId="36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4" fontId="50" fillId="48" borderId="63" applyNumberFormat="0" applyProtection="0">
      <alignment horizontal="right" vertical="center"/>
    </xf>
    <xf numFmtId="4" fontId="50" fillId="48" borderId="63" applyNumberFormat="0" applyProtection="0">
      <alignment horizontal="right" vertical="center"/>
    </xf>
    <xf numFmtId="4" fontId="50" fillId="48" borderId="63" applyNumberFormat="0" applyProtection="0">
      <alignment horizontal="right" vertical="center"/>
    </xf>
    <xf numFmtId="4" fontId="50" fillId="48" borderId="63" applyNumberFormat="0" applyProtection="0">
      <alignment horizontal="right" vertical="center"/>
    </xf>
    <xf numFmtId="4" fontId="50" fillId="48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4" fontId="50" fillId="48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48" borderId="63" applyNumberFormat="0" applyProtection="0">
      <alignment horizontal="right" vertical="center"/>
    </xf>
    <xf numFmtId="4" fontId="50" fillId="48" borderId="63" applyNumberFormat="0" applyProtection="0">
      <alignment horizontal="right" vertical="center"/>
    </xf>
    <xf numFmtId="4" fontId="50" fillId="48" borderId="63" applyNumberFormat="0" applyProtection="0">
      <alignment horizontal="right" vertical="center"/>
    </xf>
    <xf numFmtId="0" fontId="96" fillId="56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4" fontId="50" fillId="40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40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4" fontId="50" fillId="4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0" fontId="47" fillId="37" borderId="63" applyNumberFormat="0" applyProtection="0">
      <alignment horizontal="left" vertical="center" indent="1"/>
    </xf>
    <xf numFmtId="4" fontId="50" fillId="40" borderId="63" applyNumberFormat="0" applyProtection="0">
      <alignment horizontal="right" vertical="center"/>
    </xf>
    <xf numFmtId="0" fontId="47" fillId="37" borderId="63" applyNumberFormat="0" applyProtection="0">
      <alignment horizontal="left" vertical="center" indent="1"/>
    </xf>
    <xf numFmtId="4" fontId="50" fillId="4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0" fontId="47" fillId="37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0" fillId="4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0" fillId="4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0" fontId="47" fillId="35" borderId="63" applyNumberFormat="0" applyProtection="0">
      <alignment horizontal="left" vertical="center" indent="1"/>
    </xf>
    <xf numFmtId="4" fontId="50" fillId="40" borderId="63" applyNumberFormat="0" applyProtection="0">
      <alignment horizontal="right" vertical="center"/>
    </xf>
    <xf numFmtId="0" fontId="47" fillId="35" borderId="63" applyNumberFormat="0" applyProtection="0">
      <alignment horizontal="left" vertical="center" indent="1"/>
    </xf>
    <xf numFmtId="4" fontId="50" fillId="4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4" fontId="50" fillId="40" borderId="63" applyNumberFormat="0" applyProtection="0">
      <alignment horizontal="right" vertical="center"/>
    </xf>
    <xf numFmtId="0" fontId="50" fillId="40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0" fontId="47" fillId="37" borderId="63" applyNumberFormat="0" applyProtection="0">
      <alignment horizontal="left" vertical="center" indent="1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0" fontId="73" fillId="51" borderId="69" applyNumberFormat="0" applyAlignment="0" applyProtection="0">
      <alignment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4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0" fillId="43" borderId="63" applyNumberFormat="0" applyProtection="0">
      <alignment horizontal="right" vertical="center"/>
    </xf>
    <xf numFmtId="0" fontId="94" fillId="62" borderId="0" applyNumberFormat="0" applyBorder="0" applyAlignment="0" applyProtection="0">
      <alignment vertical="center"/>
    </xf>
    <xf numFmtId="4" fontId="50" fillId="43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0" fontId="47" fillId="37" borderId="63" applyNumberFormat="0" applyProtection="0">
      <alignment horizontal="left" vertical="center" indent="1"/>
    </xf>
    <xf numFmtId="4" fontId="50" fillId="43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4" fontId="50" fillId="43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0" fontId="50" fillId="43" borderId="63" applyNumberFormat="0" applyProtection="0">
      <alignment horizontal="right" vertical="center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2" fillId="27" borderId="63" applyNumberFormat="0" applyProtection="0">
      <alignment vertical="center"/>
    </xf>
    <xf numFmtId="0" fontId="56" fillId="24" borderId="0" applyNumberFormat="0" applyBorder="0" applyAlignment="0" applyProtection="0">
      <alignment vertical="center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8" fillId="32" borderId="63" applyNumberFormat="0" applyProtection="0">
      <alignment horizontal="left" vertical="center" indent="1"/>
    </xf>
    <xf numFmtId="0" fontId="50" fillId="26" borderId="79" applyNumberFormat="0" applyProtection="0">
      <alignment horizontal="left" vertical="center" indent="1"/>
    </xf>
    <xf numFmtId="0" fontId="68" fillId="0" borderId="0" applyNumberFormat="0" applyFill="0" applyBorder="0" applyAlignment="0" applyProtection="0">
      <alignment vertical="center"/>
    </xf>
    <xf numFmtId="4" fontId="97" fillId="63" borderId="0" applyNumberFormat="0" applyProtection="0">
      <alignment horizontal="left" vertical="center" indent="1"/>
    </xf>
    <xf numFmtId="0" fontId="97" fillId="63" borderId="0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55" fillId="0" borderId="65" applyNumberFormat="0" applyFill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55" fillId="0" borderId="65" applyNumberFormat="0" applyFill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55" fillId="0" borderId="65" applyNumberFormat="0" applyFill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71" fillId="0" borderId="74" applyNumberFormat="0" applyFill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68" fillId="0" borderId="73" applyNumberFormat="0" applyFill="0" applyAlignment="0" applyProtection="0">
      <alignment vertical="center"/>
    </xf>
    <xf numFmtId="4" fontId="5" fillId="0" borderId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50" fillId="27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126" fillId="0" borderId="0" applyNumberFormat="0" applyFill="0" applyBorder="0" applyAlignment="0" applyProtection="0">
      <alignment vertical="top"/>
      <protection locked="0"/>
    </xf>
    <xf numFmtId="0" fontId="47" fillId="23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43" fontId="0" fillId="0" borderId="0" applyFont="0" applyFill="0" applyBorder="0" applyAlignment="0" applyProtection="0"/>
    <xf numFmtId="0" fontId="54" fillId="16" borderId="0" applyNumberFormat="0" applyBorder="0" applyAlignment="0" applyProtection="0">
      <alignment vertical="center"/>
    </xf>
    <xf numFmtId="4" fontId="50" fillId="26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" fontId="50" fillId="2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0" fillId="2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0" fontId="74" fillId="0" borderId="0"/>
    <xf numFmtId="4" fontId="50" fillId="2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0" fillId="2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4" fontId="50" fillId="2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4" fontId="50" fillId="2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0" fillId="2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4" fontId="50" fillId="2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0" fillId="2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4" fontId="50" fillId="3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0" fontId="58" fillId="0" borderId="65" applyNumberFormat="0" applyFill="0" applyAlignment="0" applyProtection="0"/>
    <xf numFmtId="0" fontId="56" fillId="24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4" fontId="50" fillId="36" borderId="63" applyNumberFormat="0" applyProtection="0">
      <alignment horizontal="left" vertical="center" indent="1"/>
    </xf>
    <xf numFmtId="4" fontId="50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119" fillId="0" borderId="0" applyNumberFormat="0" applyFill="0" applyBorder="0" applyAlignment="0" applyProtection="0">
      <alignment vertical="top"/>
      <protection locked="0"/>
    </xf>
    <xf numFmtId="0" fontId="60" fillId="16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6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47" fillId="37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47" fillId="37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47" fillId="3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4" fontId="50" fillId="27" borderId="63" applyNumberFormat="0" applyProtection="0">
      <alignment vertical="center"/>
    </xf>
    <xf numFmtId="0" fontId="47" fillId="37" borderId="63" applyNumberFormat="0" applyProtection="0">
      <alignment horizontal="left" vertical="center" indent="1"/>
    </xf>
    <xf numFmtId="4" fontId="50" fillId="27" borderId="63" applyNumberFormat="0" applyProtection="0">
      <alignment vertical="center"/>
    </xf>
    <xf numFmtId="0" fontId="47" fillId="37" borderId="63" applyNumberFormat="0" applyProtection="0">
      <alignment horizontal="left" vertical="center" indent="1"/>
    </xf>
    <xf numFmtId="4" fontId="50" fillId="27" borderId="63" applyNumberForma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7" fillId="37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4" fontId="50" fillId="27" borderId="63" applyNumberFormat="0" applyProtection="0">
      <alignment vertical="center"/>
    </xf>
    <xf numFmtId="0" fontId="47" fillId="37" borderId="63" applyNumberFormat="0" applyProtection="0">
      <alignment horizontal="left" vertical="center" indent="1"/>
    </xf>
    <xf numFmtId="4" fontId="50" fillId="27" borderId="63" applyNumberFormat="0" applyProtection="0">
      <alignment vertical="center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37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7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4" fontId="52" fillId="26" borderId="63" applyNumberFormat="0" applyProtection="0">
      <alignment horizontal="right" vertical="center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4" fontId="52" fillId="26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4" fontId="50" fillId="26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4" fontId="52" fillId="26" borderId="63" applyNumberFormat="0" applyProtection="0">
      <alignment horizontal="right" vertical="center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4" fontId="52" fillId="26" borderId="63" applyNumberFormat="0" applyProtection="0">
      <alignment horizontal="right" vertical="center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4" fontId="52" fillId="26" borderId="63" applyNumberFormat="0" applyProtection="0">
      <alignment horizontal="right" vertical="center"/>
    </xf>
    <xf numFmtId="0" fontId="47" fillId="35" borderId="63" applyNumberFormat="0" applyProtection="0">
      <alignment horizontal="left" vertical="center" indent="1"/>
    </xf>
    <xf numFmtId="4" fontId="52" fillId="26" borderId="63" applyNumberFormat="0" applyProtection="0">
      <alignment horizontal="right" vertical="center"/>
    </xf>
    <xf numFmtId="0" fontId="47" fillId="35" borderId="63" applyNumberFormat="0" applyProtection="0">
      <alignment horizontal="left" vertical="center" indent="1"/>
    </xf>
    <xf numFmtId="0" fontId="117" fillId="14" borderId="76" applyNumberForma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117" fillId="14" borderId="76" applyNumberForma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4" fontId="70" fillId="26" borderId="63" applyNumberFormat="0" applyProtection="0">
      <alignment horizontal="right" vertical="center"/>
    </xf>
    <xf numFmtId="0" fontId="47" fillId="35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35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137" fillId="0" borderId="0"/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125" fillId="65" borderId="78" applyNumberFormat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4" fontId="50" fillId="26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4" fontId="50" fillId="27" borderId="63" applyNumberFormat="0" applyProtection="0">
      <alignment vertical="center"/>
    </xf>
    <xf numFmtId="0" fontId="55" fillId="0" borderId="65" applyNumberFormat="0" applyFill="0" applyAlignment="0" applyProtection="0">
      <alignment vertical="center"/>
    </xf>
    <xf numFmtId="4" fontId="50" fillId="27" borderId="63" applyNumberForma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0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70" fillId="26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0" fontId="55" fillId="0" borderId="65" applyNumberFormat="0" applyFill="0" applyAlignmen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2" fillId="27" borderId="63" applyNumberForma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0" fontId="60" fillId="16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70" fillId="26" borderId="63" applyNumberFormat="0" applyProtection="0">
      <alignment horizontal="right" vertical="center"/>
    </xf>
    <xf numFmtId="4" fontId="50" fillId="27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202" fontId="162" fillId="0" borderId="2">
      <alignment vertical="center"/>
    </xf>
    <xf numFmtId="4" fontId="50" fillId="27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0" fontId="56" fillId="24" borderId="0" applyNumberFormat="0" applyBorder="0" applyAlignment="0" applyProtection="0">
      <alignment vertical="center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7" borderId="63" applyNumberFormat="0" applyProtection="0">
      <alignment horizontal="left" vertical="center" indent="1"/>
    </xf>
    <xf numFmtId="4" fontId="50" fillId="26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9" fontId="0" fillId="0" borderId="0" applyFont="0" applyFill="0" applyBorder="0" applyAlignment="0" applyProtection="0"/>
    <xf numFmtId="4" fontId="50" fillId="26" borderId="63" applyNumberFormat="0" applyProtection="0">
      <alignment horizontal="right" vertical="center"/>
    </xf>
    <xf numFmtId="4" fontId="52" fillId="26" borderId="63" applyNumberFormat="0" applyProtection="0">
      <alignment horizontal="right" vertical="center"/>
    </xf>
    <xf numFmtId="0" fontId="56" fillId="24" borderId="0" applyNumberFormat="0" applyBorder="0" applyAlignment="0" applyProtection="0">
      <alignment vertical="center"/>
    </xf>
    <xf numFmtId="4" fontId="50" fillId="26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0" fillId="26" borderId="63" applyNumberFormat="0" applyProtection="0">
      <alignment horizontal="right" vertical="center"/>
    </xf>
    <xf numFmtId="4" fontId="52" fillId="26" borderId="63" applyNumberFormat="0" applyProtection="0">
      <alignment horizontal="right" vertical="center"/>
    </xf>
    <xf numFmtId="4" fontId="52" fillId="26" borderId="63" applyNumberFormat="0" applyProtection="0">
      <alignment horizontal="right" vertical="center"/>
    </xf>
    <xf numFmtId="4" fontId="52" fillId="26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52" fillId="26" borderId="63" applyNumberFormat="0" applyProtection="0">
      <alignment horizontal="right" vertical="center"/>
    </xf>
    <xf numFmtId="4" fontId="52" fillId="26" borderId="63" applyNumberFormat="0" applyProtection="0">
      <alignment horizontal="right" vertical="center"/>
    </xf>
    <xf numFmtId="4" fontId="52" fillId="26" borderId="63" applyNumberFormat="0" applyProtection="0">
      <alignment horizontal="right" vertical="center"/>
    </xf>
    <xf numFmtId="4" fontId="52" fillId="26" borderId="63" applyNumberFormat="0" applyProtection="0">
      <alignment horizontal="right" vertical="center"/>
    </xf>
    <xf numFmtId="0" fontId="54" fillId="16" borderId="0" applyNumberFormat="0" applyBorder="0" applyAlignment="0" applyProtection="0">
      <alignment vertical="center"/>
    </xf>
    <xf numFmtId="4" fontId="52" fillId="26" borderId="63" applyNumberFormat="0" applyProtection="0">
      <alignment horizontal="right" vertical="center"/>
    </xf>
    <xf numFmtId="4" fontId="52" fillId="26" borderId="63" applyNumberFormat="0" applyProtection="0">
      <alignment horizontal="right" vertical="center"/>
    </xf>
    <xf numFmtId="4" fontId="52" fillId="26" borderId="63" applyNumberFormat="0" applyProtection="0">
      <alignment horizontal="right" vertical="center"/>
    </xf>
    <xf numFmtId="4" fontId="52" fillId="26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9" fontId="48" fillId="0" borderId="0" applyFont="0" applyFill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63" fillId="24" borderId="0" applyNumberFormat="0" applyBorder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55" fillId="0" borderId="65" applyNumberFormat="0" applyFill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54" fillId="16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71" fillId="0" borderId="74" applyNumberFormat="0" applyFill="0" applyAlignment="0" applyProtection="0">
      <alignment vertical="center"/>
    </xf>
    <xf numFmtId="4" fontId="70" fillId="26" borderId="63" applyNumberFormat="0" applyProtection="0">
      <alignment horizontal="right"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68" fillId="0" borderId="73" applyNumberFormat="0" applyFill="0" applyAlignment="0" applyProtection="0">
      <alignment vertical="center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0" fontId="47" fillId="23" borderId="63" applyNumberFormat="0" applyProtection="0">
      <alignment horizontal="left" vertical="center" indent="1"/>
    </xf>
    <xf numFmtId="4" fontId="70" fillId="26" borderId="63" applyNumberFormat="0" applyProtection="0">
      <alignment horizontal="right" vertical="center"/>
    </xf>
    <xf numFmtId="0" fontId="54" fillId="16" borderId="0" applyNumberFormat="0" applyBorder="0" applyAlignment="0" applyProtection="0">
      <alignment vertical="center"/>
    </xf>
    <xf numFmtId="4" fontId="70" fillId="26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70" fillId="26" borderId="63" applyNumberFormat="0" applyProtection="0">
      <alignment horizontal="right" vertical="center"/>
    </xf>
    <xf numFmtId="0" fontId="63" fillId="24" borderId="0" applyNumberFormat="0" applyBorder="0" applyAlignment="0" applyProtection="0">
      <alignment vertical="center"/>
    </xf>
    <xf numFmtId="4" fontId="70" fillId="26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4" fontId="70" fillId="26" borderId="63" applyNumberFormat="0" applyProtection="0">
      <alignment horizontal="right" vertical="center"/>
    </xf>
    <xf numFmtId="0" fontId="60" fillId="16" borderId="0" applyNumberFormat="0" applyBorder="0" applyAlignment="0" applyProtection="0">
      <alignment vertical="center"/>
    </xf>
    <xf numFmtId="4" fontId="70" fillId="26" borderId="63" applyNumberFormat="0" applyProtection="0">
      <alignment horizontal="right" vertical="center"/>
    </xf>
    <xf numFmtId="0" fontId="70" fillId="26" borderId="63" applyNumberFormat="0" applyProtection="0">
      <alignment horizontal="right" vertical="center"/>
    </xf>
    <xf numFmtId="0" fontId="145" fillId="0" borderId="0" applyNumberFormat="0" applyFill="0" applyBorder="0" applyAlignment="0" applyProtection="0">
      <alignment vertical="center"/>
    </xf>
    <xf numFmtId="0" fontId="130" fillId="0" borderId="0">
      <alignment horizontal="left"/>
    </xf>
    <xf numFmtId="192" fontId="50" fillId="0" borderId="2">
      <alignment horizontal="justify" vertical="top" wrapText="1"/>
    </xf>
    <xf numFmtId="0" fontId="145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17" fillId="14" borderId="76" applyNumberFormat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9" fontId="163" fillId="0" borderId="0" applyFont="0" applyFill="0" applyBorder="0" applyAlignment="0" applyProtection="0"/>
    <xf numFmtId="0" fontId="60" fillId="16" borderId="0" applyNumberFormat="0" applyBorder="0" applyAlignment="0" applyProtection="0">
      <alignment vertical="center"/>
    </xf>
    <xf numFmtId="0" fontId="47" fillId="0" borderId="0"/>
    <xf numFmtId="0" fontId="72" fillId="0" borderId="68" applyNumberFormat="0" applyFill="0" applyAlignment="0" applyProtection="0">
      <alignment vertical="center"/>
    </xf>
    <xf numFmtId="0" fontId="72" fillId="0" borderId="68" applyNumberFormat="0" applyFill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72" fillId="0" borderId="68" applyNumberFormat="0" applyFill="0" applyAlignment="0" applyProtection="0">
      <alignment vertical="center"/>
    </xf>
    <xf numFmtId="0" fontId="72" fillId="0" borderId="68" applyNumberFormat="0" applyFill="0" applyAlignment="0" applyProtection="0">
      <alignment vertical="center"/>
    </xf>
    <xf numFmtId="0" fontId="72" fillId="0" borderId="68" applyNumberFormat="0" applyFill="0" applyAlignment="0" applyProtection="0">
      <alignment vertical="center"/>
    </xf>
    <xf numFmtId="0" fontId="72" fillId="0" borderId="68" applyNumberFormat="0" applyFill="0" applyAlignment="0" applyProtection="0">
      <alignment vertical="center"/>
    </xf>
    <xf numFmtId="0" fontId="72" fillId="0" borderId="68" applyNumberFormat="0" applyFill="0" applyAlignment="0" applyProtection="0">
      <alignment vertical="center"/>
    </xf>
    <xf numFmtId="0" fontId="72" fillId="0" borderId="68" applyNumberFormat="0" applyFill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71" fillId="0" borderId="74" applyNumberFormat="0" applyFill="0" applyAlignment="0" applyProtection="0">
      <alignment vertical="center"/>
    </xf>
    <xf numFmtId="0" fontId="71" fillId="0" borderId="74" applyNumberFormat="0" applyFill="0" applyAlignment="0" applyProtection="0">
      <alignment vertical="center"/>
    </xf>
    <xf numFmtId="0" fontId="71" fillId="0" borderId="74" applyNumberFormat="0" applyFill="0" applyAlignment="0" applyProtection="0">
      <alignment vertical="center"/>
    </xf>
    <xf numFmtId="0" fontId="71" fillId="0" borderId="74" applyNumberFormat="0" applyFill="0" applyAlignment="0" applyProtection="0">
      <alignment vertical="center"/>
    </xf>
    <xf numFmtId="0" fontId="71" fillId="0" borderId="74" applyNumberFormat="0" applyFill="0" applyAlignment="0" applyProtection="0">
      <alignment vertical="center"/>
    </xf>
    <xf numFmtId="0" fontId="71" fillId="0" borderId="74" applyNumberFormat="0" applyFill="0" applyAlignment="0" applyProtection="0">
      <alignment vertical="center"/>
    </xf>
    <xf numFmtId="0" fontId="68" fillId="0" borderId="73" applyNumberFormat="0" applyFill="0" applyAlignment="0" applyProtection="0">
      <alignment vertical="center"/>
    </xf>
    <xf numFmtId="0" fontId="68" fillId="0" borderId="73" applyNumberFormat="0" applyFill="0" applyAlignment="0" applyProtection="0">
      <alignment vertical="center"/>
    </xf>
    <xf numFmtId="0" fontId="47" fillId="0" borderId="0"/>
    <xf numFmtId="0" fontId="68" fillId="0" borderId="73" applyNumberFormat="0" applyFill="0" applyAlignment="0" applyProtection="0">
      <alignment vertical="center"/>
    </xf>
    <xf numFmtId="0" fontId="68" fillId="0" borderId="73" applyNumberFormat="0" applyFill="0" applyAlignment="0" applyProtection="0">
      <alignment vertical="center"/>
    </xf>
    <xf numFmtId="0" fontId="68" fillId="0" borderId="73" applyNumberFormat="0" applyFill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8" fillId="0" borderId="73" applyNumberFormat="0" applyFill="0" applyAlignment="0" applyProtection="0">
      <alignment vertical="center"/>
    </xf>
    <xf numFmtId="0" fontId="68" fillId="0" borderId="7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96" fillId="56" borderId="0" applyNumberFormat="0" applyBorder="0" applyAlignment="0" applyProtection="0">
      <alignment vertical="center"/>
    </xf>
    <xf numFmtId="0" fontId="96" fillId="56" borderId="0" applyNumberFormat="0" applyBorder="0" applyAlignment="0" applyProtection="0">
      <alignment vertical="center"/>
    </xf>
    <xf numFmtId="0" fontId="96" fillId="56" borderId="0" applyNumberFormat="0" applyBorder="0" applyAlignment="0" applyProtection="0">
      <alignment vertical="center"/>
    </xf>
    <xf numFmtId="0" fontId="96" fillId="5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128" fillId="0" borderId="0" applyNumberFormat="0" applyFont="0" applyBorder="0" applyAlignment="0"/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164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133" fillId="0" borderId="0" applyFont="0" applyFill="0" applyBorder="0" applyAlignment="0" applyProtection="0"/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150" fillId="24" borderId="0" applyNumberFormat="0" applyBorder="0" applyAlignment="0" applyProtection="0">
      <alignment vertical="center"/>
    </xf>
    <xf numFmtId="0" fontId="150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0" fillId="0" borderId="0"/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89" fillId="0" borderId="0">
      <alignment vertical="center"/>
    </xf>
    <xf numFmtId="0" fontId="0" fillId="0" borderId="0"/>
    <xf numFmtId="0" fontId="0" fillId="0" borderId="0"/>
    <xf numFmtId="0" fontId="0" fillId="0" borderId="0"/>
    <xf numFmtId="4" fontId="0" fillId="0" borderId="0">
      <alignment vertical="center"/>
    </xf>
    <xf numFmtId="0" fontId="0" fillId="0" borderId="0"/>
    <xf numFmtId="0" fontId="0" fillId="0" borderId="0"/>
    <xf numFmtId="0" fontId="48" fillId="0" borderId="0"/>
    <xf numFmtId="0" fontId="110" fillId="61" borderId="71" applyNumberFormat="0" applyFont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0" fillId="0" borderId="0"/>
    <xf numFmtId="0" fontId="110" fillId="61" borderId="71" applyNumberFormat="0" applyFont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0" fillId="0" borderId="0">
      <alignment vertical="center"/>
    </xf>
    <xf numFmtId="0" fontId="66" fillId="0" borderId="0">
      <alignment vertical="center"/>
    </xf>
    <xf numFmtId="0" fontId="47" fillId="0" borderId="0"/>
    <xf numFmtId="0" fontId="110" fillId="61" borderId="71" applyNumberFormat="0" applyFont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4" fontId="0" fillId="0" borderId="0">
      <alignment vertical="center"/>
    </xf>
    <xf numFmtId="0" fontId="47" fillId="0" borderId="0"/>
    <xf numFmtId="0" fontId="48" fillId="0" borderId="0">
      <alignment vertical="center"/>
    </xf>
    <xf numFmtId="0" fontId="110" fillId="61" borderId="71" applyNumberFormat="0" applyFont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10" fillId="0" borderId="0">
      <alignment vertical="center"/>
    </xf>
    <xf numFmtId="0" fontId="47" fillId="0" borderId="0"/>
    <xf numFmtId="0" fontId="110" fillId="61" borderId="71" applyNumberFormat="0" applyFont="0" applyAlignment="0" applyProtection="0">
      <alignment vertical="center"/>
    </xf>
    <xf numFmtId="0" fontId="0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7" fillId="0" borderId="0"/>
    <xf numFmtId="0" fontId="47" fillId="0" borderId="0"/>
    <xf numFmtId="4" fontId="47" fillId="0" borderId="0">
      <alignment vertical="center"/>
      <protection locked="0"/>
    </xf>
    <xf numFmtId="0" fontId="0" fillId="0" borderId="0">
      <alignment vertical="center"/>
    </xf>
    <xf numFmtId="0" fontId="48" fillId="0" borderId="0"/>
    <xf numFmtId="0" fontId="106" fillId="0" borderId="0" applyFont="0" applyBorder="0" applyAlignment="0"/>
    <xf numFmtId="0" fontId="47" fillId="0" borderId="0"/>
    <xf numFmtId="4" fontId="5" fillId="0" borderId="0">
      <alignment vertical="center"/>
    </xf>
    <xf numFmtId="0" fontId="5" fillId="0" borderId="40" applyNumberFormat="0" applyFont="0" applyBorder="0" applyAlignment="0">
      <alignment horizontal="centerContinuous"/>
    </xf>
    <xf numFmtId="4" fontId="5" fillId="0" borderId="0">
      <alignment vertical="center"/>
    </xf>
    <xf numFmtId="0" fontId="124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60" fillId="16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73" fillId="51" borderId="69" applyNumberForma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110" fillId="61" borderId="71" applyNumberFormat="0" applyFon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95" fillId="14" borderId="69" applyNumberForma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129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76" fillId="0" borderId="0" applyNumberFormat="0" applyFont="0" applyBorder="0" applyAlignment="0"/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165" fillId="16" borderId="0" applyNumberFormat="0" applyBorder="0" applyAlignment="0" applyProtection="0">
      <alignment vertical="center"/>
    </xf>
    <xf numFmtId="0" fontId="165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166" fillId="0" borderId="1" applyNumberFormat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48" fillId="0" borderId="0" applyFont="0" applyAlignment="0"/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118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119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88" fillId="0" borderId="72" applyNumberFormat="0" applyFill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0" fontId="88" fillId="0" borderId="72" applyNumberFormat="0" applyFill="0" applyAlignment="0" applyProtection="0">
      <alignment vertical="center"/>
    </xf>
    <xf numFmtId="0" fontId="95" fillId="14" borderId="69" applyNumberFormat="0" applyAlignment="0" applyProtection="0">
      <alignment vertical="center"/>
    </xf>
    <xf numFmtId="0" fontId="95" fillId="14" borderId="69" applyNumberFormat="0" applyAlignment="0" applyProtection="0">
      <alignment vertical="center"/>
    </xf>
    <xf numFmtId="0" fontId="95" fillId="14" borderId="69" applyNumberFormat="0" applyAlignment="0" applyProtection="0">
      <alignment vertical="center"/>
    </xf>
    <xf numFmtId="0" fontId="95" fillId="14" borderId="69" applyNumberFormat="0" applyAlignment="0" applyProtection="0">
      <alignment vertical="center"/>
    </xf>
    <xf numFmtId="0" fontId="95" fillId="14" borderId="69" applyNumberFormat="0" applyAlignment="0" applyProtection="0">
      <alignment vertical="center"/>
    </xf>
    <xf numFmtId="0" fontId="95" fillId="14" borderId="69" applyNumberFormat="0" applyAlignment="0" applyProtection="0">
      <alignment vertical="center"/>
    </xf>
    <xf numFmtId="0" fontId="95" fillId="14" borderId="69" applyNumberFormat="0" applyAlignment="0" applyProtection="0">
      <alignment vertical="center"/>
    </xf>
    <xf numFmtId="0" fontId="95" fillId="14" borderId="69" applyNumberFormat="0" applyAlignment="0" applyProtection="0">
      <alignment vertical="center"/>
    </xf>
    <xf numFmtId="0" fontId="95" fillId="14" borderId="69" applyNumberFormat="0" applyAlignment="0" applyProtection="0">
      <alignment vertical="center"/>
    </xf>
    <xf numFmtId="0" fontId="125" fillId="65" borderId="78" applyNumberFormat="0" applyAlignment="0" applyProtection="0">
      <alignment vertical="center"/>
    </xf>
    <xf numFmtId="0" fontId="125" fillId="65" borderId="78" applyNumberFormat="0" applyAlignment="0" applyProtection="0">
      <alignment vertical="center"/>
    </xf>
    <xf numFmtId="0" fontId="125" fillId="65" borderId="78" applyNumberFormat="0" applyAlignment="0" applyProtection="0">
      <alignment vertical="center"/>
    </xf>
    <xf numFmtId="0" fontId="125" fillId="65" borderId="78" applyNumberFormat="0" applyAlignment="0" applyProtection="0">
      <alignment vertical="center"/>
    </xf>
    <xf numFmtId="0" fontId="125" fillId="65" borderId="78" applyNumberFormat="0" applyAlignment="0" applyProtection="0">
      <alignment vertical="center"/>
    </xf>
    <xf numFmtId="0" fontId="125" fillId="65" borderId="78" applyNumberFormat="0" applyAlignment="0" applyProtection="0">
      <alignment vertical="center"/>
    </xf>
    <xf numFmtId="0" fontId="125" fillId="65" borderId="78" applyNumberFormat="0" applyAlignment="0" applyProtection="0">
      <alignment vertical="center"/>
    </xf>
    <xf numFmtId="0" fontId="125" fillId="65" borderId="78" applyNumberFormat="0" applyAlignment="0" applyProtection="0">
      <alignment vertical="center"/>
    </xf>
    <xf numFmtId="0" fontId="125" fillId="65" borderId="78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77" fillId="0" borderId="70" applyNumberFormat="0" applyFill="0" applyAlignment="0" applyProtection="0">
      <alignment vertical="center"/>
    </xf>
    <xf numFmtId="0" fontId="73" fillId="51" borderId="69" applyNumberFormat="0" applyAlignment="0" applyProtection="0">
      <alignment vertical="center"/>
    </xf>
    <xf numFmtId="20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0" fontId="48" fillId="0" borderId="0"/>
    <xf numFmtId="0" fontId="48" fillId="0" borderId="0" applyFont="0" applyBorder="0" applyAlignment="0"/>
    <xf numFmtId="0" fontId="48" fillId="0" borderId="0" applyNumberFormat="0" applyFont="0" applyAlignment="0"/>
    <xf numFmtId="0" fontId="106" fillId="0" borderId="0" applyNumberFormat="0" applyFont="0" applyBorder="0" applyAlignment="0"/>
    <xf numFmtId="0" fontId="106" fillId="0" borderId="0" applyNumberFormat="0" applyFont="0" applyBorder="0" applyAlignment="0"/>
    <xf numFmtId="0" fontId="106" fillId="0" borderId="0" applyFont="0" applyBorder="0" applyAlignment="0"/>
    <xf numFmtId="0" fontId="106" fillId="0" borderId="0" applyNumberFormat="0" applyFont="0" applyBorder="0" applyAlignment="0" applyProtection="0"/>
    <xf numFmtId="0" fontId="106" fillId="0" borderId="0" applyNumberFormat="0" applyFont="0" applyBorder="0" applyAlignment="0"/>
    <xf numFmtId="0" fontId="132" fillId="0" borderId="0" applyNumberFormat="0" applyFont="0" applyBorder="0" applyAlignment="0"/>
    <xf numFmtId="199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205" fontId="4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167" fillId="0" borderId="0"/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73" fillId="51" borderId="69" applyNumberFormat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73" fillId="51" borderId="69" applyNumberFormat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94" fillId="62" borderId="0" applyNumberFormat="0" applyBorder="0" applyAlignment="0" applyProtection="0">
      <alignment vertical="center"/>
    </xf>
    <xf numFmtId="0" fontId="117" fillId="14" borderId="76" applyNumberFormat="0" applyAlignment="0" applyProtection="0">
      <alignment vertical="center"/>
    </xf>
    <xf numFmtId="0" fontId="117" fillId="14" borderId="76" applyNumberFormat="0" applyAlignment="0" applyProtection="0">
      <alignment vertical="center"/>
    </xf>
    <xf numFmtId="0" fontId="117" fillId="14" borderId="76" applyNumberFormat="0" applyAlignment="0" applyProtection="0">
      <alignment vertical="center"/>
    </xf>
    <xf numFmtId="0" fontId="117" fillId="14" borderId="76" applyNumberFormat="0" applyAlignment="0" applyProtection="0">
      <alignment vertical="center"/>
    </xf>
    <xf numFmtId="0" fontId="117" fillId="14" borderId="76" applyNumberFormat="0" applyAlignment="0" applyProtection="0">
      <alignment vertical="center"/>
    </xf>
    <xf numFmtId="0" fontId="117" fillId="14" borderId="76" applyNumberFormat="0" applyAlignment="0" applyProtection="0">
      <alignment vertical="center"/>
    </xf>
    <xf numFmtId="0" fontId="117" fillId="14" borderId="76" applyNumberFormat="0" applyAlignment="0" applyProtection="0">
      <alignment vertical="center"/>
    </xf>
    <xf numFmtId="0" fontId="73" fillId="51" borderId="69" applyNumberFormat="0" applyAlignment="0" applyProtection="0">
      <alignment vertical="center"/>
    </xf>
    <xf numFmtId="0" fontId="73" fillId="51" borderId="69" applyNumberFormat="0" applyAlignment="0" applyProtection="0">
      <alignment vertical="center"/>
    </xf>
    <xf numFmtId="207" fontId="118" fillId="0" borderId="0" applyFont="0" applyFill="0" applyBorder="0" applyAlignment="0" applyProtection="0"/>
    <xf numFmtId="0" fontId="50" fillId="0" borderId="0">
      <alignment vertical="top"/>
    </xf>
    <xf numFmtId="4" fontId="5" fillId="0" borderId="0">
      <alignment vertical="center"/>
    </xf>
    <xf numFmtId="4" fontId="51" fillId="0" borderId="0">
      <alignment vertical="center"/>
    </xf>
    <xf numFmtId="4" fontId="5" fillId="0" borderId="0">
      <alignment vertical="center"/>
    </xf>
    <xf numFmtId="0" fontId="47" fillId="0" borderId="0"/>
    <xf numFmtId="4" fontId="5" fillId="0" borderId="0">
      <alignment vertical="center"/>
    </xf>
    <xf numFmtId="0" fontId="0" fillId="0" borderId="0"/>
    <xf numFmtId="0" fontId="0" fillId="0" borderId="0"/>
    <xf numFmtId="0" fontId="110" fillId="61" borderId="71" applyNumberFormat="0" applyFont="0" applyAlignment="0" applyProtection="0">
      <alignment vertical="center"/>
    </xf>
    <xf numFmtId="0" fontId="110" fillId="61" borderId="71" applyNumberFormat="0" applyFont="0" applyAlignment="0" applyProtection="0">
      <alignment vertical="center"/>
    </xf>
    <xf numFmtId="0" fontId="110" fillId="61" borderId="71" applyNumberFormat="0" applyFont="0" applyAlignment="0" applyProtection="0">
      <alignment vertical="center"/>
    </xf>
    <xf numFmtId="0" fontId="110" fillId="61" borderId="71" applyNumberFormat="0" applyFont="0" applyAlignment="0" applyProtection="0">
      <alignment vertical="center"/>
    </xf>
    <xf numFmtId="0" fontId="110" fillId="61" borderId="71" applyNumberFormat="0" applyFont="0" applyAlignment="0" applyProtection="0">
      <alignment vertical="center"/>
    </xf>
    <xf numFmtId="43" fontId="47" fillId="0" borderId="1" applyNumberFormat="0"/>
    <xf numFmtId="43" fontId="47" fillId="0" borderId="1" applyNumberFormat="0"/>
    <xf numFmtId="43" fontId="47" fillId="0" borderId="1" applyNumberFormat="0"/>
    <xf numFmtId="43" fontId="47" fillId="0" borderId="1" applyNumberFormat="0"/>
    <xf numFmtId="43" fontId="47" fillId="0" borderId="1" applyNumberFormat="0"/>
    <xf numFmtId="38" fontId="133" fillId="0" borderId="0" applyFont="0" applyFill="0" applyBorder="0" applyAlignment="0" applyProtection="0"/>
    <xf numFmtId="40" fontId="133" fillId="0" borderId="0" applyFont="0" applyFill="0" applyBorder="0" applyAlignment="0" applyProtection="0"/>
    <xf numFmtId="0" fontId="133" fillId="0" borderId="0" applyFont="0" applyFill="0" applyBorder="0" applyAlignment="0" applyProtection="0"/>
    <xf numFmtId="0" fontId="121" fillId="0" borderId="0"/>
    <xf numFmtId="200" fontId="0" fillId="0" borderId="0">
      <alignment vertical="center"/>
    </xf>
  </cellStyleXfs>
  <cellXfs count="745">
    <xf numFmtId="0" fontId="0" fillId="0" borderId="0" xfId="0" applyNumberFormat="1" applyAlignment="1"/>
    <xf numFmtId="0" fontId="0" fillId="0" borderId="0" xfId="4764" applyNumberFormat="1" applyFont="1" applyFill="1" applyBorder="1" applyAlignment="1" applyProtection="1">
      <protection locked="0"/>
    </xf>
    <xf numFmtId="0" fontId="1" fillId="0" borderId="0" xfId="4764" applyNumberFormat="1" applyFont="1" applyFill="1" applyBorder="1" applyAlignment="1" applyProtection="1">
      <protection locked="0"/>
    </xf>
    <xf numFmtId="0" fontId="1" fillId="0" borderId="0" xfId="4764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4764" applyNumberFormat="1" applyFont="1" applyFill="1" applyBorder="1" applyAlignment="1" applyProtection="1">
      <alignment horizontal="center"/>
      <protection locked="0"/>
    </xf>
    <xf numFmtId="0" fontId="0" fillId="0" borderId="0" xfId="4764" applyNumberFormat="1" applyFont="1" applyFill="1" applyBorder="1" applyAlignment="1" applyProtection="1">
      <alignment horizontal="center"/>
      <protection locked="0"/>
    </xf>
    <xf numFmtId="0" fontId="2" fillId="0" borderId="0" xfId="4764" applyNumberFormat="1" applyFont="1" applyFill="1" applyBorder="1" applyAlignment="1" applyProtection="1">
      <alignment horizontal="centerContinuous" vertical="center"/>
      <protection locked="0"/>
    </xf>
    <xf numFmtId="0" fontId="3" fillId="0" borderId="0" xfId="4764" applyNumberFormat="1" applyFont="1" applyFill="1" applyBorder="1" applyAlignment="1" applyProtection="1">
      <alignment horizontal="centerContinuous" vertical="center"/>
      <protection locked="0"/>
    </xf>
    <xf numFmtId="0" fontId="1" fillId="0" borderId="0" xfId="4763" applyFont="1" applyFill="1" applyBorder="1" applyAlignment="1" applyProtection="1">
      <alignment horizontal="left"/>
      <protection locked="0"/>
    </xf>
    <xf numFmtId="0" fontId="4" fillId="0" borderId="0" xfId="4763" applyFont="1" applyFill="1" applyBorder="1" applyAlignment="1" applyProtection="1">
      <alignment horizontal="center"/>
      <protection locked="0"/>
    </xf>
    <xf numFmtId="57" fontId="4" fillId="0" borderId="0" xfId="4763" applyNumberFormat="1" applyFont="1" applyFill="1" applyBorder="1" applyAlignment="1" applyProtection="1">
      <alignment horizontal="centerContinuous"/>
      <protection locked="0"/>
    </xf>
    <xf numFmtId="0" fontId="4" fillId="0" borderId="0" xfId="4763" applyFont="1" applyFill="1" applyBorder="1" applyAlignment="1" applyProtection="1">
      <alignment horizontal="centerContinuous"/>
      <protection locked="0"/>
    </xf>
    <xf numFmtId="4" fontId="1" fillId="0" borderId="0" xfId="4764" applyNumberFormat="1" applyFont="1" applyFill="1" applyBorder="1" applyAlignment="1" applyProtection="1">
      <protection locked="0"/>
    </xf>
    <xf numFmtId="178" fontId="1" fillId="0" borderId="0" xfId="42" applyNumberFormat="1" applyFont="1" applyAlignment="1" applyProtection="1">
      <protection locked="0"/>
    </xf>
    <xf numFmtId="4" fontId="1" fillId="2" borderId="1" xfId="4764" applyNumberFormat="1" applyFont="1" applyFill="1" applyBorder="1" applyAlignment="1">
      <alignment horizontal="center" vertical="center" wrapText="1"/>
    </xf>
    <xf numFmtId="4" fontId="5" fillId="2" borderId="1" xfId="4764" applyNumberFormat="1" applyFont="1" applyFill="1" applyBorder="1" applyAlignment="1">
      <alignment horizontal="center" vertical="center" wrapText="1"/>
    </xf>
    <xf numFmtId="0" fontId="1" fillId="0" borderId="1" xfId="4763" applyFont="1" applyFill="1" applyBorder="1" applyAlignment="1">
      <alignment horizontal="center"/>
    </xf>
    <xf numFmtId="4" fontId="4" fillId="0" borderId="1" xfId="4764" applyNumberFormat="1" applyFont="1" applyFill="1" applyBorder="1" applyAlignment="1"/>
    <xf numFmtId="4" fontId="1" fillId="0" borderId="1" xfId="4764" applyNumberFormat="1" applyFont="1" applyFill="1" applyBorder="1" applyAlignment="1"/>
    <xf numFmtId="209" fontId="6" fillId="0" borderId="1" xfId="4764" applyNumberFormat="1" applyFont="1" applyFill="1" applyBorder="1" applyAlignment="1"/>
    <xf numFmtId="4" fontId="6" fillId="0" borderId="1" xfId="4764" applyNumberFormat="1" applyFont="1" applyFill="1" applyBorder="1" applyAlignment="1"/>
    <xf numFmtId="4" fontId="1" fillId="0" borderId="1" xfId="4764" applyNumberFormat="1" applyFont="1" applyFill="1" applyBorder="1" applyAlignment="1">
      <alignment horizontal="left"/>
    </xf>
    <xf numFmtId="4" fontId="5" fillId="0" borderId="1" xfId="4764" applyNumberFormat="1" applyFont="1" applyFill="1" applyBorder="1" applyAlignment="1">
      <alignment horizontal="center"/>
    </xf>
    <xf numFmtId="197" fontId="5" fillId="3" borderId="1" xfId="5223" applyNumberFormat="1" applyFont="1" applyFill="1" applyBorder="1" applyAlignment="1" applyProtection="1">
      <protection locked="0"/>
    </xf>
    <xf numFmtId="4" fontId="5" fillId="3" borderId="1" xfId="5223" applyNumberFormat="1" applyFont="1" applyFill="1" applyBorder="1" applyAlignment="1" applyProtection="1">
      <protection locked="0"/>
    </xf>
    <xf numFmtId="4" fontId="5" fillId="0" borderId="1" xfId="4764" applyNumberFormat="1" applyFont="1" applyFill="1" applyBorder="1" applyAlignment="1" applyProtection="1">
      <protection locked="0"/>
    </xf>
    <xf numFmtId="4" fontId="5" fillId="4" borderId="1" xfId="5223" applyNumberFormat="1" applyFont="1" applyFill="1" applyBorder="1" applyAlignment="1" applyProtection="1">
      <protection locked="0"/>
    </xf>
    <xf numFmtId="3" fontId="6" fillId="0" borderId="1" xfId="4764" applyNumberFormat="1" applyFont="1" applyFill="1" applyBorder="1" applyAlignment="1"/>
    <xf numFmtId="4" fontId="1" fillId="0" borderId="1" xfId="4764" applyNumberFormat="1" applyFont="1" applyFill="1" applyBorder="1" applyAlignment="1">
      <alignment vertical="center"/>
    </xf>
    <xf numFmtId="0" fontId="1" fillId="0" borderId="1" xfId="4764" applyNumberFormat="1" applyFont="1" applyFill="1" applyBorder="1" applyAlignment="1" applyProtection="1">
      <protection locked="0"/>
    </xf>
    <xf numFmtId="4" fontId="4" fillId="0" borderId="1" xfId="4764" applyNumberFormat="1" applyFont="1" applyFill="1" applyBorder="1" applyAlignment="1">
      <alignment horizontal="center"/>
    </xf>
    <xf numFmtId="0" fontId="4" fillId="0" borderId="1" xfId="4763" applyFont="1" applyFill="1" applyBorder="1" applyAlignment="1">
      <alignment horizontal="left"/>
    </xf>
    <xf numFmtId="38" fontId="5" fillId="0" borderId="1" xfId="4764" applyNumberFormat="1" applyFont="1" applyFill="1" applyBorder="1" applyAlignment="1" applyProtection="1">
      <protection locked="0"/>
    </xf>
    <xf numFmtId="4" fontId="5" fillId="0" borderId="1" xfId="5223" applyNumberFormat="1" applyFont="1" applyFill="1" applyBorder="1" applyAlignment="1" applyProtection="1">
      <protection locked="0"/>
    </xf>
    <xf numFmtId="4" fontId="6" fillId="0" borderId="1" xfId="4764" applyNumberFormat="1" applyFont="1" applyFill="1" applyBorder="1" applyAlignment="1" applyProtection="1">
      <protection locked="0"/>
    </xf>
    <xf numFmtId="210" fontId="6" fillId="0" borderId="1" xfId="4764" applyNumberFormat="1" applyFont="1" applyFill="1" applyBorder="1" applyAlignment="1" applyProtection="1">
      <protection locked="0"/>
    </xf>
    <xf numFmtId="4" fontId="6" fillId="0" borderId="1" xfId="4764" applyNumberFormat="1" applyFont="1" applyFill="1" applyBorder="1" applyAlignment="1">
      <alignment horizontal="center"/>
    </xf>
    <xf numFmtId="4" fontId="6" fillId="0" borderId="1" xfId="5223" applyNumberFormat="1" applyFont="1" applyFill="1" applyBorder="1" applyAlignment="1" applyProtection="1">
      <protection locked="0"/>
    </xf>
    <xf numFmtId="197" fontId="5" fillId="4" borderId="1" xfId="5223" applyNumberFormat="1" applyFont="1" applyFill="1" applyBorder="1" applyAlignment="1" applyProtection="1">
      <protection locked="0"/>
    </xf>
    <xf numFmtId="210" fontId="5" fillId="4" borderId="1" xfId="5223" applyNumberFormat="1" applyFont="1" applyFill="1" applyBorder="1" applyAlignment="1" applyProtection="1">
      <protection locked="0"/>
    </xf>
    <xf numFmtId="4" fontId="5" fillId="0" borderId="1" xfId="4764" applyNumberFormat="1" applyFont="1" applyFill="1" applyBorder="1" applyAlignment="1"/>
    <xf numFmtId="197" fontId="5" fillId="5" borderId="1" xfId="5223" applyNumberFormat="1" applyFont="1" applyFill="1" applyBorder="1" applyAlignment="1" applyProtection="1">
      <protection locked="0"/>
    </xf>
    <xf numFmtId="38" fontId="5" fillId="0" borderId="1" xfId="5223" applyNumberFormat="1" applyFont="1" applyFill="1" applyBorder="1" applyAlignment="1">
      <alignment horizontal="center"/>
    </xf>
    <xf numFmtId="38" fontId="1" fillId="0" borderId="1" xfId="5223" applyNumberFormat="1" applyFont="1" applyFill="1" applyBorder="1" applyAlignment="1">
      <alignment horizontal="center"/>
    </xf>
    <xf numFmtId="211" fontId="5" fillId="0" borderId="1" xfId="5223" applyNumberFormat="1" applyFont="1" applyFill="1" applyBorder="1" applyAlignment="1" applyProtection="1">
      <protection locked="0"/>
    </xf>
    <xf numFmtId="4" fontId="5" fillId="0" borderId="1" xfId="4764" applyNumberFormat="1" applyFont="1" applyFill="1" applyBorder="1" applyAlignment="1" applyProtection="1">
      <alignment vertical="center"/>
      <protection locked="0"/>
    </xf>
    <xf numFmtId="40" fontId="6" fillId="0" borderId="1" xfId="5223" applyNumberFormat="1" applyFont="1" applyFill="1" applyBorder="1" applyAlignment="1" applyProtection="1"/>
    <xf numFmtId="0" fontId="1" fillId="0" borderId="1" xfId="4763" applyFont="1" applyFill="1" applyBorder="1" applyAlignment="1">
      <alignment horizontal="left"/>
    </xf>
    <xf numFmtId="4" fontId="5" fillId="3" borderId="1" xfId="4764" applyNumberFormat="1" applyFont="1" applyFill="1" applyBorder="1" applyAlignment="1" applyProtection="1">
      <protection locked="0"/>
    </xf>
    <xf numFmtId="4" fontId="5" fillId="0" borderId="0" xfId="0" applyNumberFormat="1" applyFont="1" applyFill="1" applyBorder="1" applyAlignment="1" applyProtection="1">
      <alignment vertical="center"/>
      <protection locked="0"/>
    </xf>
    <xf numFmtId="4" fontId="5" fillId="6" borderId="1" xfId="4764" applyNumberFormat="1" applyFont="1" applyFill="1" applyBorder="1" applyAlignment="1" applyProtection="1">
      <protection locked="0"/>
    </xf>
    <xf numFmtId="4" fontId="5" fillId="0" borderId="1" xfId="4764" applyNumberFormat="1" applyFont="1" applyFill="1" applyBorder="1" applyAlignment="1" applyProtection="1">
      <alignment horizontal="center"/>
      <protection locked="0"/>
    </xf>
    <xf numFmtId="213" fontId="5" fillId="0" borderId="1" xfId="0" applyNumberFormat="1" applyFont="1" applyFill="1" applyBorder="1" applyAlignment="1">
      <alignment vertical="center"/>
    </xf>
    <xf numFmtId="4" fontId="1" fillId="0" borderId="1" xfId="4764" applyNumberFormat="1" applyFont="1" applyFill="1" applyBorder="1" applyAlignment="1" applyProtection="1">
      <alignment horizontal="right" vertical="center"/>
      <protection locked="0"/>
    </xf>
    <xf numFmtId="4" fontId="6" fillId="0" borderId="1" xfId="4764" applyNumberFormat="1" applyFont="1" applyFill="1" applyBorder="1" applyAlignment="1" applyProtection="1"/>
    <xf numFmtId="4" fontId="4" fillId="0" borderId="2" xfId="4764" applyNumberFormat="1" applyFont="1" applyFill="1" applyBorder="1" applyAlignment="1"/>
    <xf numFmtId="4" fontId="1" fillId="0" borderId="2" xfId="4764" applyNumberFormat="1" applyFont="1" applyFill="1" applyBorder="1" applyAlignment="1"/>
    <xf numFmtId="4" fontId="4" fillId="0" borderId="2" xfId="4764" applyNumberFormat="1" applyFont="1" applyFill="1" applyBorder="1" applyAlignment="1">
      <alignment horizontal="center"/>
    </xf>
    <xf numFmtId="4" fontId="7" fillId="0" borderId="2" xfId="4764" applyNumberFormat="1" applyFont="1" applyFill="1" applyBorder="1" applyAlignment="1">
      <alignment horizontal="center"/>
    </xf>
    <xf numFmtId="4" fontId="5" fillId="0" borderId="1" xfId="5223" applyNumberFormat="1" applyFont="1" applyFill="1" applyBorder="1"/>
    <xf numFmtId="214" fontId="5" fillId="0" borderId="1" xfId="5223" applyNumberFormat="1" applyFont="1" applyBorder="1"/>
    <xf numFmtId="4" fontId="5" fillId="0" borderId="1" xfId="5223" applyNumberFormat="1" applyFont="1" applyFill="1" applyBorder="1" applyAlignment="1"/>
    <xf numFmtId="4" fontId="5" fillId="0" borderId="1" xfId="4764" applyNumberFormat="1" applyFont="1" applyFill="1" applyBorder="1" applyAlignment="1">
      <alignment vertical="center" wrapText="1"/>
    </xf>
    <xf numFmtId="4" fontId="1" fillId="0" borderId="3" xfId="4764" applyNumberFormat="1" applyFont="1" applyFill="1" applyBorder="1" applyAlignment="1"/>
    <xf numFmtId="0" fontId="0" fillId="0" borderId="1" xfId="0" applyNumberFormat="1" applyFill="1" applyBorder="1" applyAlignment="1"/>
    <xf numFmtId="212" fontId="5" fillId="0" borderId="1" xfId="42" applyNumberFormat="1" applyFont="1" applyFill="1" applyBorder="1" applyAlignment="1"/>
    <xf numFmtId="4" fontId="5" fillId="0" borderId="3" xfId="4764" applyNumberFormat="1" applyFont="1" applyFill="1" applyBorder="1" applyAlignment="1">
      <alignment horizontal="center"/>
    </xf>
    <xf numFmtId="43" fontId="5" fillId="0" borderId="3" xfId="42" applyNumberFormat="1" applyFont="1" applyFill="1" applyBorder="1" applyAlignment="1"/>
    <xf numFmtId="211" fontId="5" fillId="0" borderId="1" xfId="4764" applyNumberFormat="1" applyFont="1" applyFill="1" applyBorder="1" applyAlignment="1">
      <alignment vertical="center" wrapText="1"/>
    </xf>
    <xf numFmtId="43" fontId="1" fillId="0" borderId="0" xfId="5223" applyNumberFormat="1" applyFont="1" applyProtection="1">
      <protection locked="0"/>
    </xf>
    <xf numFmtId="43" fontId="1" fillId="0" borderId="0" xfId="4764" applyNumberFormat="1" applyFont="1" applyFill="1" applyBorder="1" applyAlignment="1" applyProtection="1">
      <protection locked="0"/>
    </xf>
    <xf numFmtId="209" fontId="1" fillId="2" borderId="1" xfId="4764" applyNumberFormat="1" applyFont="1" applyFill="1" applyBorder="1" applyAlignment="1">
      <alignment horizontal="center" vertical="center" wrapText="1"/>
    </xf>
    <xf numFmtId="4" fontId="1" fillId="2" borderId="0" xfId="4764" applyNumberFormat="1" applyFont="1" applyFill="1" applyBorder="1" applyAlignment="1">
      <alignment horizontal="center" vertical="center" wrapText="1"/>
    </xf>
    <xf numFmtId="4" fontId="1" fillId="0" borderId="0" xfId="4764" applyNumberFormat="1" applyFont="1" applyFill="1" applyBorder="1" applyAlignment="1">
      <alignment vertical="center"/>
    </xf>
    <xf numFmtId="4" fontId="1" fillId="0" borderId="0" xfId="4764" applyNumberFormat="1" applyFont="1" applyFill="1" applyBorder="1" applyAlignment="1">
      <alignment horizontal="left"/>
    </xf>
    <xf numFmtId="4" fontId="5" fillId="6" borderId="0" xfId="4764" applyNumberFormat="1" applyFont="1" applyFill="1" applyBorder="1" applyAlignment="1" applyProtection="1">
      <protection locked="0"/>
    </xf>
    <xf numFmtId="43" fontId="1" fillId="0" borderId="0" xfId="5223" applyNumberFormat="1" applyFont="1" applyBorder="1"/>
    <xf numFmtId="191" fontId="5" fillId="0" borderId="0" xfId="5223" applyNumberFormat="1" applyFont="1" applyFill="1" applyBorder="1" applyAlignment="1"/>
    <xf numFmtId="38" fontId="1" fillId="0" borderId="1" xfId="4764" applyNumberFormat="1" applyFont="1" applyFill="1" applyBorder="1" applyAlignment="1"/>
    <xf numFmtId="38" fontId="1" fillId="0" borderId="0" xfId="4764" applyNumberFormat="1" applyFont="1" applyFill="1" applyBorder="1" applyAlignment="1"/>
    <xf numFmtId="40" fontId="1" fillId="0" borderId="0" xfId="4764" applyNumberFormat="1" applyFont="1" applyFill="1" applyBorder="1" applyAlignment="1"/>
    <xf numFmtId="196" fontId="1" fillId="0" borderId="0" xfId="4764" applyNumberFormat="1" applyFont="1" applyFill="1" applyBorder="1" applyAlignment="1">
      <alignment vertical="center"/>
    </xf>
    <xf numFmtId="4" fontId="1" fillId="0" borderId="0" xfId="5223" applyNumberFormat="1" applyFont="1" applyBorder="1" applyAlignment="1"/>
    <xf numFmtId="4" fontId="1" fillId="0" borderId="0" xfId="4764" applyNumberFormat="1" applyFont="1" applyFill="1" applyBorder="1" applyAlignment="1"/>
    <xf numFmtId="212" fontId="1" fillId="0" borderId="0" xfId="5223" applyNumberFormat="1" applyFont="1" applyBorder="1"/>
    <xf numFmtId="212" fontId="1" fillId="0" borderId="0" xfId="5223" applyNumberFormat="1" applyFont="1"/>
    <xf numFmtId="4" fontId="5" fillId="0" borderId="0" xfId="5223" applyNumberFormat="1" applyFont="1" applyBorder="1" applyAlignment="1"/>
    <xf numFmtId="212" fontId="1" fillId="0" borderId="0" xfId="5223" applyNumberFormat="1" applyFont="1" applyFill="1" applyBorder="1"/>
    <xf numFmtId="197" fontId="5" fillId="5" borderId="0" xfId="5223" applyNumberFormat="1" applyFont="1" applyFill="1" applyBorder="1" applyAlignment="1" applyProtection="1">
      <protection locked="0"/>
    </xf>
    <xf numFmtId="4" fontId="1" fillId="3" borderId="0" xfId="4764" applyNumberFormat="1" applyFont="1" applyFill="1" applyBorder="1" applyAlignment="1">
      <alignment vertical="center"/>
    </xf>
    <xf numFmtId="3" fontId="1" fillId="0" borderId="0" xfId="5223" applyNumberFormat="1" applyFont="1" applyBorder="1"/>
    <xf numFmtId="215" fontId="8" fillId="0" borderId="0" xfId="5318" applyNumberFormat="1" applyFont="1" applyFill="1" applyBorder="1" applyAlignment="1">
      <alignment horizontal="right" vertical="center"/>
    </xf>
    <xf numFmtId="209" fontId="9" fillId="0" borderId="0" xfId="0" applyNumberFormat="1" applyFont="1" applyFill="1" applyBorder="1" applyAlignment="1">
      <alignment vertical="center"/>
    </xf>
    <xf numFmtId="43" fontId="1" fillId="0" borderId="1" xfId="42" applyNumberFormat="1" applyFont="1" applyBorder="1" applyAlignment="1"/>
    <xf numFmtId="4" fontId="5" fillId="3" borderId="1" xfId="5223" applyNumberFormat="1" applyFont="1" applyFill="1" applyBorder="1" applyAlignment="1"/>
    <xf numFmtId="3" fontId="4" fillId="0" borderId="1" xfId="5223" applyNumberFormat="1" applyFont="1" applyFill="1" applyBorder="1" applyAlignment="1" applyProtection="1">
      <alignment horizontal="center"/>
      <protection locked="0"/>
    </xf>
    <xf numFmtId="212" fontId="4" fillId="0" borderId="1" xfId="5223" applyNumberFormat="1" applyFont="1" applyBorder="1" applyProtection="1">
      <protection locked="0"/>
    </xf>
    <xf numFmtId="194" fontId="4" fillId="0" borderId="1" xfId="4764" applyNumberFormat="1" applyFont="1" applyFill="1" applyBorder="1" applyAlignment="1" applyProtection="1">
      <alignment vertical="center"/>
      <protection locked="0"/>
    </xf>
    <xf numFmtId="194" fontId="1" fillId="0" borderId="1" xfId="4764" applyNumberFormat="1" applyFont="1" applyFill="1" applyBorder="1" applyAlignment="1" applyProtection="1">
      <alignment vertical="center"/>
      <protection locked="0"/>
    </xf>
    <xf numFmtId="43" fontId="10" fillId="0" borderId="0" xfId="0" applyNumberFormat="1" applyFont="1" applyFill="1" applyBorder="1" applyAlignment="1"/>
    <xf numFmtId="4" fontId="5" fillId="3" borderId="1" xfId="4764" applyNumberFormat="1" applyFont="1" applyFill="1" applyBorder="1" applyAlignment="1" applyProtection="1">
      <alignment vertical="center"/>
      <protection locked="0"/>
    </xf>
    <xf numFmtId="0" fontId="0" fillId="0" borderId="0" xfId="0" applyNumberFormat="1" applyFill="1" applyBorder="1" applyAlignment="1"/>
    <xf numFmtId="4" fontId="5" fillId="6" borderId="1" xfId="4764" applyNumberFormat="1" applyFont="1" applyFill="1" applyBorder="1" applyAlignment="1" applyProtection="1">
      <alignment wrapText="1"/>
      <protection locked="0"/>
    </xf>
    <xf numFmtId="4" fontId="1" fillId="0" borderId="1" xfId="4764" applyNumberFormat="1" applyFont="1" applyFill="1" applyBorder="1" applyAlignment="1">
      <alignment horizontal="center" shrinkToFit="1"/>
    </xf>
    <xf numFmtId="4" fontId="1" fillId="0" borderId="1" xfId="5223" applyNumberFormat="1" applyFont="1" applyFill="1" applyBorder="1" applyAlignment="1">
      <alignment horizontal="center" shrinkToFit="1"/>
    </xf>
    <xf numFmtId="3" fontId="1" fillId="0" borderId="1" xfId="4764" applyNumberFormat="1" applyFont="1" applyFill="1" applyBorder="1" applyAlignment="1">
      <alignment horizontal="center" shrinkToFit="1"/>
    </xf>
    <xf numFmtId="0" fontId="0" fillId="0" borderId="0" xfId="0" applyNumberFormat="1" applyFont="1" applyFill="1" applyBorder="1" applyAlignment="1"/>
    <xf numFmtId="4" fontId="5" fillId="0" borderId="1" xfId="5223" applyNumberFormat="1" applyFont="1" applyBorder="1"/>
    <xf numFmtId="3" fontId="5" fillId="0" borderId="1" xfId="5223" applyNumberFormat="1" applyFont="1" applyBorder="1"/>
    <xf numFmtId="3" fontId="5" fillId="0" borderId="3" xfId="5223" applyNumberFormat="1" applyFont="1" applyBorder="1"/>
    <xf numFmtId="189" fontId="5" fillId="0" borderId="3" xfId="5223" applyNumberFormat="1" applyFont="1" applyBorder="1"/>
    <xf numFmtId="3" fontId="6" fillId="0" borderId="1" xfId="5223" applyNumberFormat="1" applyFont="1" applyBorder="1"/>
    <xf numFmtId="214" fontId="6" fillId="0" borderId="1" xfId="5223" applyNumberFormat="1" applyFont="1" applyBorder="1"/>
    <xf numFmtId="4" fontId="6" fillId="0" borderId="3" xfId="5223" applyNumberFormat="1" applyFont="1" applyBorder="1"/>
    <xf numFmtId="4" fontId="6" fillId="0" borderId="1" xfId="5223" applyNumberFormat="1" applyFont="1" applyBorder="1"/>
    <xf numFmtId="0" fontId="2" fillId="0" borderId="0" xfId="4764" applyNumberFormat="1" applyFont="1" applyFill="1" applyBorder="1" applyAlignment="1" applyProtection="1">
      <alignment horizontal="centerContinuous" vertical="center"/>
    </xf>
    <xf numFmtId="0" fontId="3" fillId="0" borderId="0" xfId="4764" applyNumberFormat="1" applyFont="1" applyFill="1" applyBorder="1" applyAlignment="1" applyProtection="1">
      <alignment horizontal="centerContinuous" vertical="center"/>
    </xf>
    <xf numFmtId="0" fontId="0" fillId="0" borderId="0" xfId="4764" applyNumberFormat="1" applyFont="1" applyFill="1" applyBorder="1" applyAlignment="1" applyProtection="1"/>
    <xf numFmtId="0" fontId="1" fillId="0" borderId="0" xfId="4763" applyFont="1" applyFill="1" applyBorder="1" applyAlignment="1" applyProtection="1">
      <alignment horizontal="left"/>
    </xf>
    <xf numFmtId="0" fontId="4" fillId="0" borderId="0" xfId="4763" applyFont="1" applyFill="1" applyBorder="1" applyAlignment="1" applyProtection="1">
      <alignment horizontal="center"/>
    </xf>
    <xf numFmtId="4" fontId="1" fillId="2" borderId="1" xfId="4764" applyNumberFormat="1" applyFont="1" applyFill="1" applyBorder="1" applyAlignment="1" applyProtection="1">
      <alignment horizontal="center" vertical="center" wrapText="1"/>
    </xf>
    <xf numFmtId="0" fontId="1" fillId="2" borderId="1" xfId="4764" applyNumberFormat="1" applyFont="1" applyFill="1" applyBorder="1" applyAlignment="1" applyProtection="1">
      <alignment horizontal="center" vertical="center" wrapText="1"/>
    </xf>
    <xf numFmtId="4" fontId="5" fillId="2" borderId="1" xfId="4764" applyNumberFormat="1" applyFont="1" applyFill="1" applyBorder="1" applyAlignment="1" applyProtection="1">
      <alignment horizontal="center" vertical="center" wrapText="1"/>
    </xf>
    <xf numFmtId="0" fontId="1" fillId="0" borderId="1" xfId="4763" applyFont="1" applyFill="1" applyBorder="1" applyAlignment="1" applyProtection="1">
      <alignment horizontal="center"/>
    </xf>
    <xf numFmtId="4" fontId="4" fillId="0" borderId="1" xfId="4764" applyNumberFormat="1" applyFont="1" applyFill="1" applyBorder="1" applyAlignment="1" applyProtection="1"/>
    <xf numFmtId="4" fontId="1" fillId="0" borderId="1" xfId="4764" applyNumberFormat="1" applyFont="1" applyFill="1" applyBorder="1" applyAlignment="1" applyProtection="1"/>
    <xf numFmtId="4" fontId="5" fillId="0" borderId="1" xfId="4764" applyNumberFormat="1" applyFont="1" applyFill="1" applyBorder="1" applyAlignment="1" applyProtection="1">
      <alignment horizontal="center"/>
    </xf>
    <xf numFmtId="197" fontId="5" fillId="0" borderId="1" xfId="5223" applyNumberFormat="1" applyFont="1" applyFill="1" applyBorder="1" applyAlignment="1" applyProtection="1">
      <protection locked="0"/>
    </xf>
    <xf numFmtId="0" fontId="4" fillId="0" borderId="1" xfId="4763" applyFont="1" applyFill="1" applyBorder="1" applyAlignment="1" applyProtection="1">
      <alignment horizontal="left"/>
    </xf>
    <xf numFmtId="4" fontId="6" fillId="0" borderId="1" xfId="4764" applyNumberFormat="1" applyFont="1" applyFill="1" applyBorder="1" applyAlignment="1" applyProtection="1">
      <alignment horizontal="center"/>
    </xf>
    <xf numFmtId="4" fontId="5" fillId="0" borderId="1" xfId="4764" applyNumberFormat="1" applyFont="1" applyFill="1" applyBorder="1" applyAlignment="1">
      <alignment horizontal="left"/>
    </xf>
    <xf numFmtId="0" fontId="1" fillId="0" borderId="1" xfId="4763" applyFont="1" applyFill="1" applyBorder="1" applyAlignment="1">
      <alignment horizontal="left" wrapText="1"/>
    </xf>
    <xf numFmtId="38" fontId="5" fillId="0" borderId="1" xfId="5223" applyNumberFormat="1" applyFont="1" applyFill="1" applyBorder="1" applyAlignment="1" applyProtection="1"/>
    <xf numFmtId="38" fontId="1" fillId="0" borderId="1" xfId="5223" applyNumberFormat="1" applyFont="1" applyFill="1" applyBorder="1" applyAlignment="1" applyProtection="1"/>
    <xf numFmtId="0" fontId="1" fillId="0" borderId="1" xfId="4763" applyFont="1" applyFill="1" applyBorder="1" applyAlignment="1" applyProtection="1">
      <alignment horizontal="left"/>
      <protection locked="0"/>
    </xf>
    <xf numFmtId="0" fontId="1" fillId="0" borderId="1" xfId="4764" applyNumberFormat="1" applyFont="1" applyFill="1" applyBorder="1" applyAlignment="1" applyProtection="1"/>
    <xf numFmtId="0" fontId="5" fillId="0" borderId="1" xfId="4764" applyNumberFormat="1" applyFont="1" applyFill="1" applyBorder="1" applyAlignment="1" applyProtection="1"/>
    <xf numFmtId="4" fontId="1" fillId="0" borderId="1" xfId="4764" applyNumberFormat="1" applyFont="1" applyFill="1" applyBorder="1" applyAlignment="1" applyProtection="1">
      <alignment horizontal="left" vertical="center"/>
      <protection locked="0"/>
    </xf>
    <xf numFmtId="4" fontId="4" fillId="0" borderId="2" xfId="4764" applyNumberFormat="1" applyFont="1" applyFill="1" applyBorder="1" applyAlignment="1" applyProtection="1"/>
    <xf numFmtId="4" fontId="1" fillId="0" borderId="2" xfId="4764" applyNumberFormat="1" applyFont="1" applyFill="1" applyBorder="1" applyAlignment="1" applyProtection="1"/>
    <xf numFmtId="4" fontId="1" fillId="0" borderId="0" xfId="42" applyNumberFormat="1" applyFont="1" applyProtection="1">
      <protection locked="0"/>
    </xf>
    <xf numFmtId="3" fontId="5" fillId="0" borderId="1" xfId="4764" applyNumberFormat="1" applyFont="1" applyFill="1" applyBorder="1" applyAlignment="1" applyProtection="1">
      <protection locked="0"/>
    </xf>
    <xf numFmtId="4" fontId="1" fillId="0" borderId="0" xfId="4764" applyNumberFormat="1" applyFont="1" applyFill="1" applyBorder="1" applyAlignment="1" applyProtection="1">
      <alignment vertical="center"/>
      <protection locked="0"/>
    </xf>
    <xf numFmtId="4" fontId="1" fillId="0" borderId="3" xfId="4764" applyNumberFormat="1" applyFont="1" applyFill="1" applyBorder="1" applyAlignment="1" applyProtection="1"/>
    <xf numFmtId="4" fontId="5" fillId="0" borderId="3" xfId="4764" applyNumberFormat="1" applyFont="1" applyFill="1" applyBorder="1" applyAlignment="1" applyProtection="1">
      <alignment horizontal="center"/>
    </xf>
    <xf numFmtId="4" fontId="4" fillId="0" borderId="3" xfId="4764" applyNumberFormat="1" applyFont="1" applyFill="1" applyBorder="1" applyAlignment="1" applyProtection="1">
      <alignment horizontal="center"/>
    </xf>
    <xf numFmtId="4" fontId="6" fillId="0" borderId="3" xfId="4764" applyNumberFormat="1" applyFont="1" applyFill="1" applyBorder="1" applyAlignment="1" applyProtection="1">
      <alignment horizontal="center"/>
    </xf>
    <xf numFmtId="0" fontId="0" fillId="0" borderId="0" xfId="4764" applyNumberFormat="1" applyFont="1" applyFill="1" applyBorder="1" applyAlignment="1" applyProtection="1">
      <alignment horizontal="center"/>
    </xf>
    <xf numFmtId="57" fontId="4" fillId="0" borderId="0" xfId="4763" applyNumberFormat="1" applyFont="1" applyFill="1" applyBorder="1" applyAlignment="1" applyProtection="1">
      <alignment horizontal="centerContinuous"/>
    </xf>
    <xf numFmtId="0" fontId="4" fillId="0" borderId="0" xfId="4763" applyFont="1" applyFill="1" applyBorder="1" applyAlignment="1" applyProtection="1">
      <alignment horizontal="centerContinuous"/>
    </xf>
    <xf numFmtId="189" fontId="1" fillId="0" borderId="0" xfId="4764" applyNumberFormat="1" applyFont="1" applyFill="1" applyBorder="1" applyAlignment="1" applyProtection="1"/>
    <xf numFmtId="0" fontId="1" fillId="0" borderId="0" xfId="4764" applyNumberFormat="1" applyFont="1" applyFill="1" applyBorder="1" applyAlignment="1" applyProtection="1"/>
    <xf numFmtId="43" fontId="1" fillId="0" borderId="0" xfId="5223" applyNumberFormat="1" applyFont="1" applyProtection="1"/>
    <xf numFmtId="0" fontId="1" fillId="2" borderId="0" xfId="4764" applyNumberFormat="1" applyFont="1" applyFill="1" applyBorder="1" applyAlignment="1" applyProtection="1">
      <alignment horizontal="center" vertical="center" wrapText="1"/>
    </xf>
    <xf numFmtId="4" fontId="5" fillId="0" borderId="1" xfId="5223" applyNumberFormat="1" applyFont="1" applyFill="1" applyBorder="1" applyAlignment="1" applyProtection="1"/>
    <xf numFmtId="191" fontId="5" fillId="0" borderId="1" xfId="5223" applyNumberFormat="1" applyFont="1" applyFill="1" applyBorder="1" applyAlignment="1" applyProtection="1"/>
    <xf numFmtId="38" fontId="1" fillId="0" borderId="0" xfId="4764" applyNumberFormat="1" applyFont="1" applyFill="1" applyBorder="1" applyAlignment="1" applyProtection="1"/>
    <xf numFmtId="43" fontId="1" fillId="0" borderId="0" xfId="5223" applyNumberFormat="1" applyFont="1" applyBorder="1" applyProtection="1"/>
    <xf numFmtId="38" fontId="5" fillId="0" borderId="0" xfId="5223" applyNumberFormat="1" applyFont="1" applyFill="1" applyBorder="1" applyAlignment="1" applyProtection="1"/>
    <xf numFmtId="4" fontId="4" fillId="0" borderId="1" xfId="4764" applyNumberFormat="1" applyFont="1" applyFill="1" applyBorder="1" applyAlignment="1" applyProtection="1">
      <alignment horizontal="center"/>
    </xf>
    <xf numFmtId="40" fontId="1" fillId="0" borderId="0" xfId="4764" applyNumberFormat="1" applyFont="1" applyFill="1" applyBorder="1" applyAlignment="1" applyProtection="1"/>
    <xf numFmtId="40" fontId="5" fillId="0" borderId="1" xfId="5223" applyNumberFormat="1" applyFont="1" applyFill="1" applyBorder="1" applyAlignment="1" applyProtection="1"/>
    <xf numFmtId="4" fontId="6" fillId="0" borderId="1" xfId="5223" applyNumberFormat="1" applyFont="1" applyFill="1" applyBorder="1" applyAlignment="1" applyProtection="1"/>
    <xf numFmtId="4" fontId="5" fillId="0" borderId="1" xfId="4764" applyNumberFormat="1" applyFont="1" applyFill="1" applyBorder="1" applyAlignment="1" applyProtection="1"/>
    <xf numFmtId="4" fontId="5" fillId="0" borderId="0" xfId="5223" applyNumberFormat="1" applyFont="1" applyBorder="1" applyAlignment="1" applyProtection="1"/>
    <xf numFmtId="4" fontId="1" fillId="0" borderId="0" xfId="4764" applyNumberFormat="1" applyFont="1" applyFill="1" applyBorder="1" applyAlignment="1" applyProtection="1"/>
    <xf numFmtId="43" fontId="1" fillId="0" borderId="0" xfId="42" applyNumberFormat="1" applyFont="1" applyBorder="1" applyProtection="1"/>
    <xf numFmtId="3" fontId="1" fillId="0" borderId="0" xfId="5223" applyNumberFormat="1" applyFont="1" applyBorder="1" applyProtection="1"/>
    <xf numFmtId="3" fontId="4" fillId="0" borderId="1" xfId="5223" applyNumberFormat="1" applyFont="1" applyFill="1" applyBorder="1" applyAlignment="1" applyProtection="1">
      <alignment horizontal="center"/>
    </xf>
    <xf numFmtId="0" fontId="5" fillId="0" borderId="1" xfId="4764" applyNumberFormat="1" applyFont="1" applyFill="1" applyBorder="1" applyAlignment="1" applyProtection="1">
      <alignment horizontal="center"/>
    </xf>
    <xf numFmtId="214" fontId="5" fillId="0" borderId="1" xfId="4764" applyNumberFormat="1" applyFont="1" applyFill="1" applyBorder="1" applyAlignment="1">
      <alignment vertical="center"/>
    </xf>
    <xf numFmtId="3" fontId="5" fillId="0" borderId="1" xfId="5223" applyNumberFormat="1" applyFont="1" applyFill="1" applyBorder="1" applyAlignment="1"/>
    <xf numFmtId="3" fontId="5" fillId="0" borderId="1" xfId="4764" applyNumberFormat="1" applyFont="1" applyFill="1" applyBorder="1" applyAlignment="1">
      <alignment vertical="center"/>
    </xf>
    <xf numFmtId="214" fontId="5" fillId="0" borderId="1" xfId="5223" applyNumberFormat="1" applyFont="1" applyFill="1" applyBorder="1"/>
    <xf numFmtId="3" fontId="5" fillId="0" borderId="3" xfId="4764" applyNumberFormat="1" applyFont="1" applyFill="1" applyBorder="1" applyAlignment="1">
      <alignment vertical="center"/>
    </xf>
    <xf numFmtId="4" fontId="5" fillId="0" borderId="3" xfId="4764" applyNumberFormat="1" applyFont="1" applyFill="1" applyBorder="1" applyAlignment="1">
      <alignment vertical="center"/>
    </xf>
    <xf numFmtId="3" fontId="5" fillId="0" borderId="3" xfId="5223" applyNumberFormat="1" applyFont="1" applyFill="1" applyBorder="1" applyAlignment="1"/>
    <xf numFmtId="4" fontId="5" fillId="0" borderId="3" xfId="5223" applyNumberFormat="1" applyFont="1" applyFill="1" applyBorder="1" applyAlignment="1"/>
    <xf numFmtId="4" fontId="6" fillId="0" borderId="1" xfId="5223" applyNumberFormat="1" applyFont="1" applyFill="1" applyBorder="1" applyAlignment="1"/>
    <xf numFmtId="43" fontId="6" fillId="0" borderId="1" xfId="42" applyNumberFormat="1" applyFont="1" applyFill="1" applyBorder="1" applyAlignment="1"/>
    <xf numFmtId="43" fontId="6" fillId="0" borderId="3" xfId="5223" applyNumberFormat="1" applyFont="1" applyBorder="1"/>
    <xf numFmtId="212" fontId="1" fillId="0" borderId="0" xfId="5223" applyNumberFormat="1" applyFont="1" applyProtection="1"/>
    <xf numFmtId="3" fontId="1" fillId="0" borderId="1" xfId="5223" applyNumberFormat="1" applyFont="1" applyFill="1" applyBorder="1" applyAlignment="1" applyProtection="1">
      <alignment horizontal="center"/>
    </xf>
    <xf numFmtId="191" fontId="1" fillId="0" borderId="0" xfId="4764" applyNumberFormat="1" applyFont="1" applyFill="1" applyBorder="1" applyAlignment="1" applyProtection="1"/>
    <xf numFmtId="4" fontId="1" fillId="0" borderId="1" xfId="4764" applyNumberFormat="1" applyFont="1" applyFill="1" applyBorder="1" applyAlignment="1" applyProtection="1">
      <alignment horizontal="left"/>
    </xf>
    <xf numFmtId="4" fontId="1" fillId="0" borderId="1" xfId="4764" applyNumberFormat="1" applyFont="1" applyFill="1" applyBorder="1" applyAlignment="1">
      <alignment horizontal="center"/>
    </xf>
    <xf numFmtId="4" fontId="0" fillId="0" borderId="1" xfId="4764" applyNumberFormat="1" applyFont="1" applyFill="1" applyBorder="1" applyAlignment="1">
      <alignment horizontal="left"/>
    </xf>
    <xf numFmtId="212" fontId="1" fillId="0" borderId="0" xfId="5223" applyNumberFormat="1" applyFont="1" applyBorder="1" applyProtection="1"/>
    <xf numFmtId="209" fontId="5" fillId="0" borderId="1" xfId="5223" applyNumberFormat="1" applyFont="1" applyFill="1" applyBorder="1" applyProtection="1">
      <protection locked="0"/>
    </xf>
    <xf numFmtId="4" fontId="5" fillId="0" borderId="1" xfId="4764" applyNumberFormat="1" applyFont="1" applyFill="1" applyBorder="1" applyAlignment="1">
      <alignment vertical="center"/>
    </xf>
    <xf numFmtId="4" fontId="5" fillId="0" borderId="1" xfId="5223" applyNumberFormat="1" applyFont="1" applyBorder="1" applyAlignment="1"/>
    <xf numFmtId="209" fontId="5" fillId="0" borderId="1" xfId="4764" applyNumberFormat="1" applyFont="1" applyFill="1" applyBorder="1" applyAlignment="1" applyProtection="1">
      <alignment vertical="center"/>
      <protection locked="0"/>
    </xf>
    <xf numFmtId="4" fontId="4" fillId="0" borderId="1" xfId="4764" applyNumberFormat="1" applyFont="1" applyFill="1" applyBorder="1" applyAlignment="1">
      <alignment horizontal="left"/>
    </xf>
    <xf numFmtId="201" fontId="6" fillId="0" borderId="1" xfId="4764" applyNumberFormat="1" applyFont="1" applyFill="1" applyBorder="1" applyAlignment="1"/>
    <xf numFmtId="210" fontId="6" fillId="7" borderId="1" xfId="4764" applyNumberFormat="1" applyFont="1" applyFill="1" applyBorder="1" applyAlignment="1"/>
    <xf numFmtId="4" fontId="6" fillId="0" borderId="1" xfId="5223" applyNumberFormat="1" applyFont="1" applyBorder="1" applyAlignment="1"/>
    <xf numFmtId="4" fontId="6" fillId="7" borderId="1" xfId="4764" applyNumberFormat="1" applyFont="1" applyFill="1" applyBorder="1" applyAlignment="1"/>
    <xf numFmtId="4" fontId="7" fillId="0" borderId="1" xfId="4764" applyNumberFormat="1" applyFont="1" applyFill="1" applyBorder="1" applyAlignment="1">
      <alignment wrapText="1"/>
    </xf>
    <xf numFmtId="4" fontId="6" fillId="8" borderId="1" xfId="4764" applyNumberFormat="1" applyFont="1" applyFill="1" applyBorder="1" applyAlignment="1"/>
    <xf numFmtId="4" fontId="6" fillId="4" borderId="1" xfId="4764" applyNumberFormat="1" applyFont="1" applyFill="1" applyBorder="1" applyAlignment="1"/>
    <xf numFmtId="43" fontId="5" fillId="0" borderId="1" xfId="5223" applyNumberFormat="1" applyFont="1" applyFill="1" applyBorder="1" applyAlignment="1"/>
    <xf numFmtId="4" fontId="6" fillId="7" borderId="1" xfId="4764" applyNumberFormat="1" applyFont="1" applyFill="1" applyBorder="1" applyAlignment="1">
      <alignment vertical="center"/>
    </xf>
    <xf numFmtId="4" fontId="4" fillId="0" borderId="1" xfId="4764" applyNumberFormat="1" applyFont="1" applyFill="1" applyBorder="1" applyAlignment="1">
      <alignment vertical="center"/>
    </xf>
    <xf numFmtId="178" fontId="6" fillId="4" borderId="1" xfId="5223" applyNumberFormat="1" applyFont="1" applyFill="1" applyBorder="1"/>
    <xf numFmtId="4" fontId="6" fillId="0" borderId="1" xfId="4764" applyNumberFormat="1" applyFont="1" applyFill="1" applyBorder="1" applyAlignment="1">
      <alignment vertical="center"/>
    </xf>
    <xf numFmtId="0" fontId="4" fillId="0" borderId="1" xfId="4764" applyNumberFormat="1" applyFont="1" applyFill="1" applyBorder="1" applyAlignment="1" applyProtection="1"/>
    <xf numFmtId="0" fontId="11" fillId="0" borderId="1" xfId="1228" applyFont="1" applyFill="1" applyBorder="1" applyAlignment="1">
      <alignment vertical="center"/>
    </xf>
    <xf numFmtId="4" fontId="5" fillId="4" borderId="1" xfId="4764" applyNumberFormat="1" applyFont="1" applyFill="1" applyBorder="1" applyAlignment="1">
      <alignment horizontal="right"/>
    </xf>
    <xf numFmtId="4" fontId="5" fillId="0" borderId="1" xfId="4764" applyNumberFormat="1" applyFont="1" applyFill="1" applyBorder="1" applyAlignment="1">
      <alignment horizontal="right"/>
    </xf>
    <xf numFmtId="4" fontId="5" fillId="4" borderId="1" xfId="4764" applyNumberFormat="1" applyFont="1" applyFill="1" applyBorder="1" applyAlignment="1">
      <alignment vertical="center"/>
    </xf>
    <xf numFmtId="4" fontId="4" fillId="0" borderId="0" xfId="4764" applyNumberFormat="1" applyFont="1" applyFill="1" applyBorder="1" applyAlignment="1" applyProtection="1">
      <alignment horizontal="right"/>
      <protection locked="0"/>
    </xf>
    <xf numFmtId="10" fontId="1" fillId="0" borderId="0" xfId="55" applyNumberFormat="1" applyFont="1" applyAlignment="1"/>
    <xf numFmtId="0" fontId="1" fillId="0" borderId="0" xfId="0" applyNumberFormat="1" applyFont="1" applyFill="1" applyBorder="1" applyAlignment="1"/>
    <xf numFmtId="43" fontId="1" fillId="0" borderId="0" xfId="42" applyNumberFormat="1" applyFont="1" applyAlignment="1"/>
    <xf numFmtId="10" fontId="1" fillId="0" borderId="0" xfId="0" applyNumberFormat="1" applyFont="1" applyFill="1" applyBorder="1" applyAlignment="1"/>
    <xf numFmtId="4" fontId="6" fillId="0" borderId="0" xfId="4764" applyNumberFormat="1" applyFont="1" applyFill="1" applyBorder="1" applyAlignment="1">
      <alignment vertical="center"/>
    </xf>
    <xf numFmtId="3" fontId="1" fillId="0" borderId="0" xfId="4764" applyNumberFormat="1" applyFont="1" applyFill="1" applyBorder="1" applyAlignment="1" applyProtection="1">
      <protection locked="0"/>
    </xf>
    <xf numFmtId="217" fontId="1" fillId="0" borderId="0" xfId="4764" applyNumberFormat="1" applyFont="1" applyFill="1" applyBorder="1" applyAlignment="1" applyProtection="1">
      <alignment horizontal="center"/>
      <protection locked="0"/>
    </xf>
    <xf numFmtId="210" fontId="1" fillId="0" borderId="0" xfId="4764" applyNumberFormat="1" applyFont="1" applyFill="1" applyBorder="1" applyAlignment="1" applyProtection="1">
      <protection locked="0"/>
    </xf>
    <xf numFmtId="201" fontId="1" fillId="0" borderId="0" xfId="4764" applyNumberFormat="1" applyFont="1" applyFill="1" applyBorder="1" applyAlignment="1" applyProtection="1">
      <protection locked="0"/>
    </xf>
    <xf numFmtId="217" fontId="1" fillId="0" borderId="0" xfId="4764" applyNumberFormat="1" applyFont="1" applyFill="1" applyBorder="1" applyAlignment="1" applyProtection="1">
      <protection locked="0"/>
    </xf>
    <xf numFmtId="210" fontId="0" fillId="0" borderId="0" xfId="4764" applyNumberFormat="1" applyFont="1" applyFill="1" applyBorder="1" applyAlignment="1" applyProtection="1">
      <protection locked="0"/>
    </xf>
    <xf numFmtId="2" fontId="0" fillId="0" borderId="0" xfId="4764" applyNumberFormat="1" applyFont="1" applyFill="1" applyBorder="1" applyAlignment="1" applyProtection="1">
      <protection locked="0"/>
    </xf>
    <xf numFmtId="194" fontId="0" fillId="0" borderId="0" xfId="4764" applyNumberFormat="1" applyFont="1" applyFill="1" applyBorder="1" applyAlignment="1" applyProtection="1">
      <protection locked="0"/>
    </xf>
    <xf numFmtId="4" fontId="12" fillId="0" borderId="1" xfId="5223" applyNumberFormat="1" applyFont="1" applyFill="1" applyBorder="1" applyAlignment="1">
      <alignment horizontal="center" shrinkToFit="1"/>
    </xf>
    <xf numFmtId="201" fontId="5" fillId="9" borderId="1" xfId="5223" applyNumberFormat="1" applyFont="1" applyFill="1" applyBorder="1"/>
    <xf numFmtId="4" fontId="5" fillId="10" borderId="1" xfId="5223" applyNumberFormat="1" applyFont="1" applyFill="1" applyBorder="1"/>
    <xf numFmtId="4" fontId="5" fillId="0" borderId="1" xfId="5223" applyNumberFormat="1" applyFont="1" applyFill="1" applyBorder="1" applyProtection="1">
      <protection locked="0"/>
    </xf>
    <xf numFmtId="4" fontId="5" fillId="0" borderId="1" xfId="5223" applyNumberFormat="1" applyFont="1" applyBorder="1" applyProtection="1">
      <protection locked="0"/>
    </xf>
    <xf numFmtId="201" fontId="5" fillId="3" borderId="1" xfId="5223" applyNumberFormat="1" applyFont="1" applyFill="1" applyBorder="1"/>
    <xf numFmtId="209" fontId="5" fillId="9" borderId="1" xfId="4764" applyNumberFormat="1" applyFont="1" applyFill="1" applyBorder="1" applyAlignment="1" applyProtection="1">
      <protection locked="0"/>
    </xf>
    <xf numFmtId="210" fontId="6" fillId="0" borderId="1" xfId="5223" applyNumberFormat="1" applyFont="1" applyFill="1" applyBorder="1"/>
    <xf numFmtId="43" fontId="5" fillId="0" borderId="0" xfId="5223" applyNumberFormat="1" applyFont="1" applyBorder="1"/>
    <xf numFmtId="43" fontId="5" fillId="0" borderId="0" xfId="4764" applyNumberFormat="1" applyFont="1" applyFill="1" applyBorder="1" applyAlignment="1">
      <alignment vertical="center"/>
    </xf>
    <xf numFmtId="201" fontId="5" fillId="0" borderId="0" xfId="5223" applyNumberFormat="1" applyFont="1" applyFill="1" applyBorder="1"/>
    <xf numFmtId="4" fontId="5" fillId="0" borderId="0" xfId="5223" applyNumberFormat="1" applyFont="1" applyFill="1" applyBorder="1" applyAlignment="1"/>
    <xf numFmtId="4" fontId="5" fillId="0" borderId="0" xfId="4764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209" fontId="1" fillId="0" borderId="0" xfId="0" applyNumberFormat="1" applyFont="1" applyFill="1" applyBorder="1" applyAlignment="1">
      <alignment vertical="center"/>
    </xf>
    <xf numFmtId="4" fontId="1" fillId="0" borderId="1" xfId="4764" applyNumberFormat="1" applyFont="1" applyFill="1" applyBorder="1" applyAlignment="1" applyProtection="1">
      <alignment horizontal="center"/>
      <protection locked="0"/>
    </xf>
    <xf numFmtId="4" fontId="4" fillId="0" borderId="1" xfId="4764" applyNumberFormat="1" applyFont="1" applyFill="1" applyBorder="1" applyAlignment="1" applyProtection="1">
      <alignment horizontal="left"/>
    </xf>
    <xf numFmtId="3" fontId="6" fillId="0" borderId="1" xfId="4764" applyNumberFormat="1" applyFont="1" applyFill="1" applyBorder="1" applyAlignment="1" applyProtection="1"/>
    <xf numFmtId="43" fontId="1" fillId="0" borderId="0" xfId="42" applyNumberFormat="1" applyFont="1"/>
    <xf numFmtId="43" fontId="5" fillId="0" borderId="1" xfId="5223" applyNumberFormat="1" applyFont="1" applyFill="1" applyBorder="1" applyAlignment="1" applyProtection="1"/>
    <xf numFmtId="210" fontId="0" fillId="0" borderId="0" xfId="0" applyNumberFormat="1" applyFill="1" applyBorder="1" applyAlignment="1"/>
    <xf numFmtId="0" fontId="4" fillId="0" borderId="0" xfId="4764" applyNumberFormat="1" applyFont="1" applyFill="1" applyBorder="1" applyAlignment="1" applyProtection="1">
      <alignment horizontal="right"/>
    </xf>
    <xf numFmtId="10" fontId="5" fillId="0" borderId="1" xfId="55" applyNumberFormat="1" applyFont="1" applyFill="1" applyBorder="1" applyAlignment="1" applyProtection="1"/>
    <xf numFmtId="10" fontId="0" fillId="0" borderId="0" xfId="55" applyNumberFormat="1" applyFont="1" applyAlignment="1"/>
    <xf numFmtId="0" fontId="1" fillId="0" borderId="1" xfId="4764" applyNumberFormat="1" applyFont="1" applyFill="1" applyBorder="1" applyAlignment="1" applyProtection="1">
      <alignment horizontal="center"/>
    </xf>
    <xf numFmtId="4" fontId="1" fillId="0" borderId="1" xfId="4764" applyNumberFormat="1" applyFont="1" applyFill="1" applyBorder="1" applyAlignment="1" applyProtection="1">
      <alignment horizontal="center" shrinkToFit="1"/>
    </xf>
    <xf numFmtId="4" fontId="1" fillId="0" borderId="1" xfId="5223" applyNumberFormat="1" applyFont="1" applyFill="1" applyBorder="1" applyAlignment="1" applyProtection="1">
      <alignment horizontal="center" shrinkToFit="1"/>
    </xf>
    <xf numFmtId="4" fontId="5" fillId="0" borderId="1" xfId="5223" applyNumberFormat="1" applyFont="1" applyBorder="1" applyAlignment="1" applyProtection="1"/>
    <xf numFmtId="209" fontId="5" fillId="0" borderId="1" xfId="5223" applyNumberFormat="1" applyFont="1" applyBorder="1" applyProtection="1"/>
    <xf numFmtId="4" fontId="5" fillId="0" borderId="1" xfId="5223" applyNumberFormat="1" applyFont="1" applyBorder="1" applyProtection="1"/>
    <xf numFmtId="4" fontId="6" fillId="0" borderId="1" xfId="5223" applyNumberFormat="1" applyFont="1" applyBorder="1" applyAlignment="1" applyProtection="1"/>
    <xf numFmtId="209" fontId="6" fillId="0" borderId="1" xfId="4764" applyNumberFormat="1" applyFont="1" applyFill="1" applyBorder="1" applyAlignment="1" applyProtection="1"/>
    <xf numFmtId="209" fontId="5" fillId="0" borderId="0" xfId="5223" applyNumberFormat="1" applyFont="1" applyBorder="1" applyProtection="1"/>
    <xf numFmtId="4" fontId="5" fillId="0" borderId="0" xfId="5223" applyNumberFormat="1" applyFont="1" applyBorder="1" applyProtection="1"/>
    <xf numFmtId="191" fontId="1" fillId="0" borderId="0" xfId="4764" applyNumberFormat="1" applyFont="1" applyFill="1" applyBorder="1" applyAlignment="1" applyProtection="1">
      <protection locked="0"/>
    </xf>
    <xf numFmtId="0" fontId="1" fillId="0" borderId="4" xfId="4764" applyNumberFormat="1" applyFont="1" applyFill="1" applyBorder="1" applyAlignment="1" applyProtection="1">
      <alignment horizontal="center"/>
      <protection locked="0"/>
    </xf>
    <xf numFmtId="0" fontId="1" fillId="0" borderId="5" xfId="4764" applyNumberFormat="1" applyFont="1" applyFill="1" applyBorder="1" applyAlignment="1" applyProtection="1">
      <alignment horizontal="center"/>
      <protection locked="0"/>
    </xf>
    <xf numFmtId="4" fontId="5" fillId="11" borderId="1" xfId="5223" applyNumberFormat="1" applyFont="1" applyFill="1" applyBorder="1" applyProtection="1"/>
    <xf numFmtId="4" fontId="5" fillId="0" borderId="4" xfId="5223" applyNumberFormat="1" applyFont="1" applyBorder="1" applyProtection="1">
      <protection locked="0"/>
    </xf>
    <xf numFmtId="4" fontId="5" fillId="0" borderId="5" xfId="5223" applyNumberFormat="1" applyFont="1" applyBorder="1" applyProtection="1">
      <protection locked="0"/>
    </xf>
    <xf numFmtId="4" fontId="6" fillId="0" borderId="1" xfId="5223" applyNumberFormat="1" applyFont="1" applyBorder="1" applyProtection="1"/>
    <xf numFmtId="43" fontId="5" fillId="0" borderId="0" xfId="5223" applyNumberFormat="1" applyFont="1" applyBorder="1" applyProtection="1"/>
    <xf numFmtId="43" fontId="5" fillId="0" borderId="0" xfId="5223" applyNumberFormat="1" applyFont="1" applyFill="1" applyBorder="1" applyProtection="1"/>
    <xf numFmtId="43" fontId="5" fillId="0" borderId="0" xfId="4764" applyNumberFormat="1" applyFont="1" applyFill="1" applyBorder="1" applyAlignment="1" applyProtection="1"/>
    <xf numFmtId="0" fontId="5" fillId="0" borderId="0" xfId="4764" applyNumberFormat="1" applyFont="1" applyFill="1" applyBorder="1" applyAlignment="1" applyProtection="1"/>
    <xf numFmtId="4" fontId="6" fillId="0" borderId="1" xfId="5223" applyNumberFormat="1" applyFont="1" applyFill="1" applyBorder="1"/>
    <xf numFmtId="43" fontId="1" fillId="0" borderId="0" xfId="42" applyNumberFormat="1" applyFont="1" applyProtection="1">
      <protection locked="0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84" applyBorder="1">
      <alignment vertical="center"/>
    </xf>
    <xf numFmtId="0" fontId="0" fillId="0" borderId="0" xfId="0" applyAlignment="1">
      <alignment vertical="center"/>
    </xf>
    <xf numFmtId="0" fontId="13" fillId="0" borderId="6" xfId="0" applyFont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/>
    </xf>
    <xf numFmtId="194" fontId="0" fillId="0" borderId="14" xfId="0" applyNumberFormat="1" applyBorder="1" applyAlignment="1">
      <alignment vertical="center"/>
    </xf>
    <xf numFmtId="0" fontId="0" fillId="0" borderId="15" xfId="0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2" fontId="14" fillId="0" borderId="3" xfId="0" applyNumberFormat="1" applyFont="1" applyFill="1" applyBorder="1" applyAlignment="1">
      <alignment horizontal="center"/>
    </xf>
    <xf numFmtId="0" fontId="0" fillId="0" borderId="18" xfId="0" applyBorder="1" applyAlignment="1">
      <alignment vertical="center"/>
    </xf>
    <xf numFmtId="0" fontId="0" fillId="3" borderId="19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194" fontId="13" fillId="13" borderId="21" xfId="0" applyNumberFormat="1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194" fontId="13" fillId="13" borderId="23" xfId="0" applyNumberFormat="1" applyFont="1" applyFill="1" applyBorder="1" applyAlignment="1">
      <alignment horizontal="center" vertical="center"/>
    </xf>
    <xf numFmtId="218" fontId="0" fillId="13" borderId="2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215" fontId="13" fillId="13" borderId="25" xfId="0" applyNumberFormat="1" applyFont="1" applyFill="1" applyBorder="1" applyAlignment="1">
      <alignment horizontal="center" vertical="center"/>
    </xf>
    <xf numFmtId="1" fontId="13" fillId="3" borderId="26" xfId="0" applyNumberFormat="1" applyFont="1" applyFill="1" applyBorder="1" applyAlignment="1">
      <alignment horizontal="center" vertical="center"/>
    </xf>
    <xf numFmtId="1" fontId="13" fillId="3" borderId="25" xfId="0" applyNumberFormat="1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2" fontId="13" fillId="13" borderId="28" xfId="0" applyNumberFormat="1" applyFont="1" applyFill="1" applyBorder="1" applyAlignment="1">
      <alignment horizontal="center" vertical="center"/>
    </xf>
    <xf numFmtId="2" fontId="13" fillId="13" borderId="29" xfId="0" applyNumberFormat="1" applyFont="1" applyFill="1" applyBorder="1" applyAlignment="1">
      <alignment horizontal="center" vertical="center"/>
    </xf>
    <xf numFmtId="215" fontId="13" fillId="13" borderId="28" xfId="0" applyNumberFormat="1" applyFont="1" applyFill="1" applyBorder="1" applyAlignment="1">
      <alignment horizontal="center" vertical="center"/>
    </xf>
    <xf numFmtId="218" fontId="0" fillId="3" borderId="2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6" fillId="12" borderId="0" xfId="0" applyFont="1" applyFill="1" applyAlignment="1">
      <alignment vertical="center"/>
    </xf>
    <xf numFmtId="215" fontId="16" fillId="12" borderId="0" xfId="0" applyNumberFormat="1" applyFont="1" applyFill="1" applyAlignment="1">
      <alignment vertical="center"/>
    </xf>
    <xf numFmtId="14" fontId="17" fillId="0" borderId="30" xfId="0" applyNumberFormat="1" applyFont="1" applyBorder="1" applyAlignment="1">
      <alignment horizontal="left" vertical="center" wrapText="1"/>
    </xf>
    <xf numFmtId="220" fontId="0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220" fontId="0" fillId="0" borderId="0" xfId="0" applyNumberFormat="1" applyAlignment="1">
      <alignment vertical="center"/>
    </xf>
    <xf numFmtId="0" fontId="13" fillId="0" borderId="31" xfId="0" applyFont="1" applyBorder="1" applyAlignment="1">
      <alignment vertical="center"/>
    </xf>
    <xf numFmtId="14" fontId="18" fillId="0" borderId="32" xfId="0" applyNumberFormat="1" applyFont="1" applyBorder="1" applyAlignment="1">
      <alignment horizontal="left" vertical="center" wrapText="1"/>
    </xf>
    <xf numFmtId="0" fontId="13" fillId="0" borderId="33" xfId="0" applyFont="1" applyBorder="1" applyAlignment="1">
      <alignment vertical="center"/>
    </xf>
    <xf numFmtId="0" fontId="13" fillId="0" borderId="34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215" fontId="1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15" fontId="14" fillId="0" borderId="0" xfId="0" applyNumberFormat="1" applyFont="1" applyAlignment="1"/>
    <xf numFmtId="221" fontId="0" fillId="0" borderId="0" xfId="0" applyNumberFormat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94" fontId="13" fillId="13" borderId="21" xfId="0" applyNumberFormat="1" applyFont="1" applyFill="1" applyBorder="1" applyAlignment="1">
      <alignment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13" borderId="20" xfId="0" applyFont="1" applyFill="1" applyBorder="1" applyAlignment="1">
      <alignment horizontal="center" vertical="center"/>
    </xf>
    <xf numFmtId="0" fontId="13" fillId="13" borderId="20" xfId="0" applyFont="1" applyFill="1" applyBorder="1" applyAlignment="1">
      <alignment vertical="center"/>
    </xf>
    <xf numFmtId="0" fontId="13" fillId="13" borderId="21" xfId="0" applyFont="1" applyFill="1" applyBorder="1" applyAlignment="1">
      <alignment horizontal="center" vertical="center"/>
    </xf>
    <xf numFmtId="222" fontId="0" fillId="0" borderId="0" xfId="0" applyNumberFormat="1" applyAlignment="1">
      <alignment vertical="center"/>
    </xf>
    <xf numFmtId="208" fontId="0" fillId="0" borderId="0" xfId="0" applyNumberFormat="1" applyAlignment="1">
      <alignment vertical="center"/>
    </xf>
    <xf numFmtId="219" fontId="0" fillId="0" borderId="0" xfId="0" applyNumberFormat="1" applyAlignment="1">
      <alignment vertical="center"/>
    </xf>
    <xf numFmtId="0" fontId="13" fillId="3" borderId="22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vertical="center"/>
    </xf>
    <xf numFmtId="0" fontId="13" fillId="13" borderId="18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3" fillId="3" borderId="26" xfId="0" applyFont="1" applyFill="1" applyBorder="1" applyAlignment="1">
      <alignment vertical="center"/>
    </xf>
    <xf numFmtId="194" fontId="13" fillId="3" borderId="25" xfId="0" applyNumberFormat="1" applyFont="1" applyFill="1" applyBorder="1" applyAlignment="1">
      <alignment vertical="center"/>
    </xf>
    <xf numFmtId="0" fontId="13" fillId="3" borderId="39" xfId="0" applyFont="1" applyFill="1" applyBorder="1" applyAlignment="1">
      <alignment vertical="center"/>
    </xf>
    <xf numFmtId="218" fontId="13" fillId="13" borderId="39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94" fontId="13" fillId="0" borderId="0" xfId="0" applyNumberFormat="1" applyFont="1" applyFill="1" applyBorder="1" applyAlignment="1">
      <alignment vertical="center"/>
    </xf>
    <xf numFmtId="215" fontId="13" fillId="0" borderId="0" xfId="0" applyNumberFormat="1" applyFont="1" applyFill="1" applyBorder="1" applyAlignment="1">
      <alignment horizontal="center" vertical="center"/>
    </xf>
    <xf numFmtId="218" fontId="13" fillId="0" borderId="0" xfId="0" applyNumberFormat="1" applyFont="1" applyFill="1" applyBorder="1" applyAlignment="1">
      <alignment horizontal="center" vertical="center"/>
    </xf>
    <xf numFmtId="218" fontId="0" fillId="0" borderId="0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13" borderId="8" xfId="0" applyFont="1" applyFill="1" applyBorder="1" applyAlignment="1">
      <alignment horizontal="center" vertical="center" wrapText="1"/>
    </xf>
    <xf numFmtId="0" fontId="0" fillId="13" borderId="40" xfId="0" applyFont="1" applyFill="1" applyBorder="1" applyAlignment="1">
      <alignment horizontal="center" vertical="center" wrapText="1"/>
    </xf>
    <xf numFmtId="0" fontId="0" fillId="13" borderId="41" xfId="0" applyFont="1" applyFill="1" applyBorder="1" applyAlignment="1">
      <alignment horizontal="center" vertical="center" wrapText="1"/>
    </xf>
    <xf numFmtId="194" fontId="0" fillId="0" borderId="0" xfId="0" applyNumberFormat="1" applyAlignment="1">
      <alignment vertical="center"/>
    </xf>
    <xf numFmtId="2" fontId="0" fillId="3" borderId="11" xfId="0" applyNumberFormat="1" applyFont="1" applyFill="1" applyBorder="1" applyAlignment="1">
      <alignment horizontal="center" vertical="center" wrapText="1"/>
    </xf>
    <xf numFmtId="0" fontId="0" fillId="13" borderId="12" xfId="0" applyFont="1" applyFill="1" applyBorder="1" applyAlignment="1">
      <alignment horizontal="center" vertical="center" wrapText="1"/>
    </xf>
    <xf numFmtId="0" fontId="0" fillId="13" borderId="42" xfId="0" applyFont="1" applyFill="1" applyBorder="1" applyAlignment="1">
      <alignment horizontal="center" vertical="center" wrapText="1"/>
    </xf>
    <xf numFmtId="0" fontId="0" fillId="13" borderId="24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13" borderId="6" xfId="84" applyFont="1" applyFill="1" applyBorder="1" applyAlignment="1">
      <alignment horizontal="center" vertical="center"/>
    </xf>
    <xf numFmtId="210" fontId="0" fillId="13" borderId="7" xfId="84" applyNumberFormat="1" applyFont="1" applyFill="1" applyBorder="1" applyAlignment="1">
      <alignment horizontal="center" vertical="center"/>
    </xf>
    <xf numFmtId="0" fontId="0" fillId="13" borderId="7" xfId="84" applyFont="1" applyFill="1" applyBorder="1" applyAlignment="1">
      <alignment horizontal="center" vertical="center"/>
    </xf>
    <xf numFmtId="0" fontId="0" fillId="13" borderId="8" xfId="84" applyFont="1" applyFill="1" applyBorder="1" applyAlignment="1">
      <alignment horizontal="center" vertical="center"/>
    </xf>
    <xf numFmtId="0" fontId="0" fillId="13" borderId="40" xfId="84" applyFont="1" applyFill="1" applyBorder="1" applyAlignment="1">
      <alignment horizontal="center" vertical="center"/>
    </xf>
    <xf numFmtId="0" fontId="0" fillId="13" borderId="41" xfId="84" applyFont="1" applyFill="1" applyBorder="1" applyAlignment="1">
      <alignment horizontal="center" vertical="center"/>
    </xf>
    <xf numFmtId="0" fontId="0" fillId="13" borderId="11" xfId="0" applyFont="1" applyFill="1" applyBorder="1" applyAlignment="1">
      <alignment horizontal="center" vertical="top"/>
    </xf>
    <xf numFmtId="1" fontId="13" fillId="13" borderId="1" xfId="0" applyNumberFormat="1" applyFont="1" applyFill="1" applyBorder="1" applyAlignment="1">
      <alignment horizontal="center" vertical="top"/>
    </xf>
    <xf numFmtId="0" fontId="0" fillId="13" borderId="1" xfId="84" applyFont="1" applyFill="1" applyBorder="1" applyAlignment="1">
      <alignment horizontal="center" vertical="top"/>
    </xf>
    <xf numFmtId="0" fontId="0" fillId="13" borderId="12" xfId="84" applyFont="1" applyFill="1" applyBorder="1" applyAlignment="1">
      <alignment horizontal="center" vertical="center"/>
    </xf>
    <xf numFmtId="0" fontId="0" fillId="13" borderId="42" xfId="84" applyFont="1" applyFill="1" applyBorder="1" applyAlignment="1">
      <alignment horizontal="center" vertical="center"/>
    </xf>
    <xf numFmtId="0" fontId="0" fillId="13" borderId="24" xfId="84" applyFont="1" applyFill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2" fontId="0" fillId="13" borderId="1" xfId="84" applyNumberFormat="1" applyFont="1" applyFill="1" applyBorder="1" applyAlignment="1">
      <alignment horizontal="center" vertical="top"/>
    </xf>
    <xf numFmtId="0" fontId="13" fillId="13" borderId="37" xfId="0" applyFont="1" applyFill="1" applyBorder="1" applyAlignment="1">
      <alignment horizontal="center" vertical="center"/>
    </xf>
    <xf numFmtId="194" fontId="13" fillId="13" borderId="38" xfId="0" applyNumberFormat="1" applyFont="1" applyFill="1" applyBorder="1" applyAlignment="1">
      <alignment horizontal="center" vertical="center"/>
    </xf>
    <xf numFmtId="0" fontId="13" fillId="13" borderId="38" xfId="0" applyFont="1" applyFill="1" applyBorder="1" applyAlignment="1">
      <alignment horizontal="center" vertical="center"/>
    </xf>
    <xf numFmtId="2" fontId="13" fillId="13" borderId="38" xfId="0" applyNumberFormat="1" applyFont="1" applyFill="1" applyBorder="1" applyAlignment="1">
      <alignment horizontal="center" vertical="center"/>
    </xf>
    <xf numFmtId="215" fontId="13" fillId="13" borderId="43" xfId="0" applyNumberFormat="1" applyFont="1" applyFill="1" applyBorder="1" applyAlignment="1">
      <alignment horizontal="center" vertical="center"/>
    </xf>
    <xf numFmtId="215" fontId="13" fillId="13" borderId="4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223" fontId="0" fillId="12" borderId="0" xfId="0" applyNumberFormat="1" applyFill="1" applyAlignment="1">
      <alignment vertical="center"/>
    </xf>
    <xf numFmtId="0" fontId="15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14" fontId="19" fillId="0" borderId="7" xfId="0" applyNumberFormat="1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0" fillId="3" borderId="7" xfId="0" applyFont="1" applyFill="1" applyBorder="1" applyAlignment="1">
      <alignment horizontal="center" vertical="center" wrapText="1"/>
    </xf>
    <xf numFmtId="0" fontId="15" fillId="13" borderId="7" xfId="0" applyFont="1" applyFill="1" applyBorder="1" applyAlignment="1">
      <alignment horizontal="center" vertical="center" wrapText="1"/>
    </xf>
    <xf numFmtId="0" fontId="15" fillId="13" borderId="21" xfId="0" applyFont="1" applyFill="1" applyBorder="1" applyAlignment="1">
      <alignment horizontal="center" vertical="center" wrapText="1"/>
    </xf>
    <xf numFmtId="194" fontId="13" fillId="13" borderId="47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5" fillId="13" borderId="18" xfId="0" applyFont="1" applyFill="1" applyBorder="1" applyAlignment="1">
      <alignment horizontal="center" vertical="center" wrapText="1"/>
    </xf>
    <xf numFmtId="194" fontId="13" fillId="13" borderId="48" xfId="0" applyNumberFormat="1" applyFont="1" applyFill="1" applyBorder="1" applyAlignment="1">
      <alignment horizontal="center" vertical="center"/>
    </xf>
    <xf numFmtId="0" fontId="15" fillId="13" borderId="23" xfId="0" applyFont="1" applyFill="1" applyBorder="1" applyAlignment="1">
      <alignment horizontal="center" vertical="center" wrapText="1"/>
    </xf>
    <xf numFmtId="1" fontId="13" fillId="3" borderId="37" xfId="0" applyNumberFormat="1" applyFont="1" applyFill="1" applyBorder="1" applyAlignment="1">
      <alignment horizontal="center" vertical="center"/>
    </xf>
    <xf numFmtId="1" fontId="13" fillId="3" borderId="38" xfId="0" applyNumberFormat="1" applyFont="1" applyFill="1" applyBorder="1" applyAlignment="1">
      <alignment horizontal="center" vertical="center"/>
    </xf>
    <xf numFmtId="218" fontId="13" fillId="13" borderId="28" xfId="0" applyNumberFormat="1" applyFont="1" applyFill="1" applyBorder="1" applyAlignment="1">
      <alignment horizontal="center" vertical="center"/>
    </xf>
    <xf numFmtId="194" fontId="13" fillId="13" borderId="49" xfId="0" applyNumberFormat="1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50" xfId="0" applyFont="1" applyBorder="1" applyAlignment="1">
      <alignment horizontal="left" vertical="center" wrapText="1"/>
    </xf>
    <xf numFmtId="0" fontId="20" fillId="5" borderId="51" xfId="0" applyFont="1" applyFill="1" applyBorder="1" applyAlignment="1">
      <alignment horizontal="center" vertical="center" wrapText="1"/>
    </xf>
    <xf numFmtId="31" fontId="1" fillId="0" borderId="0" xfId="0" applyNumberFormat="1" applyFont="1" applyAlignment="1">
      <alignment vertical="center"/>
    </xf>
    <xf numFmtId="0" fontId="20" fillId="5" borderId="52" xfId="0" applyFont="1" applyFill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/>
    </xf>
    <xf numFmtId="0" fontId="16" fillId="12" borderId="0" xfId="0" applyFont="1" applyFill="1" applyBorder="1" applyAlignment="1">
      <alignment vertical="center"/>
    </xf>
    <xf numFmtId="0" fontId="22" fillId="12" borderId="0" xfId="0" applyFont="1" applyFill="1" applyBorder="1" applyAlignment="1">
      <alignment horizontal="center" vertical="center" wrapText="1"/>
    </xf>
    <xf numFmtId="31" fontId="23" fillId="12" borderId="0" xfId="0" applyNumberFormat="1" applyFont="1" applyFill="1" applyBorder="1" applyAlignment="1">
      <alignment vertical="center"/>
    </xf>
    <xf numFmtId="0" fontId="24" fillId="12" borderId="0" xfId="0" applyNumberFormat="1" applyFont="1" applyFill="1" applyBorder="1" applyAlignment="1">
      <alignment horizontal="center" vertical="center"/>
    </xf>
    <xf numFmtId="0" fontId="20" fillId="5" borderId="30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Font="1" applyBorder="1" applyAlignment="1">
      <alignment vertical="center"/>
    </xf>
    <xf numFmtId="194" fontId="13" fillId="13" borderId="14" xfId="0" applyNumberFormat="1" applyFont="1" applyFill="1" applyBorder="1" applyAlignment="1">
      <alignment horizontal="center" vertical="center"/>
    </xf>
    <xf numFmtId="218" fontId="0" fillId="13" borderId="14" xfId="0" applyNumberFormat="1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2" fontId="13" fillId="3" borderId="37" xfId="0" applyNumberFormat="1" applyFont="1" applyFill="1" applyBorder="1" applyAlignment="1">
      <alignment horizontal="center" vertical="center"/>
    </xf>
    <xf numFmtId="2" fontId="13" fillId="3" borderId="38" xfId="0" applyNumberFormat="1" applyFont="1" applyFill="1" applyBorder="1" applyAlignment="1">
      <alignment horizontal="center" vertical="center"/>
    </xf>
    <xf numFmtId="218" fontId="0" fillId="3" borderId="53" xfId="0" applyNumberFormat="1" applyFont="1" applyFill="1" applyBorder="1" applyAlignment="1">
      <alignment horizontal="center" vertical="center"/>
    </xf>
    <xf numFmtId="0" fontId="20" fillId="14" borderId="54" xfId="0" applyFont="1" applyFill="1" applyBorder="1" applyAlignment="1">
      <alignment horizontal="center" vertical="center" wrapText="1"/>
    </xf>
    <xf numFmtId="0" fontId="20" fillId="9" borderId="46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14" fontId="17" fillId="12" borderId="30" xfId="0" applyNumberFormat="1" applyFont="1" applyFill="1" applyBorder="1" applyAlignment="1">
      <alignment horizontal="left" vertical="center" wrapText="1"/>
    </xf>
    <xf numFmtId="0" fontId="20" fillId="12" borderId="46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vertical="center"/>
    </xf>
    <xf numFmtId="0" fontId="25" fillId="12" borderId="0" xfId="0" applyFont="1" applyFill="1" applyAlignment="1">
      <alignment vertical="center"/>
    </xf>
    <xf numFmtId="14" fontId="14" fillId="0" borderId="30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14" borderId="4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2" fontId="0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2" fontId="0" fillId="13" borderId="14" xfId="0" applyNumberFormat="1" applyFont="1" applyFill="1" applyBorder="1" applyAlignment="1">
      <alignment horizontal="center" vertical="center" wrapText="1"/>
    </xf>
    <xf numFmtId="194" fontId="0" fillId="3" borderId="37" xfId="0" applyNumberFormat="1" applyFont="1" applyFill="1" applyBorder="1" applyAlignment="1">
      <alignment horizontal="center" vertical="center" wrapText="1"/>
    </xf>
    <xf numFmtId="2" fontId="0" fillId="3" borderId="38" xfId="0" applyNumberFormat="1" applyFont="1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2" fontId="0" fillId="13" borderId="38" xfId="0" applyNumberFormat="1" applyFont="1" applyFill="1" applyBorder="1" applyAlignment="1">
      <alignment horizontal="center" vertical="center" wrapText="1"/>
    </xf>
    <xf numFmtId="2" fontId="0" fillId="13" borderId="53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31" fontId="1" fillId="0" borderId="0" xfId="0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vertical="center"/>
    </xf>
    <xf numFmtId="0" fontId="20" fillId="12" borderId="0" xfId="0" applyFont="1" applyFill="1" applyBorder="1" applyAlignment="1">
      <alignment horizontal="center" vertical="center" wrapText="1"/>
    </xf>
    <xf numFmtId="14" fontId="14" fillId="12" borderId="0" xfId="0" applyNumberFormat="1" applyFont="1" applyFill="1" applyBorder="1" applyAlignment="1">
      <alignment horizontal="left" vertical="center" wrapText="1"/>
    </xf>
    <xf numFmtId="194" fontId="27" fillId="12" borderId="0" xfId="1175" applyNumberFormat="1" applyFont="1" applyFill="1" applyBorder="1" applyAlignment="1">
      <alignment horizontal="right"/>
    </xf>
    <xf numFmtId="14" fontId="14" fillId="0" borderId="0" xfId="0" applyNumberFormat="1" applyFont="1" applyFill="1" applyBorder="1" applyAlignment="1">
      <alignment horizontal="left" vertical="center" wrapText="1"/>
    </xf>
    <xf numFmtId="194" fontId="27" fillId="0" borderId="0" xfId="1175" applyNumberFormat="1" applyFont="1" applyFill="1" applyBorder="1" applyAlignment="1">
      <alignment horizontal="right"/>
    </xf>
    <xf numFmtId="0" fontId="12" fillId="14" borderId="19" xfId="0" applyNumberFormat="1" applyFont="1" applyFill="1" applyBorder="1" applyAlignment="1">
      <alignment horizontal="center" vertical="center" wrapText="1"/>
    </xf>
    <xf numFmtId="2" fontId="14" fillId="0" borderId="12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58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06" fontId="0" fillId="0" borderId="0" xfId="0" applyNumberFormat="1" applyFill="1" applyBorder="1" applyAlignment="1">
      <alignment vertical="center"/>
    </xf>
    <xf numFmtId="215" fontId="1" fillId="0" borderId="0" xfId="0" applyNumberFormat="1" applyFont="1" applyFill="1" applyBorder="1" applyAlignment="1">
      <alignment horizontal="center"/>
    </xf>
    <xf numFmtId="2" fontId="0" fillId="3" borderId="14" xfId="0" applyNumberFormat="1" applyFont="1" applyFill="1" applyBorder="1" applyAlignment="1">
      <alignment horizontal="center" vertical="center" wrapText="1"/>
    </xf>
    <xf numFmtId="2" fontId="0" fillId="3" borderId="53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/>
    </xf>
    <xf numFmtId="0" fontId="0" fillId="0" borderId="0" xfId="84" applyFill="1" applyBorder="1">
      <alignment vertical="center"/>
    </xf>
    <xf numFmtId="0" fontId="0" fillId="0" borderId="0" xfId="84" applyFont="1" applyFill="1" applyBorder="1">
      <alignment vertical="center"/>
    </xf>
    <xf numFmtId="210" fontId="0" fillId="0" borderId="0" xfId="84" applyNumberFormat="1" applyFill="1" applyBorder="1" applyAlignment="1">
      <alignment horizontal="left" vertical="center"/>
    </xf>
    <xf numFmtId="0" fontId="0" fillId="0" borderId="0" xfId="84" applyFill="1" applyBorder="1" applyAlignment="1">
      <alignment horizontal="left" vertical="center"/>
    </xf>
    <xf numFmtId="0" fontId="1" fillId="0" borderId="0" xfId="84" applyFont="1" applyFill="1" applyBorder="1" applyAlignment="1">
      <alignment horizontal="left" vertical="center"/>
    </xf>
    <xf numFmtId="215" fontId="0" fillId="0" borderId="0" xfId="84" applyNumberFormat="1" applyFill="1" applyBorder="1" applyAlignment="1">
      <alignment horizontal="left" vertical="center"/>
    </xf>
    <xf numFmtId="218" fontId="0" fillId="0" borderId="0" xfId="84" applyNumberFormat="1" applyFill="1" applyBorder="1" applyAlignment="1">
      <alignment horizontal="left" vertical="center"/>
    </xf>
    <xf numFmtId="0" fontId="0" fillId="0" borderId="0" xfId="84" applyFill="1" applyBorder="1" applyAlignment="1">
      <alignment horizontal="center" vertical="center"/>
    </xf>
    <xf numFmtId="210" fontId="0" fillId="0" borderId="0" xfId="84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top"/>
    </xf>
    <xf numFmtId="1" fontId="13" fillId="0" borderId="0" xfId="0" applyNumberFormat="1" applyFont="1" applyFill="1" applyBorder="1" applyAlignment="1">
      <alignment horizontal="center" vertical="top"/>
    </xf>
    <xf numFmtId="0" fontId="28" fillId="0" borderId="0" xfId="0" applyFont="1" applyFill="1" applyBorder="1" applyAlignment="1">
      <alignment horizontal="center" vertical="center"/>
    </xf>
    <xf numFmtId="0" fontId="0" fillId="0" borderId="0" xfId="84" applyFill="1" applyBorder="1" applyAlignment="1">
      <alignment horizontal="center" vertical="top"/>
    </xf>
    <xf numFmtId="0" fontId="0" fillId="0" borderId="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vertical="center"/>
    </xf>
    <xf numFmtId="0" fontId="30" fillId="15" borderId="55" xfId="0" applyNumberFormat="1" applyFont="1" applyFill="1" applyBorder="1" applyAlignment="1">
      <alignment horizontal="center" vertical="center" wrapText="1"/>
    </xf>
    <xf numFmtId="0" fontId="30" fillId="15" borderId="56" xfId="0" applyNumberFormat="1" applyFont="1" applyFill="1" applyBorder="1" applyAlignment="1">
      <alignment horizontal="center" vertical="center" wrapText="1"/>
    </xf>
    <xf numFmtId="0" fontId="30" fillId="15" borderId="57" xfId="0" applyNumberFormat="1" applyFont="1" applyFill="1" applyBorder="1" applyAlignment="1">
      <alignment horizontal="center" vertical="center" wrapText="1"/>
    </xf>
    <xf numFmtId="0" fontId="30" fillId="15" borderId="45" xfId="0" applyNumberFormat="1" applyFont="1" applyFill="1" applyBorder="1" applyAlignment="1">
      <alignment horizontal="center" vertical="center" wrapText="1"/>
    </xf>
    <xf numFmtId="0" fontId="30" fillId="15" borderId="58" xfId="0" applyNumberFormat="1" applyFont="1" applyFill="1" applyBorder="1" applyAlignment="1">
      <alignment horizontal="center" vertical="center" wrapText="1"/>
    </xf>
    <xf numFmtId="0" fontId="7" fillId="15" borderId="54" xfId="0" applyNumberFormat="1" applyFont="1" applyFill="1" applyBorder="1" applyAlignment="1">
      <alignment horizontal="center" vertical="center" wrapText="1"/>
    </xf>
    <xf numFmtId="0" fontId="30" fillId="15" borderId="54" xfId="0" applyNumberFormat="1" applyFont="1" applyFill="1" applyBorder="1" applyAlignment="1">
      <alignment horizontal="center" vertical="center" wrapText="1"/>
    </xf>
    <xf numFmtId="0" fontId="31" fillId="14" borderId="30" xfId="0" applyNumberFormat="1" applyFont="1" applyFill="1" applyBorder="1" applyAlignment="1">
      <alignment horizontal="center" vertical="center" wrapText="1"/>
    </xf>
    <xf numFmtId="216" fontId="32" fillId="14" borderId="0" xfId="0" applyNumberFormat="1" applyFont="1" applyFill="1" applyAlignment="1">
      <alignment horizontal="center" vertical="center" wrapText="1"/>
    </xf>
    <xf numFmtId="58" fontId="32" fillId="14" borderId="0" xfId="0" applyNumberFormat="1" applyFont="1" applyFill="1" applyAlignment="1">
      <alignment horizontal="center" vertical="center" wrapText="1"/>
    </xf>
    <xf numFmtId="0" fontId="32" fillId="14" borderId="50" xfId="0" applyNumberFormat="1" applyFont="1" applyFill="1" applyBorder="1" applyAlignment="1">
      <alignment horizontal="center" vertical="center" wrapText="1"/>
    </xf>
    <xf numFmtId="224" fontId="27" fillId="9" borderId="59" xfId="1175" applyNumberFormat="1" applyFont="1" applyFill="1" applyBorder="1" applyAlignment="1">
      <alignment horizontal="right"/>
    </xf>
    <xf numFmtId="225" fontId="32" fillId="14" borderId="0" xfId="0" applyNumberFormat="1" applyFont="1" applyFill="1" applyAlignment="1">
      <alignment horizontal="center" vertical="center" wrapText="1"/>
    </xf>
    <xf numFmtId="0" fontId="32" fillId="5" borderId="60" xfId="0" applyNumberFormat="1" applyFont="1" applyFill="1" applyBorder="1" applyAlignment="1">
      <alignment horizontal="center" vertical="center" wrapText="1"/>
    </xf>
    <xf numFmtId="0" fontId="32" fillId="5" borderId="57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1" fillId="5" borderId="56" xfId="0" applyNumberFormat="1" applyFont="1" applyFill="1" applyBorder="1" applyAlignment="1">
      <alignment horizontal="center" vertical="center" wrapText="1"/>
    </xf>
    <xf numFmtId="216" fontId="0" fillId="0" borderId="0" xfId="0" applyNumberFormat="1" applyAlignment="1">
      <alignment vertical="center"/>
    </xf>
    <xf numFmtId="4" fontId="0" fillId="0" borderId="0" xfId="4764" applyFont="1" applyProtection="1">
      <alignment vertical="center"/>
      <protection locked="0"/>
    </xf>
    <xf numFmtId="4" fontId="0" fillId="0" borderId="0" xfId="4764" applyFont="1">
      <alignment vertical="center"/>
    </xf>
    <xf numFmtId="0" fontId="0" fillId="0" borderId="0" xfId="0" applyNumberFormat="1" applyFont="1" applyAlignment="1"/>
    <xf numFmtId="0" fontId="33" fillId="6" borderId="0" xfId="4764" applyNumberFormat="1" applyFont="1" applyFill="1" applyAlignment="1" applyProtection="1">
      <alignment horizontal="centerContinuous" vertical="center"/>
      <protection locked="0"/>
    </xf>
    <xf numFmtId="0" fontId="0" fillId="0" borderId="0" xfId="0" applyNumberFormat="1" applyFont="1" applyFill="1" applyAlignment="1">
      <alignment horizontal="centerContinuous"/>
    </xf>
    <xf numFmtId="0" fontId="0" fillId="0" borderId="0" xfId="0" applyNumberFormat="1" applyFont="1" applyAlignment="1">
      <alignment horizontal="centerContinuous"/>
    </xf>
    <xf numFmtId="4" fontId="0" fillId="0" borderId="0" xfId="0" applyNumberFormat="1" applyFont="1" applyAlignment="1"/>
    <xf numFmtId="3" fontId="0" fillId="0" borderId="0" xfId="0" applyNumberFormat="1" applyFont="1" applyAlignment="1"/>
    <xf numFmtId="0" fontId="0" fillId="0" borderId="1" xfId="4763" applyFont="1" applyFill="1" applyBorder="1" applyAlignment="1">
      <alignment horizontal="center" vertical="center"/>
    </xf>
    <xf numFmtId="4" fontId="0" fillId="0" borderId="1" xfId="4764" applyNumberFormat="1" applyFont="1" applyFill="1" applyBorder="1" applyAlignment="1">
      <alignment horizontal="centerContinuous" shrinkToFit="1"/>
    </xf>
    <xf numFmtId="4" fontId="0" fillId="0" borderId="1" xfId="5223" applyNumberFormat="1" applyFont="1" applyFill="1" applyBorder="1" applyAlignment="1">
      <alignment horizontal="centerContinuous" shrinkToFit="1"/>
    </xf>
    <xf numFmtId="3" fontId="0" fillId="0" borderId="1" xfId="4764" applyNumberFormat="1" applyFont="1" applyFill="1" applyBorder="1" applyAlignment="1">
      <alignment horizontal="centerContinuous" shrinkToFit="1"/>
    </xf>
    <xf numFmtId="4" fontId="0" fillId="0" borderId="1" xfId="4764" applyNumberFormat="1" applyFont="1" applyFill="1" applyBorder="1" applyAlignment="1">
      <alignment horizontal="center" shrinkToFit="1"/>
    </xf>
    <xf numFmtId="4" fontId="0" fillId="0" borderId="1" xfId="5223" applyNumberFormat="1" applyFont="1" applyFill="1" applyBorder="1" applyAlignment="1">
      <alignment horizontal="center" shrinkToFit="1"/>
    </xf>
    <xf numFmtId="3" fontId="0" fillId="0" borderId="1" xfId="4764" applyNumberFormat="1" applyFont="1" applyFill="1" applyBorder="1" applyAlignment="1">
      <alignment horizontal="center" shrinkToFit="1"/>
    </xf>
    <xf numFmtId="0" fontId="0" fillId="0" borderId="1" xfId="4763" applyFont="1" applyFill="1" applyBorder="1" applyAlignment="1">
      <alignment horizontal="center"/>
    </xf>
    <xf numFmtId="4" fontId="0" fillId="0" borderId="1" xfId="4764" applyFont="1" applyFill="1" applyBorder="1" applyAlignment="1"/>
    <xf numFmtId="3" fontId="34" fillId="16" borderId="1" xfId="5223" applyNumberFormat="1" applyFont="1" applyFill="1" applyBorder="1"/>
    <xf numFmtId="178" fontId="34" fillId="0" borderId="1" xfId="42" applyNumberFormat="1" applyFont="1" applyBorder="1" applyAlignment="1">
      <alignment vertical="center"/>
    </xf>
    <xf numFmtId="3" fontId="34" fillId="0" borderId="1" xfId="5223" applyNumberFormat="1" applyFont="1" applyBorder="1"/>
    <xf numFmtId="4" fontId="13" fillId="0" borderId="1" xfId="4764" applyFont="1" applyFill="1" applyBorder="1" applyAlignment="1">
      <alignment horizontal="center"/>
    </xf>
    <xf numFmtId="3" fontId="35" fillId="0" borderId="1" xfId="5223" applyNumberFormat="1" applyFont="1" applyBorder="1"/>
    <xf numFmtId="4" fontId="13" fillId="0" borderId="0" xfId="4764" applyFont="1" applyFill="1" applyProtection="1">
      <alignment vertical="center"/>
      <protection locked="0"/>
    </xf>
    <xf numFmtId="4" fontId="0" fillId="0" borderId="0" xfId="4764" applyFont="1" applyFill="1" applyProtection="1">
      <alignment vertical="center"/>
      <protection locked="0"/>
    </xf>
    <xf numFmtId="4" fontId="0" fillId="0" borderId="0" xfId="4764" applyFont="1" applyFill="1">
      <alignment vertical="center"/>
    </xf>
    <xf numFmtId="0" fontId="0" fillId="0" borderId="0" xfId="0" applyNumberFormat="1" applyFont="1" applyFill="1" applyAlignment="1"/>
    <xf numFmtId="0" fontId="13" fillId="0" borderId="1" xfId="4763" applyFont="1" applyFill="1" applyBorder="1" applyAlignment="1">
      <alignment horizontal="center"/>
    </xf>
    <xf numFmtId="3" fontId="13" fillId="0" borderId="1" xfId="5223" applyNumberFormat="1" applyFont="1" applyFill="1" applyBorder="1" applyAlignment="1" applyProtection="1">
      <alignment horizontal="center"/>
      <protection locked="0"/>
    </xf>
    <xf numFmtId="4" fontId="13" fillId="0" borderId="1" xfId="5223" applyNumberFormat="1" applyFont="1" applyFill="1" applyBorder="1" applyAlignment="1" applyProtection="1">
      <alignment horizontal="center"/>
      <protection locked="0"/>
    </xf>
    <xf numFmtId="4" fontId="13" fillId="0" borderId="1" xfId="4764" applyNumberFormat="1" applyFont="1" applyFill="1" applyBorder="1" applyAlignment="1">
      <alignment horizontal="center"/>
    </xf>
    <xf numFmtId="178" fontId="35" fillId="0" borderId="1" xfId="42" applyNumberFormat="1" applyFont="1" applyFill="1" applyBorder="1" applyAlignment="1" applyProtection="1">
      <protection locked="0"/>
    </xf>
    <xf numFmtId="0" fontId="0" fillId="0" borderId="1" xfId="4763" applyFont="1" applyFill="1" applyBorder="1" applyAlignment="1">
      <alignment horizontal="left"/>
    </xf>
    <xf numFmtId="178" fontId="34" fillId="0" borderId="1" xfId="42" applyNumberFormat="1" applyFont="1" applyFill="1" applyBorder="1" applyAlignment="1" applyProtection="1">
      <protection locked="0"/>
    </xf>
    <xf numFmtId="178" fontId="34" fillId="17" borderId="1" xfId="42" applyNumberFormat="1" applyFont="1" applyFill="1" applyBorder="1" applyAlignment="1">
      <alignment vertical="center"/>
    </xf>
    <xf numFmtId="178" fontId="34" fillId="17" borderId="1" xfId="42" applyNumberFormat="1" applyFont="1" applyFill="1" applyBorder="1" applyAlignment="1" applyProtection="1">
      <protection locked="0"/>
    </xf>
    <xf numFmtId="178" fontId="34" fillId="9" borderId="1" xfId="42" applyNumberFormat="1" applyFont="1" applyFill="1" applyBorder="1" applyAlignment="1" applyProtection="1">
      <protection locked="0"/>
    </xf>
    <xf numFmtId="0" fontId="0" fillId="0" borderId="1" xfId="4763" applyFont="1" applyFill="1" applyBorder="1" applyAlignment="1" applyProtection="1">
      <alignment horizontal="left"/>
      <protection locked="0"/>
    </xf>
    <xf numFmtId="178" fontId="34" fillId="0" borderId="1" xfId="42" applyNumberFormat="1" applyFont="1" applyFill="1" applyBorder="1" applyAlignment="1">
      <alignment vertical="center"/>
    </xf>
    <xf numFmtId="0" fontId="4" fillId="0" borderId="1" xfId="4759" applyFont="1" applyFill="1" applyBorder="1" applyAlignment="1">
      <alignment horizontal="center" vertical="center"/>
    </xf>
    <xf numFmtId="0" fontId="36" fillId="0" borderId="1" xfId="4759" applyFont="1" applyFill="1" applyBorder="1" applyAlignment="1">
      <alignment vertical="center" wrapText="1"/>
    </xf>
    <xf numFmtId="43" fontId="1" fillId="0" borderId="1" xfId="4759" applyNumberFormat="1" applyFont="1" applyFill="1" applyBorder="1" applyAlignment="1">
      <alignment vertical="center"/>
    </xf>
    <xf numFmtId="0" fontId="1" fillId="0" borderId="1" xfId="4759" applyFont="1" applyFill="1" applyBorder="1" applyAlignment="1">
      <alignment horizontal="center" vertical="center"/>
    </xf>
    <xf numFmtId="0" fontId="37" fillId="0" borderId="1" xfId="4759" applyFont="1" applyFill="1" applyBorder="1" applyAlignment="1">
      <alignment vertical="center" wrapText="1"/>
    </xf>
    <xf numFmtId="43" fontId="1" fillId="0" borderId="1" xfId="42" applyFont="1" applyFill="1" applyBorder="1" applyAlignment="1">
      <alignment vertical="center"/>
    </xf>
    <xf numFmtId="0" fontId="0" fillId="0" borderId="0" xfId="4759" applyFont="1" applyFill="1" applyAlignment="1">
      <alignment horizontal="center" vertical="center"/>
    </xf>
    <xf numFmtId="0" fontId="0" fillId="0" borderId="0" xfId="4759" applyFont="1" applyFill="1" applyAlignment="1">
      <alignment vertical="center"/>
    </xf>
    <xf numFmtId="4" fontId="0" fillId="0" borderId="0" xfId="4759" applyNumberFormat="1" applyFont="1" applyFill="1" applyAlignment="1">
      <alignment vertical="center"/>
    </xf>
    <xf numFmtId="0" fontId="0" fillId="0" borderId="1" xfId="4759" applyFont="1" applyFill="1" applyBorder="1" applyAlignment="1">
      <alignment horizontal="center" vertical="center"/>
    </xf>
    <xf numFmtId="43" fontId="1" fillId="0" borderId="0" xfId="0" applyNumberFormat="1" applyFont="1" applyFill="1" applyAlignment="1"/>
    <xf numFmtId="0" fontId="0" fillId="0" borderId="0" xfId="0" applyNumberFormat="1" applyFont="1" applyAlignment="1">
      <alignment horizontal="center" vertical="center"/>
    </xf>
    <xf numFmtId="178" fontId="0" fillId="0" borderId="0" xfId="42" applyNumberFormat="1" applyFont="1" applyFill="1" applyAlignment="1" applyProtection="1">
      <alignment vertical="center"/>
      <protection locked="0"/>
    </xf>
    <xf numFmtId="0" fontId="13" fillId="0" borderId="1" xfId="4759" applyFont="1" applyFill="1" applyBorder="1" applyAlignment="1">
      <alignment horizontal="center" vertical="center"/>
    </xf>
    <xf numFmtId="0" fontId="38" fillId="0" borderId="1" xfId="4759" applyFont="1" applyFill="1" applyBorder="1" applyAlignment="1">
      <alignment vertical="center"/>
    </xf>
    <xf numFmtId="4" fontId="0" fillId="6" borderId="0" xfId="4764" applyFont="1" applyFill="1" applyAlignment="1" applyProtection="1">
      <alignment horizontal="center" vertical="center" wrapText="1"/>
      <protection locked="0"/>
    </xf>
    <xf numFmtId="4" fontId="13" fillId="6" borderId="0" xfId="4764" applyFont="1" applyFill="1" applyProtection="1">
      <alignment vertical="center"/>
      <protection locked="0"/>
    </xf>
    <xf numFmtId="4" fontId="28" fillId="6" borderId="0" xfId="4764" applyFont="1" applyFill="1" applyProtection="1">
      <alignment vertical="center"/>
      <protection locked="0"/>
    </xf>
    <xf numFmtId="4" fontId="0" fillId="6" borderId="0" xfId="4764" applyFont="1" applyFill="1" applyProtection="1">
      <alignment vertical="center"/>
      <protection locked="0"/>
    </xf>
    <xf numFmtId="4" fontId="0" fillId="6" borderId="0" xfId="4764" applyFont="1" applyFill="1" applyAlignment="1" applyProtection="1">
      <alignment horizontal="center"/>
      <protection locked="0"/>
    </xf>
    <xf numFmtId="0" fontId="0" fillId="6" borderId="0" xfId="4764" applyNumberFormat="1" applyFont="1" applyFill="1" applyAlignment="1" applyProtection="1">
      <alignment horizontal="centerContinuous" vertical="center"/>
      <protection locked="0"/>
    </xf>
    <xf numFmtId="178" fontId="39" fillId="0" borderId="0" xfId="42" applyNumberFormat="1" applyFont="1" applyFill="1" applyBorder="1" applyAlignment="1" applyProtection="1">
      <protection locked="0"/>
    </xf>
    <xf numFmtId="0" fontId="0" fillId="6" borderId="0" xfId="4763" applyFont="1" applyFill="1" applyBorder="1" applyAlignment="1" applyProtection="1">
      <alignment horizontal="left"/>
      <protection locked="0"/>
    </xf>
    <xf numFmtId="0" fontId="0" fillId="6" borderId="0" xfId="4763" applyFont="1" applyFill="1" applyBorder="1" applyAlignment="1" applyProtection="1">
      <alignment horizontal="center"/>
      <protection locked="0"/>
    </xf>
    <xf numFmtId="4" fontId="0" fillId="0" borderId="12" xfId="4764" applyFont="1" applyFill="1" applyBorder="1" applyAlignment="1">
      <alignment horizontal="center"/>
    </xf>
    <xf numFmtId="4" fontId="0" fillId="0" borderId="61" xfId="4764" applyFont="1" applyFill="1" applyBorder="1" applyAlignment="1">
      <alignment horizontal="center"/>
    </xf>
    <xf numFmtId="10" fontId="0" fillId="0" borderId="0" xfId="55" applyNumberFormat="1" applyFont="1" applyFill="1" applyAlignment="1" applyProtection="1">
      <alignment vertical="center"/>
      <protection locked="0"/>
    </xf>
    <xf numFmtId="4" fontId="0" fillId="6" borderId="1" xfId="4764" applyFont="1" applyFill="1" applyBorder="1" applyAlignment="1">
      <alignment horizontal="center" vertical="center" wrapText="1"/>
    </xf>
    <xf numFmtId="10" fontId="4" fillId="0" borderId="1" xfId="55" applyNumberFormat="1" applyFont="1" applyBorder="1" applyAlignment="1" applyProtection="1">
      <alignment horizontal="centerContinuous"/>
      <protection locked="0"/>
    </xf>
    <xf numFmtId="57" fontId="0" fillId="6" borderId="1" xfId="4763" applyNumberFormat="1" applyFont="1" applyFill="1" applyBorder="1" applyAlignment="1" applyProtection="1">
      <alignment horizontal="centerContinuous"/>
      <protection locked="0"/>
    </xf>
    <xf numFmtId="4" fontId="0" fillId="6" borderId="1" xfId="4764" applyFont="1" applyFill="1" applyBorder="1" applyAlignment="1" applyProtection="1">
      <alignment horizontal="centerContinuous" vertical="center"/>
      <protection locked="0"/>
    </xf>
    <xf numFmtId="10" fontId="0" fillId="6" borderId="1" xfId="55" applyNumberFormat="1" applyFont="1" applyFill="1" applyBorder="1" applyAlignment="1" applyProtection="1">
      <alignment horizontal="centerContinuous" vertical="center"/>
      <protection locked="0"/>
    </xf>
    <xf numFmtId="0" fontId="13" fillId="6" borderId="1" xfId="4763" applyFont="1" applyFill="1" applyBorder="1" applyAlignment="1">
      <alignment horizontal="center"/>
    </xf>
    <xf numFmtId="4" fontId="13" fillId="6" borderId="1" xfId="4764" applyFont="1" applyFill="1" applyBorder="1" applyAlignment="1"/>
    <xf numFmtId="178" fontId="40" fillId="6" borderId="1" xfId="42" applyNumberFormat="1" applyFont="1" applyFill="1" applyBorder="1" applyAlignment="1"/>
    <xf numFmtId="4" fontId="40" fillId="6" borderId="1" xfId="4764" applyNumberFormat="1" applyFont="1" applyFill="1" applyBorder="1" applyAlignment="1"/>
    <xf numFmtId="0" fontId="0" fillId="6" borderId="1" xfId="4763" applyFont="1" applyFill="1" applyBorder="1" applyAlignment="1">
      <alignment horizontal="center"/>
    </xf>
    <xf numFmtId="4" fontId="1" fillId="6" borderId="1" xfId="4764" applyFont="1" applyFill="1" applyBorder="1" applyAlignment="1">
      <alignment horizontal="left"/>
    </xf>
    <xf numFmtId="4" fontId="0" fillId="6" borderId="1" xfId="4764" applyFont="1" applyFill="1" applyBorder="1" applyAlignment="1">
      <alignment horizontal="center"/>
    </xf>
    <xf numFmtId="178" fontId="39" fillId="18" borderId="1" xfId="42" applyNumberFormat="1" applyFont="1" applyFill="1" applyBorder="1" applyAlignment="1">
      <alignment vertical="center"/>
    </xf>
    <xf numFmtId="43" fontId="39" fillId="6" borderId="1" xfId="42" applyNumberFormat="1" applyFont="1" applyFill="1" applyBorder="1" applyAlignment="1" applyProtection="1">
      <protection locked="0"/>
    </xf>
    <xf numFmtId="4" fontId="39" fillId="6" borderId="1" xfId="4764" applyNumberFormat="1" applyFont="1" applyFill="1" applyBorder="1" applyAlignment="1"/>
    <xf numFmtId="4" fontId="1" fillId="6" borderId="1" xfId="4764" applyFont="1" applyFill="1" applyBorder="1">
      <alignment vertical="center"/>
    </xf>
    <xf numFmtId="0" fontId="13" fillId="6" borderId="1" xfId="4763" applyFont="1" applyFill="1" applyBorder="1" applyAlignment="1">
      <alignment horizontal="left"/>
    </xf>
    <xf numFmtId="4" fontId="13" fillId="6" borderId="1" xfId="4764" applyFont="1" applyFill="1" applyBorder="1" applyAlignment="1">
      <alignment horizontal="center"/>
    </xf>
    <xf numFmtId="178" fontId="40" fillId="6" borderId="1" xfId="42" applyNumberFormat="1" applyFont="1" applyFill="1" applyBorder="1" applyAlignment="1" applyProtection="1">
      <protection locked="0"/>
    </xf>
    <xf numFmtId="43" fontId="40" fillId="6" borderId="1" xfId="42" applyFont="1" applyFill="1" applyBorder="1" applyAlignment="1" applyProtection="1">
      <protection locked="0"/>
    </xf>
    <xf numFmtId="178" fontId="40" fillId="19" borderId="1" xfId="42" applyNumberFormat="1" applyFont="1" applyFill="1" applyBorder="1" applyAlignment="1" applyProtection="1">
      <protection locked="0"/>
    </xf>
    <xf numFmtId="4" fontId="5" fillId="0" borderId="1" xfId="4764" applyFont="1" applyFill="1" applyBorder="1" applyAlignment="1">
      <alignment horizontal="left"/>
    </xf>
    <xf numFmtId="178" fontId="39" fillId="19" borderId="1" xfId="42" applyNumberFormat="1" applyFont="1" applyFill="1" applyBorder="1" applyAlignment="1">
      <alignment vertical="center"/>
    </xf>
    <xf numFmtId="43" fontId="39" fillId="6" borderId="1" xfId="42" applyFont="1" applyFill="1" applyBorder="1" applyAlignment="1" applyProtection="1">
      <protection locked="0"/>
    </xf>
    <xf numFmtId="178" fontId="39" fillId="6" borderId="1" xfId="42" applyNumberFormat="1" applyFont="1" applyFill="1" applyBorder="1" applyAlignment="1" applyProtection="1">
      <protection locked="0"/>
    </xf>
    <xf numFmtId="4" fontId="1" fillId="0" borderId="1" xfId="4764" applyFont="1" applyFill="1" applyBorder="1" applyAlignment="1">
      <alignment horizontal="left"/>
    </xf>
    <xf numFmtId="38" fontId="0" fillId="6" borderId="1" xfId="5223" applyNumberFormat="1" applyFont="1" applyFill="1" applyBorder="1" applyAlignment="1"/>
    <xf numFmtId="4" fontId="0" fillId="0" borderId="1" xfId="4764" applyFont="1" applyFill="1" applyBorder="1" applyAlignment="1">
      <alignment horizontal="center"/>
    </xf>
    <xf numFmtId="43" fontId="39" fillId="0" borderId="1" xfId="42" applyFont="1" applyFill="1" applyBorder="1" applyAlignment="1" applyProtection="1">
      <protection locked="0"/>
    </xf>
    <xf numFmtId="4" fontId="39" fillId="0" borderId="1" xfId="4764" applyNumberFormat="1" applyFont="1" applyFill="1" applyBorder="1" applyAlignment="1"/>
    <xf numFmtId="43" fontId="39" fillId="18" borderId="1" xfId="42" applyFont="1" applyFill="1" applyBorder="1" applyAlignment="1" applyProtection="1">
      <protection locked="0"/>
    </xf>
    <xf numFmtId="178" fontId="39" fillId="18" borderId="1" xfId="42" applyNumberFormat="1" applyFont="1" applyFill="1" applyBorder="1" applyAlignment="1" applyProtection="1">
      <protection locked="0"/>
    </xf>
    <xf numFmtId="43" fontId="39" fillId="19" borderId="1" xfId="42" applyNumberFormat="1" applyFont="1" applyFill="1" applyBorder="1" applyAlignment="1">
      <alignment vertical="center"/>
    </xf>
    <xf numFmtId="178" fontId="39" fillId="0" borderId="1" xfId="42" applyNumberFormat="1" applyFont="1" applyFill="1" applyBorder="1" applyAlignment="1" applyProtection="1">
      <protection locked="0"/>
    </xf>
    <xf numFmtId="0" fontId="41" fillId="0" borderId="1" xfId="4763" applyFont="1" applyFill="1" applyBorder="1" applyAlignment="1">
      <alignment horizontal="center"/>
    </xf>
    <xf numFmtId="4" fontId="41" fillId="0" borderId="1" xfId="4764" applyFont="1" applyFill="1" applyBorder="1" applyAlignment="1">
      <alignment horizontal="left"/>
    </xf>
    <xf numFmtId="43" fontId="39" fillId="0" borderId="1" xfId="42" applyNumberFormat="1" applyFont="1" applyFill="1" applyBorder="1" applyAlignment="1">
      <alignment vertical="center"/>
    </xf>
    <xf numFmtId="43" fontId="42" fillId="0" borderId="1" xfId="42" applyFont="1" applyFill="1" applyBorder="1" applyAlignment="1" applyProtection="1">
      <protection locked="0"/>
    </xf>
    <xf numFmtId="43" fontId="40" fillId="0" borderId="1" xfId="42" applyFont="1" applyFill="1" applyBorder="1" applyAlignment="1" applyProtection="1">
      <protection locked="0"/>
    </xf>
    <xf numFmtId="4" fontId="42" fillId="0" borderId="1" xfId="4764" applyNumberFormat="1" applyFont="1" applyFill="1" applyBorder="1" applyAlignment="1"/>
    <xf numFmtId="0" fontId="41" fillId="20" borderId="1" xfId="4763" applyFont="1" applyFill="1" applyBorder="1" applyAlignment="1">
      <alignment horizontal="center"/>
    </xf>
    <xf numFmtId="4" fontId="41" fillId="20" borderId="1" xfId="4764" applyFont="1" applyFill="1" applyBorder="1" applyAlignment="1">
      <alignment horizontal="left"/>
    </xf>
    <xf numFmtId="43" fontId="39" fillId="16" borderId="1" xfId="42" applyNumberFormat="1" applyFont="1" applyFill="1" applyBorder="1" applyAlignment="1">
      <alignment vertical="center"/>
    </xf>
    <xf numFmtId="43" fontId="42" fillId="20" borderId="1" xfId="42" applyFont="1" applyFill="1" applyBorder="1" applyAlignment="1" applyProtection="1">
      <protection locked="0"/>
    </xf>
    <xf numFmtId="4" fontId="42" fillId="20" borderId="1" xfId="4764" applyNumberFormat="1" applyFont="1" applyFill="1" applyBorder="1" applyAlignment="1"/>
    <xf numFmtId="0" fontId="4" fillId="0" borderId="1" xfId="4763" applyFont="1" applyFill="1" applyBorder="1" applyAlignment="1">
      <alignment horizontal="center"/>
    </xf>
    <xf numFmtId="4" fontId="40" fillId="6" borderId="1" xfId="4764" applyFont="1" applyFill="1" applyBorder="1" applyAlignment="1" applyProtection="1">
      <alignment vertical="center"/>
      <protection locked="0"/>
    </xf>
    <xf numFmtId="4" fontId="40" fillId="6" borderId="1" xfId="4764" applyFont="1" applyFill="1" applyBorder="1" applyAlignment="1" applyProtection="1">
      <protection locked="0"/>
    </xf>
    <xf numFmtId="43" fontId="40" fillId="6" borderId="1" xfId="42" applyFont="1" applyFill="1" applyBorder="1" applyAlignment="1" applyProtection="1">
      <alignment vertical="center"/>
      <protection locked="0"/>
    </xf>
    <xf numFmtId="4" fontId="0" fillId="6" borderId="1" xfId="4764" applyFont="1" applyFill="1" applyBorder="1" applyProtection="1">
      <alignment vertical="center"/>
      <protection locked="0"/>
    </xf>
    <xf numFmtId="4" fontId="39" fillId="6" borderId="1" xfId="4764" applyFont="1" applyFill="1" applyBorder="1" applyAlignment="1" applyProtection="1">
      <alignment vertical="center"/>
      <protection locked="0"/>
    </xf>
    <xf numFmtId="4" fontId="39" fillId="6" borderId="1" xfId="4764" applyFont="1" applyFill="1" applyBorder="1" applyAlignment="1" applyProtection="1">
      <protection locked="0"/>
    </xf>
    <xf numFmtId="43" fontId="43" fillId="6" borderId="1" xfId="42" applyFont="1" applyFill="1" applyBorder="1" applyAlignment="1" applyProtection="1">
      <alignment vertical="center"/>
      <protection locked="0"/>
    </xf>
    <xf numFmtId="43" fontId="39" fillId="6" borderId="1" xfId="42" applyFont="1" applyFill="1" applyBorder="1" applyAlignment="1" applyProtection="1">
      <alignment vertical="center"/>
      <protection locked="0"/>
    </xf>
    <xf numFmtId="49" fontId="44" fillId="0" borderId="1" xfId="46" applyNumberFormat="1" applyFont="1" applyFill="1" applyBorder="1" applyAlignment="1">
      <alignment horizontal="left" vertical="center"/>
    </xf>
    <xf numFmtId="4" fontId="0" fillId="0" borderId="1" xfId="4764" applyFont="1" applyFill="1" applyBorder="1" applyProtection="1">
      <alignment vertical="center"/>
      <protection locked="0"/>
    </xf>
    <xf numFmtId="4" fontId="39" fillId="0" borderId="1" xfId="4764" applyFont="1" applyFill="1" applyBorder="1" applyAlignment="1" applyProtection="1">
      <alignment vertical="center"/>
      <protection locked="0"/>
    </xf>
    <xf numFmtId="4" fontId="39" fillId="0" borderId="1" xfId="4764" applyFont="1" applyFill="1" applyBorder="1" applyAlignment="1" applyProtection="1">
      <protection locked="0"/>
    </xf>
    <xf numFmtId="3" fontId="40" fillId="3" borderId="1" xfId="4764" applyNumberFormat="1" applyFont="1" applyFill="1" applyBorder="1" applyAlignment="1" applyProtection="1">
      <alignment vertical="center"/>
      <protection locked="0"/>
    </xf>
    <xf numFmtId="49" fontId="45" fillId="0" borderId="1" xfId="46" applyNumberFormat="1" applyFont="1" applyFill="1" applyBorder="1" applyAlignment="1">
      <alignment horizontal="left" vertical="center"/>
    </xf>
    <xf numFmtId="3" fontId="39" fillId="6" borderId="1" xfId="4764" applyNumberFormat="1" applyFont="1" applyFill="1" applyBorder="1" applyAlignment="1" applyProtection="1">
      <alignment vertical="center"/>
      <protection locked="0"/>
    </xf>
    <xf numFmtId="4" fontId="13" fillId="6" borderId="1" xfId="4764" applyFont="1" applyFill="1" applyBorder="1" applyProtection="1">
      <alignment vertical="center"/>
      <protection locked="0"/>
    </xf>
    <xf numFmtId="49" fontId="46" fillId="0" borderId="1" xfId="46" applyNumberFormat="1" applyFont="1" applyFill="1" applyBorder="1" applyAlignment="1">
      <alignment horizontal="left" vertical="center" indent="1"/>
    </xf>
    <xf numFmtId="4" fontId="13" fillId="6" borderId="1" xfId="4764" applyFont="1" applyFill="1" applyBorder="1" applyAlignment="1" applyProtection="1">
      <alignment horizontal="center" vertical="center"/>
      <protection locked="0"/>
    </xf>
    <xf numFmtId="178" fontId="39" fillId="6" borderId="1" xfId="42" applyNumberFormat="1" applyFont="1" applyFill="1" applyBorder="1" applyAlignment="1" applyProtection="1">
      <alignment vertical="center"/>
      <protection locked="0"/>
    </xf>
    <xf numFmtId="3" fontId="42" fillId="3" borderId="1" xfId="4764" applyNumberFormat="1" applyFont="1" applyFill="1" applyBorder="1" applyAlignment="1" applyProtection="1">
      <alignment vertical="center"/>
      <protection locked="0"/>
    </xf>
    <xf numFmtId="4" fontId="0" fillId="6" borderId="1" xfId="4764" applyFont="1" applyFill="1" applyBorder="1" applyAlignment="1" applyProtection="1">
      <alignment horizontal="center" vertical="center"/>
      <protection locked="0"/>
    </xf>
    <xf numFmtId="226" fontId="1" fillId="0" borderId="1" xfId="4368" applyNumberFormat="1" applyFont="1" applyFill="1" applyBorder="1" applyAlignment="1" applyProtection="1"/>
    <xf numFmtId="226" fontId="0" fillId="0" borderId="1" xfId="4368" applyNumberFormat="1" applyFont="1" applyFill="1" applyBorder="1" applyAlignment="1" applyProtection="1"/>
    <xf numFmtId="43" fontId="39" fillId="6" borderId="1" xfId="4764" applyNumberFormat="1" applyFont="1" applyFill="1" applyBorder="1" applyAlignment="1" applyProtection="1">
      <alignment vertical="center"/>
      <protection locked="0"/>
    </xf>
    <xf numFmtId="227" fontId="39" fillId="6" borderId="1" xfId="4764" applyNumberFormat="1" applyFont="1" applyFill="1" applyBorder="1" applyAlignment="1" applyProtection="1">
      <protection locked="0"/>
    </xf>
    <xf numFmtId="226" fontId="13" fillId="0" borderId="1" xfId="4368" applyNumberFormat="1" applyFont="1" applyFill="1" applyBorder="1" applyAlignment="1" applyProtection="1"/>
    <xf numFmtId="43" fontId="39" fillId="6" borderId="1" xfId="42" applyNumberFormat="1" applyFont="1" applyFill="1" applyBorder="1" applyAlignment="1" applyProtection="1">
      <alignment vertical="center"/>
      <protection locked="0"/>
    </xf>
    <xf numFmtId="4" fontId="1" fillId="6" borderId="1" xfId="4764" applyFont="1" applyFill="1" applyBorder="1" applyProtection="1">
      <alignment vertical="center"/>
      <protection locked="0"/>
    </xf>
    <xf numFmtId="4" fontId="1" fillId="9" borderId="0" xfId="4764" applyFont="1" applyFill="1" applyAlignment="1" applyProtection="1">
      <alignment horizontal="center"/>
      <protection locked="0"/>
    </xf>
    <xf numFmtId="4" fontId="1" fillId="9" borderId="0" xfId="4764" applyFont="1" applyFill="1" applyProtection="1">
      <alignment vertical="center"/>
      <protection locked="0"/>
    </xf>
    <xf numFmtId="4" fontId="1" fillId="9" borderId="0" xfId="4764" applyFont="1" applyFill="1">
      <alignment vertical="center"/>
    </xf>
    <xf numFmtId="0" fontId="0" fillId="9" borderId="0" xfId="0" applyNumberFormat="1" applyFill="1" applyAlignment="1"/>
    <xf numFmtId="0" fontId="3" fillId="9" borderId="0" xfId="0" applyNumberFormat="1" applyFont="1" applyFill="1" applyAlignment="1">
      <alignment horizontal="centerContinuous"/>
    </xf>
    <xf numFmtId="0" fontId="0" fillId="9" borderId="0" xfId="0" applyNumberFormat="1" applyFill="1" applyAlignment="1">
      <alignment horizontal="centerContinuous"/>
    </xf>
    <xf numFmtId="178" fontId="0" fillId="9" borderId="0" xfId="0" applyNumberFormat="1" applyFill="1" applyAlignment="1"/>
    <xf numFmtId="0" fontId="0" fillId="9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9" borderId="1" xfId="4758" applyFill="1" applyBorder="1" applyAlignment="1">
      <alignment horizontal="centerContinuous" vertical="center"/>
    </xf>
    <xf numFmtId="0" fontId="0" fillId="9" borderId="12" xfId="4758" applyFill="1" applyBorder="1" applyAlignment="1">
      <alignment horizontal="center" vertical="center"/>
    </xf>
    <xf numFmtId="0" fontId="0" fillId="9" borderId="42" xfId="4758" applyFill="1" applyBorder="1" applyAlignment="1">
      <alignment horizontal="center" vertical="center"/>
    </xf>
    <xf numFmtId="0" fontId="0" fillId="9" borderId="1" xfId="4758" applyFill="1" applyBorder="1" applyAlignment="1">
      <alignment horizontal="center" vertical="center"/>
    </xf>
    <xf numFmtId="0" fontId="1" fillId="9" borderId="1" xfId="4763" applyFont="1" applyFill="1" applyBorder="1" applyAlignment="1">
      <alignment horizontal="center"/>
    </xf>
    <xf numFmtId="4" fontId="1" fillId="9" borderId="1" xfId="4764" applyFont="1" applyFill="1" applyBorder="1" applyAlignment="1"/>
    <xf numFmtId="178" fontId="47" fillId="17" borderId="1" xfId="42" applyNumberFormat="1" applyFont="1" applyFill="1" applyBorder="1" applyAlignment="1" applyProtection="1">
      <alignment horizontal="center"/>
      <protection locked="0"/>
    </xf>
    <xf numFmtId="178" fontId="47" fillId="9" borderId="1" xfId="42" applyNumberFormat="1" applyFont="1" applyFill="1" applyBorder="1" applyAlignment="1" applyProtection="1">
      <alignment horizontal="center"/>
      <protection locked="0"/>
    </xf>
    <xf numFmtId="178" fontId="47" fillId="19" borderId="1" xfId="42" applyNumberFormat="1" applyFont="1" applyFill="1" applyBorder="1" applyAlignment="1" applyProtection="1">
      <alignment horizontal="center"/>
      <protection locked="0"/>
    </xf>
    <xf numFmtId="4" fontId="4" fillId="9" borderId="1" xfId="4764" applyFont="1" applyFill="1" applyBorder="1" applyAlignment="1">
      <alignment horizontal="left"/>
    </xf>
    <xf numFmtId="0" fontId="0" fillId="9" borderId="13" xfId="4758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Continuous" vertical="center"/>
    </xf>
    <xf numFmtId="4" fontId="1" fillId="9" borderId="1" xfId="4764" applyFont="1" applyFill="1" applyBorder="1" applyAlignment="1">
      <alignment horizontal="center"/>
    </xf>
    <xf numFmtId="43" fontId="47" fillId="9" borderId="1" xfId="42" applyFont="1" applyFill="1" applyBorder="1" applyAlignment="1" applyProtection="1">
      <alignment horizontal="center"/>
      <protection locked="0"/>
    </xf>
    <xf numFmtId="0" fontId="11" fillId="9" borderId="0" xfId="0" applyNumberFormat="1" applyFont="1" applyFill="1" applyAlignment="1"/>
    <xf numFmtId="0" fontId="0" fillId="9" borderId="0" xfId="0" applyNumberFormat="1" applyFont="1" applyFill="1" applyAlignment="1"/>
    <xf numFmtId="193" fontId="1" fillId="9" borderId="0" xfId="55" applyNumberFormat="1" applyFont="1" applyFill="1" applyAlignment="1" applyProtection="1">
      <alignment vertical="center"/>
      <protection locked="0"/>
    </xf>
    <xf numFmtId="0" fontId="13" fillId="9" borderId="0" xfId="0" applyNumberFormat="1" applyFont="1" applyFill="1" applyAlignment="1"/>
    <xf numFmtId="0" fontId="13" fillId="19" borderId="0" xfId="0" applyNumberFormat="1" applyFont="1" applyFill="1" applyAlignment="1"/>
    <xf numFmtId="0" fontId="33" fillId="9" borderId="0" xfId="4764" applyNumberFormat="1" applyFont="1" applyFill="1" applyAlignment="1" applyProtection="1">
      <alignment horizontal="centerContinuous" vertical="justify"/>
      <protection locked="0"/>
    </xf>
    <xf numFmtId="0" fontId="0" fillId="9" borderId="0" xfId="0" applyNumberFormat="1" applyFont="1" applyFill="1" applyAlignment="1">
      <alignment horizontal="centerContinuous" vertical="justify"/>
    </xf>
    <xf numFmtId="0" fontId="0" fillId="9" borderId="0" xfId="0" applyNumberFormat="1" applyFont="1" applyFill="1" applyAlignment="1">
      <alignment horizontal="centerContinuous"/>
    </xf>
    <xf numFmtId="178" fontId="0" fillId="9" borderId="0" xfId="0" applyNumberFormat="1" applyFont="1" applyFill="1" applyAlignment="1"/>
    <xf numFmtId="0" fontId="11" fillId="9" borderId="3" xfId="0" applyNumberFormat="1" applyFont="1" applyFill="1" applyBorder="1" applyAlignment="1">
      <alignment horizontal="center" vertical="center" wrapText="1"/>
    </xf>
    <xf numFmtId="0" fontId="0" fillId="9" borderId="1" xfId="0" applyNumberFormat="1" applyFont="1" applyFill="1" applyBorder="1" applyAlignment="1">
      <alignment horizontal="centerContinuous" vertical="center"/>
    </xf>
    <xf numFmtId="0" fontId="11" fillId="9" borderId="2" xfId="0" applyNumberFormat="1" applyFont="1" applyFill="1" applyBorder="1" applyAlignment="1">
      <alignment horizontal="center" vertical="center" wrapText="1"/>
    </xf>
    <xf numFmtId="4" fontId="0" fillId="9" borderId="1" xfId="4764" applyNumberFormat="1" applyFont="1" applyFill="1" applyBorder="1" applyAlignment="1">
      <alignment horizontal="center" shrinkToFit="1"/>
    </xf>
    <xf numFmtId="4" fontId="0" fillId="9" borderId="1" xfId="5223" applyNumberFormat="1" applyFont="1" applyFill="1" applyBorder="1" applyAlignment="1">
      <alignment horizontal="center" shrinkToFit="1"/>
    </xf>
    <xf numFmtId="0" fontId="0" fillId="9" borderId="1" xfId="4763" applyFont="1" applyFill="1" applyBorder="1" applyAlignment="1">
      <alignment horizontal="center"/>
    </xf>
    <xf numFmtId="4" fontId="0" fillId="9" borderId="1" xfId="4764" applyFont="1" applyFill="1" applyBorder="1" applyAlignment="1"/>
    <xf numFmtId="0" fontId="0" fillId="9" borderId="1" xfId="0" applyNumberFormat="1" applyFont="1" applyFill="1" applyBorder="1" applyAlignment="1"/>
    <xf numFmtId="178" fontId="34" fillId="9" borderId="1" xfId="42" applyNumberFormat="1" applyFont="1" applyFill="1" applyBorder="1"/>
    <xf numFmtId="178" fontId="34" fillId="19" borderId="1" xfId="42" applyNumberFormat="1" applyFont="1" applyFill="1" applyBorder="1" applyAlignment="1"/>
    <xf numFmtId="178" fontId="48" fillId="9" borderId="1" xfId="42" applyNumberFormat="1" applyFont="1" applyFill="1" applyBorder="1" applyAlignment="1"/>
    <xf numFmtId="178" fontId="48" fillId="9" borderId="1" xfId="42" applyNumberFormat="1" applyFont="1" applyFill="1" applyBorder="1"/>
    <xf numFmtId="178" fontId="0" fillId="9" borderId="1" xfId="42" applyNumberFormat="1" applyFont="1" applyFill="1" applyBorder="1" applyAlignment="1"/>
    <xf numFmtId="178" fontId="34" fillId="21" borderId="1" xfId="42" applyNumberFormat="1" applyFont="1" applyFill="1" applyBorder="1"/>
    <xf numFmtId="178" fontId="34" fillId="19" borderId="1" xfId="42" applyNumberFormat="1" applyFont="1" applyFill="1" applyBorder="1"/>
    <xf numFmtId="0" fontId="13" fillId="9" borderId="1" xfId="4763" applyFont="1" applyFill="1" applyBorder="1" applyAlignment="1">
      <alignment horizontal="center"/>
    </xf>
    <xf numFmtId="4" fontId="13" fillId="9" borderId="1" xfId="4764" applyFont="1" applyFill="1" applyBorder="1" applyAlignment="1">
      <alignment horizontal="left"/>
    </xf>
    <xf numFmtId="0" fontId="13" fillId="9" borderId="1" xfId="0" applyNumberFormat="1" applyFont="1" applyFill="1" applyBorder="1" applyAlignment="1"/>
    <xf numFmtId="178" fontId="35" fillId="9" borderId="1" xfId="42" applyNumberFormat="1" applyFont="1" applyFill="1" applyBorder="1"/>
    <xf numFmtId="43" fontId="35" fillId="9" borderId="1" xfId="42" applyNumberFormat="1" applyFont="1" applyFill="1" applyBorder="1" applyAlignment="1"/>
    <xf numFmtId="178" fontId="35" fillId="9" borderId="1" xfId="42" applyNumberFormat="1" applyFont="1" applyFill="1" applyBorder="1" applyAlignment="1"/>
    <xf numFmtId="178" fontId="13" fillId="9" borderId="1" xfId="42" applyNumberFormat="1" applyFont="1" applyFill="1" applyBorder="1" applyAlignment="1"/>
    <xf numFmtId="0" fontId="13" fillId="19" borderId="1" xfId="4763" applyFont="1" applyFill="1" applyBorder="1" applyAlignment="1">
      <alignment horizontal="center"/>
    </xf>
    <xf numFmtId="4" fontId="13" fillId="19" borderId="1" xfId="4764" applyFont="1" applyFill="1" applyBorder="1" applyAlignment="1">
      <alignment horizontal="left"/>
    </xf>
    <xf numFmtId="0" fontId="13" fillId="19" borderId="1" xfId="0" applyNumberFormat="1" applyFont="1" applyFill="1" applyBorder="1" applyAlignment="1"/>
    <xf numFmtId="178" fontId="35" fillId="19" borderId="1" xfId="42" applyNumberFormat="1" applyFont="1" applyFill="1" applyBorder="1"/>
    <xf numFmtId="178" fontId="35" fillId="19" borderId="1" xfId="42" applyNumberFormat="1" applyFont="1" applyFill="1" applyBorder="1" applyAlignment="1"/>
    <xf numFmtId="178" fontId="13" fillId="19" borderId="1" xfId="42" applyNumberFormat="1" applyFont="1" applyFill="1" applyBorder="1" applyAlignment="1"/>
    <xf numFmtId="178" fontId="13" fillId="3" borderId="1" xfId="42" applyNumberFormat="1" applyFont="1" applyFill="1" applyBorder="1" applyAlignment="1"/>
    <xf numFmtId="10" fontId="0" fillId="9" borderId="1" xfId="55" applyNumberFormat="1" applyFont="1" applyFill="1" applyBorder="1" applyAlignment="1"/>
    <xf numFmtId="178" fontId="0" fillId="9" borderId="0" xfId="42" applyNumberFormat="1" applyFont="1" applyFill="1" applyAlignment="1"/>
    <xf numFmtId="210" fontId="0" fillId="9" borderId="0" xfId="0" applyNumberFormat="1" applyFont="1" applyFill="1" applyAlignment="1"/>
    <xf numFmtId="194" fontId="0" fillId="9" borderId="0" xfId="0" applyNumberFormat="1" applyFont="1" applyFill="1" applyAlignment="1"/>
    <xf numFmtId="226" fontId="33" fillId="6" borderId="0" xfId="4368" applyNumberFormat="1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4" fontId="13" fillId="0" borderId="1" xfId="3759" applyFont="1" applyFill="1" applyBorder="1" applyAlignment="1">
      <alignment horizontal="center" vertical="center"/>
    </xf>
    <xf numFmtId="4" fontId="49" fillId="0" borderId="1" xfId="3759" applyFont="1" applyFill="1" applyBorder="1" applyAlignment="1">
      <alignment horizontal="center" vertical="center" wrapText="1"/>
    </xf>
    <xf numFmtId="2" fontId="44" fillId="0" borderId="1" xfId="4757" applyNumberFormat="1" applyFont="1" applyFill="1" applyBorder="1" applyAlignment="1" applyProtection="1">
      <alignment horizontal="left" vertical="center"/>
    </xf>
    <xf numFmtId="204" fontId="13" fillId="0" borderId="1" xfId="3759" applyNumberFormat="1" applyFont="1" applyBorder="1" applyAlignment="1">
      <alignment horizontal="right" vertical="center"/>
    </xf>
    <xf numFmtId="0" fontId="13" fillId="0" borderId="3" xfId="0" applyNumberFormat="1" applyFont="1" applyBorder="1" applyAlignment="1">
      <alignment horizontal="left" vertical="center" wrapText="1"/>
    </xf>
    <xf numFmtId="204" fontId="0" fillId="0" borderId="0" xfId="0" applyNumberFormat="1" applyFont="1" applyAlignment="1"/>
    <xf numFmtId="2" fontId="46" fillId="0" borderId="1" xfId="4757" applyNumberFormat="1" applyFont="1" applyFill="1" applyBorder="1" applyAlignment="1" applyProtection="1">
      <alignment horizontal="left" vertical="center"/>
    </xf>
    <xf numFmtId="228" fontId="0" fillId="0" borderId="1" xfId="3759" applyNumberFormat="1" applyFont="1" applyBorder="1" applyAlignment="1">
      <alignment horizontal="right" vertical="center"/>
    </xf>
    <xf numFmtId="0" fontId="13" fillId="0" borderId="62" xfId="0" applyNumberFormat="1" applyFont="1" applyBorder="1" applyAlignment="1">
      <alignment horizontal="left" vertical="center" wrapText="1"/>
    </xf>
    <xf numFmtId="228" fontId="13" fillId="0" borderId="1" xfId="3759" applyNumberFormat="1" applyFont="1" applyBorder="1" applyAlignment="1">
      <alignment horizontal="right" vertical="center"/>
    </xf>
    <xf numFmtId="228" fontId="0" fillId="0" borderId="0" xfId="0" applyNumberFormat="1" applyFont="1" applyAlignment="1"/>
    <xf numFmtId="2" fontId="44" fillId="22" borderId="1" xfId="4757" applyNumberFormat="1" applyFont="1" applyFill="1" applyBorder="1" applyAlignment="1" applyProtection="1">
      <alignment horizontal="left" vertical="center"/>
    </xf>
    <xf numFmtId="228" fontId="13" fillId="22" borderId="1" xfId="3759" applyNumberFormat="1" applyFont="1" applyFill="1" applyBorder="1" applyAlignment="1">
      <alignment horizontal="right" vertical="center"/>
    </xf>
    <xf numFmtId="228" fontId="0" fillId="0" borderId="1" xfId="3759" applyNumberFormat="1" applyFont="1" applyFill="1" applyBorder="1" applyAlignment="1">
      <alignment horizontal="right" vertical="center"/>
    </xf>
    <xf numFmtId="228" fontId="13" fillId="0" borderId="1" xfId="3759" applyNumberFormat="1" applyFont="1" applyFill="1" applyBorder="1" applyAlignment="1">
      <alignment horizontal="right" vertical="center"/>
    </xf>
    <xf numFmtId="228" fontId="0" fillId="0" borderId="0" xfId="0" applyNumberFormat="1" applyFont="1" applyFill="1" applyAlignment="1"/>
    <xf numFmtId="0" fontId="13" fillId="0" borderId="2" xfId="0" applyNumberFormat="1" applyFont="1" applyBorder="1" applyAlignment="1">
      <alignment horizontal="left" vertical="center" wrapText="1"/>
    </xf>
    <xf numFmtId="228" fontId="0" fillId="0" borderId="0" xfId="0" applyNumberFormat="1" applyAlignment="1"/>
    <xf numFmtId="0" fontId="0" fillId="0" borderId="0" xfId="0" applyNumberFormat="1" applyFont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/>
    <xf numFmtId="10" fontId="0" fillId="0" borderId="1" xfId="55" applyNumberFormat="1" applyFont="1" applyBorder="1" applyAlignment="1"/>
    <xf numFmtId="49" fontId="0" fillId="0" borderId="1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  <xf numFmtId="58" fontId="0" fillId="0" borderId="0" xfId="0" applyNumberFormat="1" applyFont="1" applyAlignment="1">
      <alignment horizontal="right"/>
    </xf>
    <xf numFmtId="228" fontId="0" fillId="0" borderId="0" xfId="0" applyNumberFormat="1" applyFont="1" applyFill="1" applyBorder="1" applyAlignment="1"/>
  </cellXfs>
  <cellStyles count="5319">
    <cellStyle name="常规" xfId="0" builtinId="0"/>
    <cellStyle name="SAPBEXaggDataEmph 6 2 2" xfId="1"/>
    <cellStyle name="SAPBEXresItemX 3 2 3" xfId="2"/>
    <cellStyle name="Total 2 4 2" xfId="3"/>
    <cellStyle name="_BOM_113_物料平衡2012年5月" xfId="4"/>
    <cellStyle name="_BOM_108_物料平衡2012年5月" xfId="5"/>
    <cellStyle name="Input 2 2 2 2" xfId="6"/>
    <cellStyle name="_201011" xfId="7"/>
    <cellStyle name="_02-03-11" xfId="8"/>
    <cellStyle name="SAPBEXHLevel1X 4" xfId="9"/>
    <cellStyle name="SAPBEXstdDataEmph 6 2 2" xfId="10"/>
    <cellStyle name="_物料_psa 2 2" xfId="11"/>
    <cellStyle name="货币[0]" xfId="12" builtinId="7"/>
    <cellStyle name="_BOM_112 2 2" xfId="13"/>
    <cellStyle name="_BOM_107 2 2" xfId="14"/>
    <cellStyle name="_2011年3月份化工三剂需求表（下发）" xfId="15"/>
    <cellStyle name="SAPBEXheaderText 5 2 2 2" xfId="16"/>
    <cellStyle name="20% - 强调文字颜色 3" xfId="17" builtinId="38"/>
    <cellStyle name="_物料_107 2 2" xfId="18"/>
    <cellStyle name="_物料_112 2 2" xfId="19"/>
    <cellStyle name="输入" xfId="20" builtinId="20"/>
    <cellStyle name="_物料平衡表-实际0904-1_物料平衡7月初稿3. 3" xfId="21"/>
    <cellStyle name="SAPBEXstdDataEmph 4 2 2 2" xfId="22"/>
    <cellStyle name="_ET_STYLE_NoName_00__102 3" xfId="23"/>
    <cellStyle name="货币" xfId="24" builtinId="4"/>
    <cellStyle name="好_还原数据090219_各装置物料平衡表填报表090630" xfId="25"/>
    <cellStyle name="_物料_开氏物料表8月 3" xfId="26"/>
    <cellStyle name="_ET_STYLE_NoName_00__114 11" xfId="27"/>
    <cellStyle name="SAPBEXresDataEmph 4 2 3" xfId="28"/>
    <cellStyle name="_BOM_102 3" xfId="29"/>
    <cellStyle name="_ET_STYLE_NoName_00__115_物料平衡2012年5月 2" xfId="30"/>
    <cellStyle name="SAPBEXaggData 6 2 2" xfId="31"/>
    <cellStyle name="千位分隔[0]" xfId="32" builtinId="6"/>
    <cellStyle name="40% - 强调文字颜色 3" xfId="33" builtinId="39"/>
    <cellStyle name="_2011年5月份化工三剂需求表（下发）" xfId="34"/>
    <cellStyle name="_物料_物料平衡7月初稿._物料平衡2012年5月" xfId="35"/>
    <cellStyle name="Input 10 3 2" xfId="36"/>
    <cellStyle name="_BOM_103-105单元物料平衡表09011(上报) 2" xfId="37"/>
    <cellStyle name="差" xfId="38" builtinId="27"/>
    <cellStyle name="_ET_STYLE_NoName_00__开氏物料表7月 2 2" xfId="39"/>
    <cellStyle name="_ET_STYLE_NoName_00__外购原料收拨付平衡表_物料平衡2012年5月" xfId="40"/>
    <cellStyle name="SAPBEXheaderItem 3" xfId="41"/>
    <cellStyle name="千位分隔" xfId="42" builtinId="3"/>
    <cellStyle name="Moneda [0]_laroux" xfId="43"/>
    <cellStyle name="SAPBEXaggDataEmph 3 3" xfId="44"/>
    <cellStyle name="60% - 强调文字颜色 3" xfId="45" builtinId="40"/>
    <cellStyle name="常规_新准则报表-20080703损益类" xfId="46"/>
    <cellStyle name="差_副产蒸汽、凝结水消耗_fangting物料平衡填报表2009.9.30 2" xfId="47"/>
    <cellStyle name="_物料平衡表-实际0904-1_114-115_物料平衡2012年5月" xfId="48"/>
    <cellStyle name="差_还原数据090219_104单元（0910） 2" xfId="49"/>
    <cellStyle name="_Supply&amp;DemandR-GSH" xfId="50"/>
    <cellStyle name="超链接" xfId="51" builtinId="8"/>
    <cellStyle name="_ET_STYLE_NoName_00__101" xfId="52"/>
    <cellStyle name="Input [yellow] 4" xfId="53"/>
    <cellStyle name="_BOM_116各装置物料平衡填报表2011.5" xfId="54"/>
    <cellStyle name="百分比" xfId="55" builtinId="5"/>
    <cellStyle name="SAPBEXstdItem 4 3" xfId="56"/>
    <cellStyle name="已访问的超链接" xfId="57" builtinId="9"/>
    <cellStyle name="entry" xfId="58"/>
    <cellStyle name="注释" xfId="59" builtinId="10"/>
    <cellStyle name="60% - 强调文字颜色 2 3" xfId="60"/>
    <cellStyle name="SAPBEXaggDataEmph 3 2 3" xfId="61"/>
    <cellStyle name="SAPBEXaggDataEmph 3 2" xfId="62"/>
    <cellStyle name="60% - 强调文字颜色 2" xfId="63" builtinId="36"/>
    <cellStyle name="标题 4" xfId="64" builtinId="19"/>
    <cellStyle name="_物料平衡表-实际0904-1_物料平衡2012年5月" xfId="65"/>
    <cellStyle name="_BOM_fangting物料平衡填报表2009.8.31 2 2" xfId="66"/>
    <cellStyle name="_ET_STYLE_NoName_00__103-105单元物料平衡表09011(上报)_物料平衡2012年5月 2" xfId="67"/>
    <cellStyle name="Input 16" xfId="68"/>
    <cellStyle name="input 21" xfId="69"/>
    <cellStyle name="_BOM_0907炼油与开氏主要物料结算量2" xfId="70"/>
    <cellStyle name="_ET_STYLE_NoName_00__物料平衡12月" xfId="71"/>
    <cellStyle name="_物料平衡表-实际0904-1_115_物料平衡2012年5月 2" xfId="72"/>
    <cellStyle name="_BOM_10月统计（111）平衡 2" xfId="73"/>
    <cellStyle name="_BOM_114 5" xfId="74"/>
    <cellStyle name="Calculation 6 2 2 2" xfId="75"/>
    <cellStyle name="警告文本" xfId="76" builtinId="11"/>
    <cellStyle name="Explanatory Text 3" xfId="77"/>
    <cellStyle name="标题" xfId="78" builtinId="15"/>
    <cellStyle name="差_物料主数据模板_1.9_109装置物料平衡填报表2009(1).7.31 2" xfId="79"/>
    <cellStyle name="差_物料_开氏物料表11月初稿 2" xfId="80"/>
    <cellStyle name="SAPBEXexcBad8 3 2" xfId="81"/>
    <cellStyle name="解释性文本" xfId="82" builtinId="53"/>
    <cellStyle name="强调文字颜色 2 13" xfId="83"/>
    <cellStyle name="常规_炼油供开氏产品价格建议表-5月" xfId="84"/>
    <cellStyle name="Total 2 2 3" xfId="85"/>
    <cellStyle name="_物料平衡表-实际0904-1_111_物料平衡2012年5月 2" xfId="86"/>
    <cellStyle name="_物料平衡表-实际0904-1_106_物料平衡2012年5月 2" xfId="87"/>
    <cellStyle name="_BOM_fangting物料平衡填报表2009.8.31" xfId="88"/>
    <cellStyle name="_BOM_113 12" xfId="89"/>
    <cellStyle name="_BOM_108 12" xfId="90"/>
    <cellStyle name="_物料平衡表-实际0904-1" xfId="91"/>
    <cellStyle name="计算 13" xfId="92"/>
    <cellStyle name="_ET_STYLE_NoName_00__芳烃装置_物料平衡2012年5月 2" xfId="93"/>
    <cellStyle name="好_物料平衡表-实际0904-1_0908炼油与开氏主要物料结算量 2" xfId="94"/>
    <cellStyle name="_BOM_114 2" xfId="95"/>
    <cellStyle name="_BOM_109 2" xfId="96"/>
    <cellStyle name="SAPBEXexcBad9 2 3" xfId="97"/>
    <cellStyle name="标题 1" xfId="98" builtinId="16"/>
    <cellStyle name="_联合试运转费测算20090312" xfId="99"/>
    <cellStyle name="Input 13" xfId="100"/>
    <cellStyle name="0,0_x000d__x000a_NA_x000d__x000a_" xfId="101"/>
    <cellStyle name="差 7" xfId="102"/>
    <cellStyle name="_ET_STYLE_NoName_00__外购原料收拨付平衡表 2" xfId="103"/>
    <cellStyle name="_BOM_114 3" xfId="104"/>
    <cellStyle name="_BOM_109 3" xfId="105"/>
    <cellStyle name="标题 2" xfId="106" builtinId="17"/>
    <cellStyle name="_BOM_0908炼油与开氏主要物料结算量_物料平衡2012年5月" xfId="107"/>
    <cellStyle name="SAPBEXexcBad8 3 2 2" xfId="108"/>
    <cellStyle name="Calculation 2 3 2 2 2" xfId="109"/>
    <cellStyle name="60% - 强调文字颜色 1" xfId="110" builtinId="32"/>
    <cellStyle name="_ET_STYLE_NoName_00__外购原料收拨付平衡表 3" xfId="111"/>
    <cellStyle name="_BOM_114 4" xfId="112"/>
    <cellStyle name="标题 3" xfId="113" builtinId="18"/>
    <cellStyle name="SAPBEXexcBad8 3 2 3" xfId="114"/>
    <cellStyle name="_物料_108  2 2" xfId="115"/>
    <cellStyle name="_物料_113  2 2" xfId="116"/>
    <cellStyle name="60% - 强调文字颜色 4" xfId="117" builtinId="44"/>
    <cellStyle name="资产 6" xfId="118"/>
    <cellStyle name="_物料_9月流程图 2" xfId="119"/>
    <cellStyle name="_公用工程平衡-5月" xfId="120"/>
    <cellStyle name="好_还原数据090219_104单元（0910）" xfId="121"/>
    <cellStyle name="_BOM_开氏物料表9月初稿 3" xfId="122"/>
    <cellStyle name="Input 2 7 2 2" xfId="123"/>
    <cellStyle name="差_物料平衡表-实际0904-1_开氏物料表12月初稿" xfId="124"/>
    <cellStyle name="SAPBEXHLevel2X 2 2" xfId="125"/>
    <cellStyle name="输出" xfId="126" builtinId="21"/>
    <cellStyle name="_BOM_物料平衡2011年3月" xfId="127"/>
    <cellStyle name="好_惠炼炼油计划201209月度计划-99+2万吨-20120827（接受TX0.5万吨，尾油2万吨）-内部对接" xfId="128"/>
    <cellStyle name="_运行六部油品盘点表0904" xfId="129"/>
    <cellStyle name="计算" xfId="130" builtinId="22"/>
    <cellStyle name="_物料平衡表-实际0904-1_113  2 2" xfId="131"/>
    <cellStyle name="_物料平衡表-实际0904-1_108  2 2" xfId="132"/>
    <cellStyle name="SAPBEXaggDataEmph 7 3" xfId="133"/>
    <cellStyle name="_BOM_Sheet1 2" xfId="134"/>
    <cellStyle name="SAPBEXresItemX 3 3 2" xfId="135"/>
    <cellStyle name="检查单元格" xfId="136" builtinId="23"/>
    <cellStyle name="_物料_原油计量途耗报表汇总8月_物料平衡2012年5月 2" xfId="137"/>
    <cellStyle name="SAPBEXexcBad7 5 3 2" xfId="138"/>
    <cellStyle name="20% - 强调文字颜色 6" xfId="139" builtinId="50"/>
    <cellStyle name="差_103-105单元物料平衡表09011(上报) 2" xfId="140"/>
    <cellStyle name="强调文字颜色 2" xfId="141" builtinId="33"/>
    <cellStyle name="_数据转换工具升级版本_20080806_数据收集模版V2.11_2009更新版_20100629中海开氏201006" xfId="142"/>
    <cellStyle name="Calculation 2 7 3" xfId="143"/>
    <cellStyle name="链接单元格" xfId="144" builtinId="24"/>
    <cellStyle name="标题 2 11" xfId="145"/>
    <cellStyle name="_ET_STYLE_NoName_00__物料平衡3月 2 2" xfId="146"/>
    <cellStyle name="SAPBEXexcBad8 4 2 3" xfId="147"/>
    <cellStyle name="汇总" xfId="148" builtinId="25"/>
    <cellStyle name="好" xfId="149" builtinId="26"/>
    <cellStyle name="好_惠炼炼油计划201207月度计划-103万吨-20120626" xfId="150"/>
    <cellStyle name="_物料平衡表-实际0904-1_103-105单元物料平衡表09011(上报) 2" xfId="151"/>
    <cellStyle name="_ET_STYLE_NoName_00__开氏物料表7月 3" xfId="152"/>
    <cellStyle name="适中" xfId="153" builtinId="28"/>
    <cellStyle name="好_还原数据090219_基础计算表" xfId="154"/>
    <cellStyle name="40% - 强调文字颜色 6 15" xfId="155"/>
    <cellStyle name="20% - 强调文字颜色 5 14" xfId="156"/>
    <cellStyle name="_BOM_115 2 2" xfId="157"/>
    <cellStyle name="Total 8 3" xfId="158"/>
    <cellStyle name="_2012年月度计划手册（分月详细）HSE" xfId="159"/>
    <cellStyle name="20% - 强调文字颜色 3 3" xfId="160"/>
    <cellStyle name="20% - Accent3 2" xfId="161"/>
    <cellStyle name="_物料_~3993097 2 2" xfId="162"/>
    <cellStyle name="20% - 强调文字颜色 5" xfId="163" builtinId="46"/>
    <cellStyle name="好_惠炼BOM（20081219）_开氏物料表11月初稿 2" xfId="164"/>
    <cellStyle name="_物料_fangting物料平衡填报表2009.8.31_物料平衡2012年5月" xfId="165"/>
    <cellStyle name="Total 4 2 2 2" xfId="166"/>
    <cellStyle name="_BOM_物料平衡测算 2" xfId="167"/>
    <cellStyle name="强调文字颜色 1" xfId="168" builtinId="29"/>
    <cellStyle name="_ET_STYLE_NoName_00__Book1 2 2" xfId="169"/>
    <cellStyle name="Total 5 2 3" xfId="170"/>
    <cellStyle name="Calculation 4 3" xfId="171"/>
    <cellStyle name="_BOM_113 9" xfId="172"/>
    <cellStyle name="_BOM_111_物料平衡2012年5月" xfId="173"/>
    <cellStyle name="_BOM_108 9" xfId="174"/>
    <cellStyle name="_BOM_106_物料平衡2012年5月" xfId="175"/>
    <cellStyle name="_2005年总公司生产建设计划-VI-总公司本部" xfId="176"/>
    <cellStyle name="20% - 强调文字颜色 1" xfId="177" builtinId="30"/>
    <cellStyle name="_物料平衡表-实际0904-1_物料平衡7月初稿3._物料平衡2012年5月" xfId="178"/>
    <cellStyle name="_ET_STYLE_NoName_00__102_物料平衡2012年5月" xfId="179"/>
    <cellStyle name="SAPBEXresItem 2 2 2 2" xfId="180"/>
    <cellStyle name="40% - 强调文字颜色 1" xfId="181" builtinId="31"/>
    <cellStyle name="SAPBEXfilterDrill 2 2" xfId="182"/>
    <cellStyle name="_PP主数据" xfId="183"/>
    <cellStyle name="SAPBEXaggItem 5 2 2 2" xfId="184"/>
    <cellStyle name="_物料_0907炼油与开氏主要物料结算量2_物料平衡2012年5月 2" xfId="185"/>
    <cellStyle name="_ET_STYLE_NoName_00__114 _物料平衡2012年5月" xfId="186"/>
    <cellStyle name="Output Line Items" xfId="187"/>
    <cellStyle name="SAPBEXexcGood3 5 3" xfId="188"/>
    <cellStyle name="_BOM_物料平衡2011年3月 2" xfId="189"/>
    <cellStyle name="20% - 强调文字颜色 2" xfId="190" builtinId="34"/>
    <cellStyle name="40% - 强调文字颜色 2" xfId="191" builtinId="35"/>
    <cellStyle name="SAPBEXfilterDrill 2 3" xfId="192"/>
    <cellStyle name="差_物料主数据模板_1.9_110" xfId="193"/>
    <cellStyle name="强调文字颜色 3" xfId="194" builtinId="37"/>
    <cellStyle name="差_物料主数据模板_1.9_111" xfId="195"/>
    <cellStyle name="差_物料主数据模板_1.9_106" xfId="196"/>
    <cellStyle name="强调文字颜色 4" xfId="197" builtinId="41"/>
    <cellStyle name="差_还原数据090219_开氏物料表11月初稿" xfId="198"/>
    <cellStyle name="_BOM_111 2" xfId="199"/>
    <cellStyle name="_BOM_106 2" xfId="200"/>
    <cellStyle name="_ET_STYLE_NoName_00__116各装置物料平衡填报表2011.5_物料平衡2012年5月" xfId="201"/>
    <cellStyle name="SAPBEXaggItem" xfId="202"/>
    <cellStyle name="SAPBEXexcCritical6 7 2" xfId="203"/>
    <cellStyle name="_2012年6月份月度计划手册－设备中心" xfId="204"/>
    <cellStyle name="_BOM_物料平衡2011年6月_物料平衡2012年5月 2" xfId="205"/>
    <cellStyle name="20% - 强调文字颜色 4" xfId="206" builtinId="42"/>
    <cellStyle name="40% - 强调文字颜色 4" xfId="207" builtinId="43"/>
    <cellStyle name="差_物料主数据模板_1.9_112" xfId="208"/>
    <cellStyle name="强调文字颜色 5" xfId="209" builtinId="45"/>
    <cellStyle name="_BOM_111 3" xfId="210"/>
    <cellStyle name="_BOM_106 3" xfId="211"/>
    <cellStyle name="SAPBEXchaText 2" xfId="212"/>
    <cellStyle name="Note 2 8" xfId="213"/>
    <cellStyle name="_ET_STYLE_NoName_00__110 2 2" xfId="214"/>
    <cellStyle name="_BOM_物料平衡7月初稿3. 2" xfId="215"/>
    <cellStyle name="SAPBEXaggItem 2 3 2" xfId="216"/>
    <cellStyle name="F2" xfId="217"/>
    <cellStyle name="差_物料主数据模板_1.9_汇总" xfId="218"/>
    <cellStyle name="40% - 强调文字颜色 5" xfId="219" builtinId="47"/>
    <cellStyle name="SAPBEXstdItem 2 3 2" xfId="220"/>
    <cellStyle name="_BOM_开氏物料表1月初稿 2" xfId="221"/>
    <cellStyle name="SAPBEXexcCritical5 4 3 2" xfId="222"/>
    <cellStyle name="差_物料平衡表-实际0904-1_开氏物料表8月 2" xfId="223"/>
    <cellStyle name="_BOM_psa" xfId="224"/>
    <cellStyle name="SAPBEXHLevel3X 2 2 2" xfId="225"/>
    <cellStyle name="Input 4" xfId="226"/>
    <cellStyle name="60% - 强调文字颜色 5" xfId="227" builtinId="48"/>
    <cellStyle name="SAPBEXHLevel3 3 3 2" xfId="228"/>
    <cellStyle name="资产 7" xfId="229"/>
    <cellStyle name="_物料_9月流程图 3" xfId="230"/>
    <cellStyle name="差_mock生产订单收发货（导入版）_5 月份物料平衡（107单元） 2" xfId="231"/>
    <cellStyle name="差_物料主数据模板_1.9_113" xfId="232"/>
    <cellStyle name="强调文字颜色 6" xfId="233" builtinId="49"/>
    <cellStyle name="SAPBEXchaText 3" xfId="234"/>
    <cellStyle name="_mock生产订单收发货（导入版）_110单元" xfId="235"/>
    <cellStyle name="_BOM_物料平衡7月初稿3._物料平衡2012年5月" xfId="236"/>
    <cellStyle name="F3" xfId="237"/>
    <cellStyle name="40% - 强调文字颜色 6" xfId="238" builtinId="51"/>
    <cellStyle name="_BOM_开氏物料表1月初稿 3" xfId="239"/>
    <cellStyle name="Heading 3 2" xfId="240"/>
    <cellStyle name="_BOM_物料平衡7月初稿3. 3" xfId="241"/>
    <cellStyle name="60% - 强调文字颜色 6" xfId="242" builtinId="52"/>
    <cellStyle name="差_还原数据090219_110" xfId="243"/>
    <cellStyle name="_0904底稿" xfId="244"/>
    <cellStyle name="_BOM_10月统计（111）平衡 3" xfId="245"/>
    <cellStyle name="_BOM_114 6" xfId="246"/>
    <cellStyle name="Input 17" xfId="247"/>
    <cellStyle name="_0904底稿_物料平衡2011年3月" xfId="248"/>
    <cellStyle name="input 22" xfId="249"/>
    <cellStyle name="_ET_STYLE_NoName_00_" xfId="250"/>
    <cellStyle name=" 3]_x000d__x000a_Zoomed=1_x000d__x000a_Row=0_x000d__x000a_Column=0_x000d__x000a_Height=300_x000d__x000a_Width=300_x000d__x000a_FontName=細明體_x000d__x000a_FontStyle=0_x000d__x000a_FontSize=9_x000d__x000a_PrtFontName=Co" xfId="251"/>
    <cellStyle name="输入 12" xfId="252"/>
    <cellStyle name="差_mock生产订单收发货（导入版）_物料平衡7月初稿3. 2" xfId="253"/>
    <cellStyle name="_物料_114 9" xfId="254"/>
    <cellStyle name="SAPBEXresItem 7" xfId="255"/>
    <cellStyle name="_BOM_0907炼油与开氏主要物料结算量2 2 2" xfId="256"/>
    <cellStyle name="Input 16 2 2" xfId="257"/>
    <cellStyle name="好_mock生产订单收发货（导入版）_101" xfId="258"/>
    <cellStyle name="20% - 强调文字颜色 4 7" xfId="259"/>
    <cellStyle name="好_还原数据090219_开氏物料表8月 2" xfId="260"/>
    <cellStyle name="_113" xfId="261"/>
    <cellStyle name="_物料平衡表-实际0904-1_fangting物料平衡填报表2009.9.30_物料平衡2012年5月" xfId="262"/>
    <cellStyle name=" 3]_x000d__x000a_Zoomed=1_x000d__x000a_Row=0_x000d__x000a_Column=0_x000d__x000a_Height=300_x000d__x000a_Width=300_x000d__x000a_FontName=細明體_x000d__x000a_FontStyle=0_x000d__x000a_FontSize=9_x000d__x000a_PrtFontName=Co 2" xfId="263"/>
    <cellStyle name="_ET_STYLE_NoName_00_ 2" xfId="264"/>
    <cellStyle name="_物料_101 3" xfId="265"/>
    <cellStyle name="SAPBEXaggData 3 2 2 2" xfId="266"/>
    <cellStyle name="SAPBEXexcGood3 2" xfId="267"/>
    <cellStyle name="差_还原数据090219_10月统计（111）平衡 2" xfId="268"/>
    <cellStyle name="_0904底稿_110" xfId="269"/>
    <cellStyle name="_0904底稿_生产经营周报2010.7.9" xfId="270"/>
    <cellStyle name="SAPBEXexcBad9 4 2" xfId="271"/>
    <cellStyle name="警告文本 15" xfId="272"/>
    <cellStyle name="Heading1" xfId="273"/>
    <cellStyle name="60% - 强调文字颜色 1 12" xfId="274"/>
    <cellStyle name="_09年预算惠州炼油(上报)081223" xfId="275"/>
    <cellStyle name="_liucheng" xfId="276"/>
    <cellStyle name="_公司2012年02月份化工三剂需求计划" xfId="277"/>
    <cellStyle name="_BOM_原油计量途耗报表汇总8月" xfId="278"/>
    <cellStyle name="_10月份化工三剂需求表（下发）" xfId="279"/>
    <cellStyle name="_ET_STYLE_NoName_00__开氏物料表12月初稿 2 2" xfId="280"/>
    <cellStyle name="_物料_原油计量途耗报表汇总7月_物料平衡2012年5月 2" xfId="281"/>
    <cellStyle name="??" xfId="282"/>
    <cellStyle name="_201103流程" xfId="283"/>
    <cellStyle name="_BOM_原油计量途耗报表汇总9月 3" xfId="284"/>
    <cellStyle name="_物料平衡表-实际0904-1_113  2" xfId="285"/>
    <cellStyle name="_物料平衡表-实际0904-1_108  2" xfId="286"/>
    <cellStyle name="_BOM_Sheet1" xfId="287"/>
    <cellStyle name="SAPBEXresItemX 3 3" xfId="288"/>
    <cellStyle name="_物料_114-115 2" xfId="289"/>
    <cellStyle name="_物料_原油计量途耗报表汇总7月 3" xfId="290"/>
    <cellStyle name="_BOM_物料平衡8月初稿. 2 2" xfId="291"/>
    <cellStyle name="?痃%S&amp;F?_x0008_?o_x0006__x0007__x0001__x0001_" xfId="292"/>
    <cellStyle name="_物料平衡表-实际0904-1_芳烃装置 2 2" xfId="293"/>
    <cellStyle name="_ET_STYLE_NoName_00__~4907560 2" xfId="294"/>
    <cellStyle name="_BOM_~4907560" xfId="295"/>
    <cellStyle name="_~8460860" xfId="296"/>
    <cellStyle name="_09-03" xfId="297"/>
    <cellStyle name="20% - 强调文字颜色 5 15" xfId="298"/>
    <cellStyle name="_物料_开氏物料表9月初稿 2" xfId="299"/>
    <cellStyle name="_BOM_107装置物料平衡填报表2009(1).7.31_物料平衡2012年5月" xfId="300"/>
    <cellStyle name="60% - 强调文字颜色 1 2" xfId="301"/>
    <cellStyle name="_BOM_物料平衡2012年01月" xfId="302"/>
    <cellStyle name="SAPBEXchaText 5 2 2" xfId="303"/>
    <cellStyle name="_0904底稿_110单元" xfId="304"/>
    <cellStyle name="_BOM_物料平衡8月初稿._物料平衡2012年5月" xfId="305"/>
    <cellStyle name="_11月份化工三剂需求表（下发）" xfId="306"/>
    <cellStyle name="Note 2 3 2 2" xfId="307"/>
    <cellStyle name="Total 3 2 3" xfId="308"/>
    <cellStyle name="_ET_STYLE_NoName_00__103-105单元物料平衡表09010(上报) 3" xfId="309"/>
    <cellStyle name="_12月份化工三剂需求表（下发）" xfId="310"/>
    <cellStyle name="标题 2 7" xfId="311"/>
    <cellStyle name="好_还原数据090219_113 2" xfId="312"/>
    <cellStyle name="SAPBEXformats 4 2 3" xfId="313"/>
    <cellStyle name="_BOM_201011 3" xfId="314"/>
    <cellStyle name="输入 4" xfId="315"/>
    <cellStyle name="Preisliste" xfId="316"/>
    <cellStyle name="SAPBEXexcGood2 4 2" xfId="317"/>
    <cellStyle name="_ET_STYLE_NoName_00__物料平衡3月_物料平衡2012年5月 2" xfId="318"/>
    <cellStyle name="_ET_STYLE_NoName_00__114 8" xfId="319"/>
    <cellStyle name="SAPBEXaggItem 7" xfId="320"/>
    <cellStyle name="SAPBEXfilterDrill 5 3" xfId="321"/>
    <cellStyle name="_物料_外购原料收拨付平衡表_物料平衡2012年5月" xfId="322"/>
    <cellStyle name="_2005年海油总财327号附件2(3)：" xfId="323"/>
    <cellStyle name="_3-9" xfId="324"/>
    <cellStyle name="_物料_Book3 2" xfId="325"/>
    <cellStyle name="SAPBEXstdItem 7" xfId="326"/>
    <cellStyle name="好_物料_开氏物料表11月初稿" xfId="327"/>
    <cellStyle name="SAPBEXexcCritical6" xfId="328"/>
    <cellStyle name="_BOM_112（112单元） 3" xfId="329"/>
    <cellStyle name="_物料_114 6" xfId="330"/>
    <cellStyle name="SAPBEXexcCritical5 9" xfId="331"/>
    <cellStyle name="SAPBEXresItem 4" xfId="332"/>
    <cellStyle name="_BOM_物料平衡8月初稿." xfId="333"/>
    <cellStyle name="_2006年总公司生产建设计划-IV-1-基地集团" xfId="334"/>
    <cellStyle name="_200903-4月BOM(ERP导入)20090429" xfId="335"/>
    <cellStyle name="111" xfId="336"/>
    <cellStyle name="_BOM_fangting物料平衡填报表2009.9.30" xfId="337"/>
    <cellStyle name="好_物料平衡表-实际0904-1_111" xfId="338"/>
    <cellStyle name="_BOM_103-105单元物料平衡表09011(上报) 3" xfId="339"/>
    <cellStyle name="_BOM_108单元物料平衡表" xfId="340"/>
    <cellStyle name="SAPBEXexcGood3 3 2" xfId="341"/>
    <cellStyle name="好_惠炼BOM（20081219）_各装置物料平衡表填报表090630" xfId="342"/>
    <cellStyle name="_200903-4月BOM(ERP导入)20090429_110" xfId="343"/>
    <cellStyle name="SAPBEXHLevel3 5 3 2" xfId="344"/>
    <cellStyle name="_200903-4月BOM(ERP导入)20090429_110单元" xfId="345"/>
    <cellStyle name="_200903-4月BOM(ERP导入)20090429_生产经营周报2010.7.9" xfId="346"/>
    <cellStyle name="好_mock生产订单收发货（导入版）_108单元物料平衡表 2" xfId="347"/>
    <cellStyle name="_200903-4月BOM(ERP导入)20090429_物料平衡2011年3月" xfId="348"/>
    <cellStyle name="SAPBEXaggItem 6 2 2" xfId="349"/>
    <cellStyle name="SAPBEXfilterDrill 5 2 2 2" xfId="350"/>
    <cellStyle name="好_物料平衡表-实际0904-1_开氏物料表8月 2" xfId="351"/>
    <cellStyle name="_ET_STYLE_NoName_00__101_物料平衡2012年5月" xfId="352"/>
    <cellStyle name="_BOM_116各装置物料平衡填报表2011.5_物料平衡2012年5月" xfId="353"/>
    <cellStyle name="差_副产蒸汽、凝结水消耗_开氏物料表1月初稿 2" xfId="354"/>
    <cellStyle name="_物料平衡表-实际0904-1_原油计量途耗报表汇总8月_物料平衡2012年5月" xfId="355"/>
    <cellStyle name="_ET_STYLE_NoName_00__物料平衡7月终稿. 2 2" xfId="356"/>
    <cellStyle name="_物料_112（112单元）_物料平衡2012年5月" xfId="357"/>
    <cellStyle name="Percent [0.00%]" xfId="358"/>
    <cellStyle name="_201011_物料平衡2011年3月" xfId="359"/>
    <cellStyle name="_201104流程" xfId="360"/>
    <cellStyle name="_2011年4月份化工三剂需求表（下发）" xfId="361"/>
    <cellStyle name="_ET_STYLE_NoName_00__102" xfId="362"/>
    <cellStyle name="Input [yellow] 5" xfId="363"/>
    <cellStyle name="_物料平衡表-实际0904-1_物料平衡7月初稿3." xfId="364"/>
    <cellStyle name="_2011年6月份化工三剂需求表（下发）" xfId="365"/>
    <cellStyle name="_物料平衡表-实际0904-1_物料平衡7月初稿3. 2" xfId="366"/>
    <cellStyle name="_ET_STYLE_NoName_00__102 2" xfId="367"/>
    <cellStyle name="_物料_物料平衡7月初稿._物料平衡2012年5月 2" xfId="368"/>
    <cellStyle name="_2011年7月份化工三剂需求表--技术中心" xfId="369"/>
    <cellStyle name="差 2" xfId="370"/>
    <cellStyle name="输出 13" xfId="371"/>
    <cellStyle name="差_物料_0907炼油与开氏主要物料结算量2" xfId="372"/>
    <cellStyle name="_BOM_各装置物料平衡表填报表090630 2" xfId="373"/>
    <cellStyle name="Comma  - Style2" xfId="374"/>
    <cellStyle name="_BOM_物料平衡9月初稿." xfId="375"/>
    <cellStyle name="_BOM_114  3" xfId="376"/>
    <cellStyle name="_物料_~4907560" xfId="377"/>
    <cellStyle name="40% - 强调文字颜色 2 8" xfId="378"/>
    <cellStyle name="_物料平衡表-实际0904-1_103-105_物料平衡2012年5月" xfId="379"/>
    <cellStyle name="_201204生产计划" xfId="380"/>
    <cellStyle name="_ET_STYLE_NoName_00__103-105单元物料平衡表09011(上报) 2" xfId="381"/>
    <cellStyle name="Input 17 2 2" xfId="382"/>
    <cellStyle name="差_mock生产订单收发货（导入版）" xfId="383"/>
    <cellStyle name="_2012年6月计划及预计" xfId="384"/>
    <cellStyle name="_BOM_物料平衡2011年3月_物料平衡2012年5月 2" xfId="385"/>
    <cellStyle name="_物料_开氏物料表7月 2" xfId="386"/>
    <cellStyle name="_物料_108 5" xfId="387"/>
    <cellStyle name="_物料_113 5" xfId="388"/>
    <cellStyle name="SAPBEXexcCritical4 8" xfId="389"/>
    <cellStyle name="_2012年7月份月度计划手册－设备中心" xfId="390"/>
    <cellStyle name="_ET_STYLE_NoName_00__108 7" xfId="391"/>
    <cellStyle name="_ET_STYLE_NoName_00__113 7" xfId="392"/>
    <cellStyle name="SAPBEXfilterDrill 4 2" xfId="393"/>
    <cellStyle name="Output 5" xfId="394"/>
    <cellStyle name="好_物料主数据模板_1.9_109装置物料平衡填报表2009(1).7.31 2" xfId="395"/>
    <cellStyle name="_物料平衡表-实际0904-1_开氏物料表11月初稿" xfId="396"/>
    <cellStyle name="_BOM_114-115" xfId="397"/>
    <cellStyle name="_3-5月份计划（预算）" xfId="398"/>
    <cellStyle name="好_物料主数据模板_1.9_103-105单元物料平衡表09010(上报) 2" xfId="399"/>
    <cellStyle name="差_物料主数据模板_1.9_101 2" xfId="400"/>
    <cellStyle name="_BOM_开氏物料表9月初稿" xfId="401"/>
    <cellStyle name="_3-5月开工核算(六部)" xfId="402"/>
    <cellStyle name="_物料_115 2" xfId="403"/>
    <cellStyle name="SAPBEXchaText 2 3" xfId="404"/>
    <cellStyle name="SAPBEXexcCritical6 5" xfId="405"/>
    <cellStyle name="强调文字颜色 5 3" xfId="406"/>
    <cellStyle name="_物料平衡表-实际0904-1_物料平衡7月初稿._物料平衡2012年5月" xfId="407"/>
    <cellStyle name="_BOM_psa_物料平衡2012年5月 2" xfId="408"/>
    <cellStyle name="_BOM" xfId="409"/>
    <cellStyle name="_BOM 2" xfId="410"/>
    <cellStyle name="_BOM_110装置物料平衡表填报表1 3" xfId="411"/>
    <cellStyle name="_BOM_~3993097" xfId="412"/>
    <cellStyle name="SAPBEXHLevel2X 3 2" xfId="413"/>
    <cellStyle name="Output 10" xfId="414"/>
    <cellStyle name="SAPBEXexcGood1 5 2 2" xfId="415"/>
    <cellStyle name="_BOM_~3993097 2" xfId="416"/>
    <cellStyle name="SAPBEXHLevel2X 3 2 2" xfId="417"/>
    <cellStyle name="SAPBEXexcGood1 5 2 2 2" xfId="418"/>
    <cellStyle name="_BOM_fangting物料平衡填报表2009.8.31_物料平衡2012年5月" xfId="419"/>
    <cellStyle name="_BOM_~3993097 2 2" xfId="420"/>
    <cellStyle name="_ET_STYLE_NoName_00__116各装置物料平衡填报表2011.5" xfId="421"/>
    <cellStyle name="SAPBEXHLevel2X 3 2 2 2" xfId="422"/>
    <cellStyle name="_物料平衡表-实际0904-1_物料平衡8月初稿. 2" xfId="423"/>
    <cellStyle name="_ET_STYLE_NoName_00__~3993097_物料平衡2012年5月 2" xfId="424"/>
    <cellStyle name="SAPBEXaggItemX 4 2 2" xfId="425"/>
    <cellStyle name="_BOM_~3993097 3" xfId="426"/>
    <cellStyle name="SAPBEXHLevel2X 3 2 3" xfId="427"/>
    <cellStyle name="_BOM_113 2 2" xfId="428"/>
    <cellStyle name="_BOM_108 2 2" xfId="429"/>
    <cellStyle name="_BOM_~3993097_物料平衡2012年5月" xfId="430"/>
    <cellStyle name="SAPBEXHLevel2X" xfId="431"/>
    <cellStyle name="差_还原数据090219 2" xfId="432"/>
    <cellStyle name="20% - 强调文字颜色 2 4" xfId="433"/>
    <cellStyle name="20% - Accent2 3" xfId="434"/>
    <cellStyle name="_BOM_~3993097_物料平衡2012年5月 2" xfId="435"/>
    <cellStyle name="SAPBEXHLevel2X 2" xfId="436"/>
    <cellStyle name="_ET_STYLE_NoName_00__~4907560 2 2" xfId="437"/>
    <cellStyle name="SAPBEXresData 5 3" xfId="438"/>
    <cellStyle name="差_副产蒸汽、凝结水消耗_开氏物料表7月" xfId="439"/>
    <cellStyle name="强调文字颜色 5 10" xfId="440"/>
    <cellStyle name="_BOM_~4907560 2" xfId="441"/>
    <cellStyle name="强调文字颜色 5 11" xfId="442"/>
    <cellStyle name="_BOM_~4907560 3" xfId="443"/>
    <cellStyle name="SAPBEXexcBad8 4 2 2 2" xfId="444"/>
    <cellStyle name="_物料_原油计量途耗报表汇总7月_物料平衡2012年5月" xfId="445"/>
    <cellStyle name="_BOM_10月统计（111）平衡 2 2" xfId="446"/>
    <cellStyle name="_物料_物料平衡7月初稿3. 3" xfId="447"/>
    <cellStyle name="_BOM_0907炼油与开氏主要物料结算量2 2" xfId="448"/>
    <cellStyle name="Input 16 2" xfId="449"/>
    <cellStyle name="_ET_STYLE_NoName_00__114  2" xfId="450"/>
    <cellStyle name="_BOM_112（112单元）_物料平衡2012年5月 2" xfId="451"/>
    <cellStyle name="_物料平衡表-实际0904-1_物料平衡2011年6月_物料平衡2012年5月" xfId="452"/>
    <cellStyle name="SAPBEXHLevel3 6 2" xfId="453"/>
    <cellStyle name="标题 4 3" xfId="454"/>
    <cellStyle name="_ET_STYLE_NoName_00__108_物料平衡2012年5月" xfId="455"/>
    <cellStyle name="_ET_STYLE_NoName_00__113_物料平衡2012年5月" xfId="456"/>
    <cellStyle name="_BOM_0907炼油与开氏主要物料结算量2 3" xfId="457"/>
    <cellStyle name="_物料_原油计量途耗报表汇总9月_物料平衡2012年5月" xfId="458"/>
    <cellStyle name="40% - Accent3 3" xfId="459"/>
    <cellStyle name="_物料_fangting物料平衡填报表2009.9.30 3" xfId="460"/>
    <cellStyle name="_BOM_0907炼油与开氏主要物料结算量2_物料平衡2012年5月" xfId="461"/>
    <cellStyle name="Input 15 2 2 2" xfId="462"/>
    <cellStyle name="_物料平衡表-实际0904-1_112（112单元） 2 2" xfId="463"/>
    <cellStyle name="_ET_STYLE_NoName_00__103-105 3" xfId="464"/>
    <cellStyle name="_物料_物料平衡2011年3月_物料平衡2012年5月" xfId="465"/>
    <cellStyle name="_BOM_0907炼油与开氏主要物料结算量2_物料平衡2012年5月 2" xfId="466"/>
    <cellStyle name="_BOM_0908炼油与开氏主要物料结算量" xfId="467"/>
    <cellStyle name="_BOM_物料平衡3月_物料平衡2012年5月 2" xfId="468"/>
    <cellStyle name="_BOM_9月流程图_物料平衡2012年5月" xfId="469"/>
    <cellStyle name="SAPBEXHLevel3 4 2 2" xfId="470"/>
    <cellStyle name="Calculation 6 3" xfId="471"/>
    <cellStyle name="_BOM_9月流程图_物料平衡2012年5月 2" xfId="472"/>
    <cellStyle name="SAPBEXHLevel3 4 2 2 2" xfId="473"/>
    <cellStyle name="_BOM_0908炼油与开氏主要物料结算量 2" xfId="474"/>
    <cellStyle name="SAPBEXaggData 8" xfId="475"/>
    <cellStyle name="_BOM_103-105单元物料平衡表09010(上报) 3" xfId="476"/>
    <cellStyle name="SAPBEXHLevel1 3 3" xfId="477"/>
    <cellStyle name="SAPBEXresData 5 2" xfId="478"/>
    <cellStyle name="Calculation 6 3 2" xfId="479"/>
    <cellStyle name="_BOM_0908炼油与开氏主要物料结算量 2 2" xfId="480"/>
    <cellStyle name="SAPBEXaggData 8 2" xfId="481"/>
    <cellStyle name="好_物料主数据模板_1.9_103-105单元物料平衡表09011(上报)" xfId="482"/>
    <cellStyle name="_物料_~3993097_物料平衡2012年5月" xfId="483"/>
    <cellStyle name="SAPBEXstdData 9" xfId="484"/>
    <cellStyle name="_ET_STYLE_NoName_00__101_物料平衡2012年5月 2" xfId="485"/>
    <cellStyle name="SAPBEXresData 6" xfId="486"/>
    <cellStyle name="_BOM_116各装置物料平衡填报表2011.5_物料平衡2012年5月 2" xfId="487"/>
    <cellStyle name="_BOM_0908炼油与开氏主要物料结算量 3" xfId="488"/>
    <cellStyle name="SAPBEXaggData 9" xfId="489"/>
    <cellStyle name="标题 2 2" xfId="490"/>
    <cellStyle name="_BOM_0908炼油与开氏主要物料结算量_物料平衡2012年5月 2" xfId="491"/>
    <cellStyle name="SAPBEXexcBad8 3 2 2 2" xfId="492"/>
    <cellStyle name="_BOM_101" xfId="493"/>
    <cellStyle name="SAPBEXaggItem 7 2" xfId="494"/>
    <cellStyle name="SAPBEXfilterDrill 5 3 2" xfId="495"/>
    <cellStyle name="_物料_外购原料收拨付平衡表_物料平衡2012年5月 2" xfId="496"/>
    <cellStyle name="好_副产蒸汽、凝结水消耗_开氏物料表1月初稿" xfId="497"/>
    <cellStyle name="_BOM_101 2" xfId="498"/>
    <cellStyle name="SAPBEXaggItem 7 2 2" xfId="499"/>
    <cellStyle name="_ET_STYLE_NoName_00__psa" xfId="500"/>
    <cellStyle name="60% - 强调文字颜色 1 8" xfId="501"/>
    <cellStyle name="_BOM_周报2009.7.10修改周计划" xfId="502"/>
    <cellStyle name="SAPBEXresItem 4 2 2 2" xfId="503"/>
    <cellStyle name="好_副产蒸汽、凝结水消耗_开氏物料表1月初稿 2" xfId="504"/>
    <cellStyle name="60% - 强调文字颜色 3 11" xfId="505"/>
    <cellStyle name="40% - 强调文字颜色 2 10" xfId="506"/>
    <cellStyle name="_BOM_101 2 2" xfId="507"/>
    <cellStyle name="_物料平衡表-实际0904-1_原油计量途耗报表汇总8月" xfId="508"/>
    <cellStyle name="_物料_112（112单元）" xfId="509"/>
    <cellStyle name="SAPBEXstdItemX 6 2" xfId="510"/>
    <cellStyle name="烹拳 [0]_97MBO" xfId="511"/>
    <cellStyle name="Calculation 2 2 2 2 2" xfId="512"/>
    <cellStyle name="SAPBEXundefined 8" xfId="513"/>
    <cellStyle name="_BOM_101 3" xfId="514"/>
    <cellStyle name="_BOM_201011" xfId="515"/>
    <cellStyle name="解释性文本 11" xfId="516"/>
    <cellStyle name="_BOM_101_物料平衡2012年5月" xfId="517"/>
    <cellStyle name="Calculation 2 6 2" xfId="518"/>
    <cellStyle name="_BOM_112（112单元）" xfId="519"/>
    <cellStyle name="_ET_STYLE_NoName_00__114 7" xfId="520"/>
    <cellStyle name="_ET_STYLE_NoName_00__开氏物料表9月初稿_物料平衡2012年5月" xfId="521"/>
    <cellStyle name="SAPBEXaggItem 6" xfId="522"/>
    <cellStyle name="SAPBEXfilterDrill 5 2" xfId="523"/>
    <cellStyle name="好_物料主数据模板_1.9_周报2009.9.18" xfId="524"/>
    <cellStyle name="_BOM_201011 2" xfId="525"/>
    <cellStyle name="_BOM_112（112单元） 2" xfId="526"/>
    <cellStyle name="_物料_114 5" xfId="527"/>
    <cellStyle name="SAPBEXexcCritical5 8" xfId="528"/>
    <cellStyle name="SAPBEXresItem 3" xfId="529"/>
    <cellStyle name="强调文字颜色 4 6" xfId="530"/>
    <cellStyle name="差_惠炼BOM（20081219）_开氏物料表8月" xfId="531"/>
    <cellStyle name="_物料_0907炼油与开氏主要物料结算量2" xfId="532"/>
    <cellStyle name="Calculation 2 6 2 2" xfId="533"/>
    <cellStyle name="title 9" xfId="534"/>
    <cellStyle name="_BOM_101_物料平衡2012年5月 2" xfId="535"/>
    <cellStyle name="SAPBEXheaderText 2" xfId="536"/>
    <cellStyle name="_物料平衡表-实际0904-1_原油计量途耗报表汇总7月_物料平衡2012年5月" xfId="537"/>
    <cellStyle name="_物料平衡表-实际0904-1_112 2 2" xfId="538"/>
    <cellStyle name="_物料平衡表-实际0904-1_107 2 2" xfId="539"/>
    <cellStyle name="_ET_STYLE_NoName_00__115 2" xfId="540"/>
    <cellStyle name="SAPBEXexcGood2 4 2 3" xfId="541"/>
    <cellStyle name="SAPBEXresDataEmph 4 2" xfId="542"/>
    <cellStyle name="_BOM_102" xfId="543"/>
    <cellStyle name="SAPBEXaggItem 7 3" xfId="544"/>
    <cellStyle name="SAPBEXheaderText 2 2" xfId="545"/>
    <cellStyle name="_物料平衡表-实际0904-1_原油计量途耗报表汇总7月_物料平衡2012年5月 2" xfId="546"/>
    <cellStyle name="_ET_STYLE_NoName_00__115 2 2" xfId="547"/>
    <cellStyle name="_ET_STYLE_NoName_00__114 10" xfId="548"/>
    <cellStyle name="SAPBEXresDataEmph 4 2 2" xfId="549"/>
    <cellStyle name="_BOM_102 2" xfId="550"/>
    <cellStyle name="好_2013年5月生产计划-104.5万吨-尾油2.1万吨-20130426" xfId="551"/>
    <cellStyle name="SAPBEXresDataEmph 4 2 2 2" xfId="552"/>
    <cellStyle name="_BOM_102 2 2" xfId="553"/>
    <cellStyle name="SAPBEXexcBad7 7 3" xfId="554"/>
    <cellStyle name="Hipervínculo_analitica10" xfId="555"/>
    <cellStyle name="_ET_STYLE_NoName_00__物料平衡2012年01月" xfId="556"/>
    <cellStyle name="Total 2 5 3" xfId="557"/>
    <cellStyle name="_物料_物料平衡2011年3月_物料平衡2012年5月 2" xfId="558"/>
    <cellStyle name="_BOM_汇总" xfId="559"/>
    <cellStyle name="_BOM_102_物料平衡2012年5月" xfId="560"/>
    <cellStyle name="_物料_108 7" xfId="561"/>
    <cellStyle name="_物料_113 7" xfId="562"/>
    <cellStyle name="强调文字颜色 3 8" xfId="563"/>
    <cellStyle name="_BOM_汇总 2" xfId="564"/>
    <cellStyle name="_ET_STYLE_NoName_00__物料平衡2012年01月 2" xfId="565"/>
    <cellStyle name="Total 2 5 3 2" xfId="566"/>
    <cellStyle name="_BOM_物料平衡2012年5月" xfId="567"/>
    <cellStyle name="_ET_STYLE_NoName_00__108 9" xfId="568"/>
    <cellStyle name="_ET_STYLE_NoName_00__113 9" xfId="569"/>
    <cellStyle name="Fixed" xfId="570"/>
    <cellStyle name="_物料平衡表-实际0904-1_0908炼油与开氏主要物料结算量 3" xfId="571"/>
    <cellStyle name="_BOM_102_物料平衡2012年5月 2" xfId="572"/>
    <cellStyle name="Output 7" xfId="573"/>
    <cellStyle name="差_201103流程" xfId="574"/>
    <cellStyle name="差_106" xfId="575"/>
    <cellStyle name="差_111" xfId="576"/>
    <cellStyle name="_BOM_103-105" xfId="577"/>
    <cellStyle name="SAPBEXexcGood3 8" xfId="578"/>
    <cellStyle name="_物料_107_物料平衡2012年5月" xfId="579"/>
    <cellStyle name="_物料_112_物料平衡2012年5月" xfId="580"/>
    <cellStyle name="好_MES-ERP编码对应_开氏物料表8月" xfId="581"/>
    <cellStyle name="_BOM_103-105 2" xfId="582"/>
    <cellStyle name="SAPBEXexcGood3 8 2" xfId="583"/>
    <cellStyle name="_物料_107_物料平衡2012年5月 2" xfId="584"/>
    <cellStyle name="_物料_112_物料平衡2012年5月 2" xfId="585"/>
    <cellStyle name="SAPBEXaggDataEmph 3" xfId="586"/>
    <cellStyle name="SAPBEXaggDataEmph 4" xfId="587"/>
    <cellStyle name="SAPBEXexcCritical5 2 3 2" xfId="588"/>
    <cellStyle name="_BOM_103-105 3" xfId="589"/>
    <cellStyle name="_BOM_基础计算表" xfId="590"/>
    <cellStyle name="_BOM_103-105_1" xfId="591"/>
    <cellStyle name="60% - 强调文字颜色 4 6" xfId="592"/>
    <cellStyle name="_BOM_103-105_1 2" xfId="593"/>
    <cellStyle name="Output 5 3" xfId="594"/>
    <cellStyle name="_物料平衡表-实际0904-1_开氏物料表11月初稿 3" xfId="595"/>
    <cellStyle name="_BOM_114-115 3" xfId="596"/>
    <cellStyle name="_BOM_104单元（0910）_物料平衡2012年5月" xfId="597"/>
    <cellStyle name="_BOM_103-105_1 2 2" xfId="598"/>
    <cellStyle name="Output 5 3 2" xfId="599"/>
    <cellStyle name="_物料_102" xfId="600"/>
    <cellStyle name="_附件3：联合试运转费测算表" xfId="601"/>
    <cellStyle name="_BOM_103-105_1 3" xfId="602"/>
    <cellStyle name="_物料平衡表-实际0904-1_0908炼油与开氏主要物料结算量_物料平衡2012年5月 2" xfId="603"/>
    <cellStyle name="输入 6" xfId="604"/>
    <cellStyle name="好_101" xfId="605"/>
    <cellStyle name="_ET_STYLE_NoName_00__110装置物料平衡表填报表1" xfId="606"/>
    <cellStyle name="Output 4 3 2" xfId="607"/>
    <cellStyle name="_BOM_103-105_1_物料平衡2012年5月" xfId="608"/>
    <cellStyle name="_BOM_物料平衡2011年6月 2" xfId="609"/>
    <cellStyle name="_物料平衡表-实际0904-1_0907炼油与开氏主要物料结算量2 2 2" xfId="610"/>
    <cellStyle name="60% - 强调文字颜色 6 9" xfId="611"/>
    <cellStyle name="SAPBEXaggData" xfId="612"/>
    <cellStyle name="_物料平衡表-实际0904-1_113 4" xfId="613"/>
    <cellStyle name="_物料平衡表-实际0904-1_108 4" xfId="614"/>
    <cellStyle name="好_101 2" xfId="615"/>
    <cellStyle name="_ET_STYLE_NoName_00__110装置物料平衡表填报表1 2" xfId="616"/>
    <cellStyle name="_BOM_103-105_1_物料平衡2012年5月 2" xfId="617"/>
    <cellStyle name="_物料平衡表-实际0904-1_9月流程图_物料平衡2012年5月 2" xfId="618"/>
    <cellStyle name="_BOM_103-105单元物料平衡表09010(上报)" xfId="619"/>
    <cellStyle name="SAPBEXHLevel1 3" xfId="620"/>
    <cellStyle name="_BOM_107装置物料平衡填报表2009(1).7.31" xfId="621"/>
    <cellStyle name="_BOM_103-105单元物料平衡表09010(上报) 2" xfId="622"/>
    <cellStyle name="SAPBEXHLevel1 3 2" xfId="623"/>
    <cellStyle name="_BOM_开氏物料表8月 3" xfId="624"/>
    <cellStyle name="_ET_STYLE_NoName_00__开氏物料表7月 2" xfId="625"/>
    <cellStyle name="Input 10 3" xfId="626"/>
    <cellStyle name="_BOM_104单元（0910） 2 2" xfId="627"/>
    <cellStyle name="差 11" xfId="628"/>
    <cellStyle name="Header2 3 2" xfId="629"/>
    <cellStyle name="_BOM_103-105单元物料平衡表09011(上报)" xfId="630"/>
    <cellStyle name="SAPBEXexcBad9 4 3 2" xfId="631"/>
    <cellStyle name="_BOM_104单元（0910）" xfId="632"/>
    <cellStyle name="_ET_STYLE_NoName_00__开氏物料表7月" xfId="633"/>
    <cellStyle name="40% - 强调文字颜色 2 5" xfId="634"/>
    <cellStyle name="_BOM_104单元（0910） 2" xfId="635"/>
    <cellStyle name="Header2 3" xfId="636"/>
    <cellStyle name="好_惠炼BOM（20081219）_开氏物料表12月初稿 2" xfId="637"/>
    <cellStyle name="_BOM_104单元（0910） 3" xfId="638"/>
    <cellStyle name="Header2 4" xfId="639"/>
    <cellStyle name="好_mock生产订单收发货（导入版）_开氏物料表8月" xfId="640"/>
    <cellStyle name="_物料平衡表-实际0904-1_112（112单元）_物料平衡2012年5月" xfId="641"/>
    <cellStyle name="_BOM_104单元（0910）_物料平衡2012年5月 2" xfId="642"/>
    <cellStyle name="_物料平衡表-实际0904-1_开氏物料表9月初稿 2" xfId="643"/>
    <cellStyle name="_BOM_111" xfId="644"/>
    <cellStyle name="_BOM_106" xfId="645"/>
    <cellStyle name="差_还原数据090219_开氏物料表11月初稿 2" xfId="646"/>
    <cellStyle name="60% - Accent5" xfId="647"/>
    <cellStyle name="_BOM_111 2 2" xfId="648"/>
    <cellStyle name="_BOM_106 2 2" xfId="649"/>
    <cellStyle name="SAPBEXexcCritical5 4" xfId="650"/>
    <cellStyle name="title 5" xfId="651"/>
    <cellStyle name="_物料平衡表-实际0904-1_10月统计（111）平衡 3" xfId="652"/>
    <cellStyle name="_BOM_周计划表20091112" xfId="653"/>
    <cellStyle name="SAPBEXheaderText 6 2 2" xfId="654"/>
    <cellStyle name="20% - 强调文字颜色 1 2" xfId="655"/>
    <cellStyle name="隨後的超連結" xfId="656"/>
    <cellStyle name="_ET_STYLE_NoName_00__物料平衡7月初稿. 3" xfId="657"/>
    <cellStyle name="SAPBEXformats 7 2" xfId="658"/>
    <cellStyle name="_BOM_芳烃装置 3" xfId="659"/>
    <cellStyle name="_ET_STYLE_NoName_00__fangting物料平衡填报表2009.8.31 3" xfId="660"/>
    <cellStyle name="Total 6 2" xfId="661"/>
    <cellStyle name="_数据转换工具升级版本_20080806" xfId="662"/>
    <cellStyle name="_物料_108_物料平衡2012年5月" xfId="663"/>
    <cellStyle name="_物料_113_物料平衡2012年5月" xfId="664"/>
    <cellStyle name="标题 3 11" xfId="665"/>
    <cellStyle name="Calculation 4 3 2" xfId="666"/>
    <cellStyle name="_BOM_111_物料平衡2012年5月 2" xfId="667"/>
    <cellStyle name="_BOM_106_物料平衡2012年5月 2" xfId="668"/>
    <cellStyle name="_物料平衡表-实际0904-1_开氏物料表9月初稿 3" xfId="669"/>
    <cellStyle name="_BOM_112" xfId="670"/>
    <cellStyle name="_BOM_107" xfId="671"/>
    <cellStyle name="_BOM_112 2" xfId="672"/>
    <cellStyle name="_BOM_107 2" xfId="673"/>
    <cellStyle name="SAPBEXformats" xfId="674"/>
    <cellStyle name="_BOM_112 3" xfId="675"/>
    <cellStyle name="_BOM_107 3" xfId="676"/>
    <cellStyle name="Input 2 5" xfId="677"/>
    <cellStyle name="SAPBEXstdDataEmph 9" xfId="678"/>
    <cellStyle name="_物料_fangting物料平衡填报表2009.8.31" xfId="679"/>
    <cellStyle name="SAPBEXHLevel0X 2 2 2 2" xfId="680"/>
    <cellStyle name="_物料平衡表-实际0904-1_物料平衡2011年3月_物料平衡2012年5月" xfId="681"/>
    <cellStyle name="SAPBEXfilterDrill 7 2 2" xfId="682"/>
    <cellStyle name="40% - 强调文字颜色 3 5" xfId="683"/>
    <cellStyle name="_BOM_112_物料平衡2012年5月" xfId="684"/>
    <cellStyle name="_BOM_107_物料平衡2012年5月" xfId="685"/>
    <cellStyle name="_物料平衡表-实际0904-1_物料平衡2011年3月_物料平衡2012年5月 2" xfId="686"/>
    <cellStyle name="好_物料平衡表-实际0904-1_10月统计（111）平衡" xfId="687"/>
    <cellStyle name="Input 2 5 2" xfId="688"/>
    <cellStyle name="_物料_fangting物料平衡填报表2009.8.31 2" xfId="689"/>
    <cellStyle name="_BOM_112_物料平衡2012年5月 2" xfId="690"/>
    <cellStyle name="_BOM_107_物料平衡2012年5月 2" xfId="691"/>
    <cellStyle name="20% - Accent5" xfId="692"/>
    <cellStyle name="_BOM_107装置物料平衡填报表2009(1).7.31 2" xfId="693"/>
    <cellStyle name="SAPBEXHLevel1 3 2 2" xfId="694"/>
    <cellStyle name="SAPBEXstdData 3" xfId="695"/>
    <cellStyle name="20% - 强调文字颜色 5 3" xfId="696"/>
    <cellStyle name="20% - Accent5 2" xfId="697"/>
    <cellStyle name="_BOM_107装置物料平衡填报表2009(1).7.31 2 2" xfId="698"/>
    <cellStyle name="SAPBEXHLevel1 3 2 2 2" xfId="699"/>
    <cellStyle name="SAPBEXstdData 3 2" xfId="700"/>
    <cellStyle name="_ET_STYLE_NoName_00__开氏物料表12月初稿_物料平衡2012年5月" xfId="701"/>
    <cellStyle name="好_生产订单收发货-ERP_开氏物料表7月 2" xfId="702"/>
    <cellStyle name="_海油总财〔2009〕293号附件2：惠州炼油分公司" xfId="703"/>
    <cellStyle name="20% - Accent6" xfId="704"/>
    <cellStyle name="差_2013年3月生产计划-104万吨-20130226-尾油3.3-与销售讨论" xfId="705"/>
    <cellStyle name="_BOM_107装置物料平衡填报表2009(1).7.31 3" xfId="706"/>
    <cellStyle name="SAPBEXHLevel1 3 2 3" xfId="707"/>
    <cellStyle name="SAPBEXstdData 4" xfId="708"/>
    <cellStyle name="SAPBEXexcCritical4 4 2 2 2" xfId="709"/>
    <cellStyle name="_总公司年度节能量计划样表" xfId="710"/>
    <cellStyle name="链接单元格 10" xfId="711"/>
    <cellStyle name="_BOM_物料平衡7月终稿. 2" xfId="712"/>
    <cellStyle name="_物料平衡表-实际0904-1_物料平衡7月终稿._物料平衡2012年5月" xfId="713"/>
    <cellStyle name="SAPBEXundefined 5" xfId="714"/>
    <cellStyle name="_BOM_107装置物料平衡填报表2009(1).7.31_物料平衡2012年5月 2" xfId="715"/>
    <cellStyle name="_BOM_物料平衡2012年01月 2" xfId="716"/>
    <cellStyle name="_BOM_113" xfId="717"/>
    <cellStyle name="_BOM_108" xfId="718"/>
    <cellStyle name="_ET_STYLE_NoName_00__Book1_物料平衡2012年5月" xfId="719"/>
    <cellStyle name="_BOM_113 " xfId="720"/>
    <cellStyle name="_BOM_108 " xfId="721"/>
    <cellStyle name="SAPBEXresItemX 3" xfId="722"/>
    <cellStyle name="_物料平衡表-实际0904-1_113 7" xfId="723"/>
    <cellStyle name="_物料平衡表-实际0904-1_108 7" xfId="724"/>
    <cellStyle name="Input 5 2 2 2" xfId="725"/>
    <cellStyle name="_BOM_物料平衡8月初稿. 3" xfId="726"/>
    <cellStyle name="_物料_0908炼油与开氏主要物料结算量_物料平衡2012年5月 2" xfId="727"/>
    <cellStyle name="_BOM_原油计量途耗报表汇总9月" xfId="728"/>
    <cellStyle name="60% - 强调文字颜色 4 15" xfId="729"/>
    <cellStyle name="40% - 强调文字颜色 3 14" xfId="730"/>
    <cellStyle name="20% - 强调文字颜色 2 13" xfId="731"/>
    <cellStyle name="_物料平衡表-实际0904-1_芳烃装置 3" xfId="732"/>
    <cellStyle name="_ET_STYLE_NoName_00__Book1_物料平衡2012年5月 2" xfId="733"/>
    <cellStyle name="_BOM_113  2" xfId="734"/>
    <cellStyle name="_BOM_108  2" xfId="735"/>
    <cellStyle name="SAPBEXchaText 4 3" xfId="736"/>
    <cellStyle name="_BOM_原油计量途耗报表汇总9月 2" xfId="737"/>
    <cellStyle name="_BOM_113  2 2" xfId="738"/>
    <cellStyle name="_BOM_108  2 2" xfId="739"/>
    <cellStyle name="SAPBEXchaText 4 3 2" xfId="740"/>
    <cellStyle name="_BOM_113  3" xfId="741"/>
    <cellStyle name="_BOM_108  3" xfId="742"/>
    <cellStyle name="_BOM_113 _物料平衡2012年5月" xfId="743"/>
    <cellStyle name="_BOM_108 _物料平衡2012年5月" xfId="744"/>
    <cellStyle name="60% - 强调文字颜色 1 15" xfId="745"/>
    <cellStyle name="_ET_STYLE_NoName_00__芳烃装置 3" xfId="746"/>
    <cellStyle name="_物料平衡表-实际0904-1_114 9" xfId="747"/>
    <cellStyle name="注释 8" xfId="748"/>
    <cellStyle name="_BOM_113 _物料平衡2012年5月 2" xfId="749"/>
    <cellStyle name="_BOM_108 _物料平衡2012年5月 2" xfId="750"/>
    <cellStyle name="差 4" xfId="751"/>
    <cellStyle name="差_10月份综合计划" xfId="752"/>
    <cellStyle name="解释性文本 7" xfId="753"/>
    <cellStyle name="_ET_STYLE_NoName_00__原油计量途耗报表汇总8月 2" xfId="754"/>
    <cellStyle name="SAPBEXaggItem 4 3 2" xfId="755"/>
    <cellStyle name="SAPBEXexcGood2" xfId="756"/>
    <cellStyle name="_物料_9月流程图_物料平衡2012年5月" xfId="757"/>
    <cellStyle name="_BOM_113 10" xfId="758"/>
    <cellStyle name="_BOM_108 10" xfId="759"/>
    <cellStyle name="计算 11" xfId="760"/>
    <cellStyle name="_ET_STYLE_NoName_00__107 2 2" xfId="761"/>
    <cellStyle name="_ET_STYLE_NoName_00__112 2 2" xfId="762"/>
    <cellStyle name="解释性文本 8" xfId="763"/>
    <cellStyle name="_ET_STYLE_NoName_00__原油计量途耗报表汇总8月 3" xfId="764"/>
    <cellStyle name="SAPBEXaggData 3 2 2" xfId="765"/>
    <cellStyle name="SAPBEXexcGood3" xfId="766"/>
    <cellStyle name="差_还原数据090219_10月统计（111）平衡" xfId="767"/>
    <cellStyle name="差 5" xfId="768"/>
    <cellStyle name="_BOM_113 11" xfId="769"/>
    <cellStyle name="_BOM_108 11" xfId="770"/>
    <cellStyle name="_BOM_113 2" xfId="771"/>
    <cellStyle name="_BOM_108 2" xfId="772"/>
    <cellStyle name="_BOM_113 3" xfId="773"/>
    <cellStyle name="_BOM_108 3" xfId="774"/>
    <cellStyle name="_物料平衡表-实际0904-1_113 2 2" xfId="775"/>
    <cellStyle name="_物料平衡表-实际0904-1_108 2 2" xfId="776"/>
    <cellStyle name="_BOM_原油计量途耗报表汇总8月 2" xfId="777"/>
    <cellStyle name="_BOM_113 4" xfId="778"/>
    <cellStyle name="_BOM_108 4" xfId="779"/>
    <cellStyle name="差_MES-ERP编码对应_0908炼油与开氏主要物料结算量 2" xfId="780"/>
    <cellStyle name="_ET_STYLE_NoName_00__物料平衡3月 2" xfId="781"/>
    <cellStyle name="_BOM_原油计量途耗报表汇总8月 3" xfId="782"/>
    <cellStyle name="_BOM_开氏物料表7月 2" xfId="783"/>
    <cellStyle name="_物料平衡表-实际0904-1_物料平衡2012年01月_物料平衡2012年5月" xfId="784"/>
    <cellStyle name="_ET_STYLE_NoName_00__物料平衡3月 3" xfId="785"/>
    <cellStyle name="_BOM_113 5" xfId="786"/>
    <cellStyle name="_BOM_108 5" xfId="787"/>
    <cellStyle name="好_副产蒸汽、凝结水消耗_开氏物料表8月" xfId="788"/>
    <cellStyle name="_BOM_周计划" xfId="789"/>
    <cellStyle name="SAPBEXformats 4" xfId="790"/>
    <cellStyle name="_BOM_开氏物料表7月 3" xfId="791"/>
    <cellStyle name="好_物料主数据模板_1.9_103-105单元物料平衡表09011(上报) 2" xfId="792"/>
    <cellStyle name="_BOM_113 6" xfId="793"/>
    <cellStyle name="_BOM_108 6" xfId="794"/>
    <cellStyle name="_物料_~3993097_物料平衡2012年5月 2" xfId="795"/>
    <cellStyle name="_BOM_113 7" xfId="796"/>
    <cellStyle name="_BOM_108 7" xfId="797"/>
    <cellStyle name="SAPBEXexcBad9 5 2 2" xfId="798"/>
    <cellStyle name="Output Amounts" xfId="799"/>
    <cellStyle name="Calculation 4 2" xfId="800"/>
    <cellStyle name="_BOM_113 8" xfId="801"/>
    <cellStyle name="_BOM_108 8" xfId="802"/>
    <cellStyle name="SAPBEXexcBad9 5 2 3" xfId="803"/>
    <cellStyle name="Total 2 4 2 2" xfId="804"/>
    <cellStyle name="_BOM_113_物料平衡2012年5月 2" xfId="805"/>
    <cellStyle name="_BOM_108_物料平衡2012年5月 2" xfId="806"/>
    <cellStyle name="好_物料主数据模板_1.9_0908炼油与开氏主要物料结算量 2" xfId="807"/>
    <cellStyle name="Total 2 7 2 2" xfId="808"/>
    <cellStyle name="差_物料主数据模板_1.9_10月统计（111）平衡 2" xfId="809"/>
    <cellStyle name="_BOM_5 月份物料平衡（107单元）" xfId="810"/>
    <cellStyle name="好_物料平衡表-实际0904-1_111 2" xfId="811"/>
    <cellStyle name="Input 13 2 3" xfId="812"/>
    <cellStyle name="_BOM_fangting物料平衡填报表2009.9.30 2" xfId="813"/>
    <cellStyle name="SAPBEXHLevel2 8" xfId="814"/>
    <cellStyle name="_BOM_108单元物料平衡表 2" xfId="815"/>
    <cellStyle name="_BOM_5 月份物料平衡（107单元） 2" xfId="816"/>
    <cellStyle name="_BOM_开氏物料表11月初稿" xfId="817"/>
    <cellStyle name="Total 4 3" xfId="818"/>
    <cellStyle name="_BOM_fangting物料平衡填报表2009.9.30 2 2" xfId="819"/>
    <cellStyle name="SAPBEXHLevel2 8 2" xfId="820"/>
    <cellStyle name="警告文本 4" xfId="821"/>
    <cellStyle name="_BOM_108单元物料平衡表 2 2" xfId="822"/>
    <cellStyle name="SAPBEXformats 5 3" xfId="823"/>
    <cellStyle name="_物料_物料平衡2012年01月 2" xfId="824"/>
    <cellStyle name="_BOM_fangting物料平衡填报表2009.9.30 3" xfId="825"/>
    <cellStyle name="_油田服务公司设备更新改造0225-徐本和" xfId="826"/>
    <cellStyle name="_BOM_108单元物料平衡表 3" xfId="827"/>
    <cellStyle name="_BOM_Book3 2 2" xfId="828"/>
    <cellStyle name="SAPBEXHLevel0X 7" xfId="829"/>
    <cellStyle name="_物料_108 9" xfId="830"/>
    <cellStyle name="_物料_113 9" xfId="831"/>
    <cellStyle name="_BOM_物料平衡9月初稿._物料平衡2012年5月 2" xfId="832"/>
    <cellStyle name="_BOM_108单元物料平衡表_物料平衡2012年5月" xfId="833"/>
    <cellStyle name="_BOM_fangting物料平衡填报表2009.9.30_物料平衡2012年5月" xfId="834"/>
    <cellStyle name="_物料_物料平衡7月初稿3. 2 2" xfId="835"/>
    <cellStyle name="差_113 2" xfId="836"/>
    <cellStyle name="Input [yellow]" xfId="837"/>
    <cellStyle name="_ET_STYLE_NoName_00__周报2009.7.10修改周计划" xfId="838"/>
    <cellStyle name="Output 9 2" xfId="839"/>
    <cellStyle name="_BOM_fangting物料平衡填报表2009.9.30_物料平衡2012年5月 2" xfId="840"/>
    <cellStyle name="SAPBEXexcBad7 4 3" xfId="841"/>
    <cellStyle name="_BOM_108单元物料平衡表_物料平衡2012年5月 2" xfId="842"/>
    <cellStyle name="SAPBEXheaderItem 3 2 2 2" xfId="843"/>
    <cellStyle name="_BOM_110装置物料平衡表填报表1" xfId="844"/>
    <cellStyle name="_ET_STYLE_NoName_00__芳烃装置_物料平衡2012年5月" xfId="845"/>
    <cellStyle name="SAPBEXheaderText 9" xfId="846"/>
    <cellStyle name="好_物料平衡表-实际0904-1_0908炼油与开氏主要物料结算量" xfId="847"/>
    <cellStyle name="_BOM_114" xfId="848"/>
    <cellStyle name="_BOM_109" xfId="849"/>
    <cellStyle name="_物料_103-105_物料平衡2012年5月" xfId="850"/>
    <cellStyle name="40% - 强调文字颜色 1 15" xfId="851"/>
    <cellStyle name="_物料平衡表-实际0904-1 2" xfId="852"/>
    <cellStyle name="_BOM_114 2 2" xfId="853"/>
    <cellStyle name="_BOM_109 2 2" xfId="854"/>
    <cellStyle name="差_201106流程xls" xfId="855"/>
    <cellStyle name="_物料_102 3" xfId="856"/>
    <cellStyle name="SAPBEXstdData 5 2 2" xfId="857"/>
    <cellStyle name="60% - Accent4 3" xfId="858"/>
    <cellStyle name="_BOM_114_物料平衡2012年5月" xfId="859"/>
    <cellStyle name="_BOM_109_物料平衡2012年5月" xfId="860"/>
    <cellStyle name="SAPBEXexcCritical5 3 3" xfId="861"/>
    <cellStyle name="SAPBEXstdData 5 2 2 2" xfId="862"/>
    <cellStyle name="_BOM_114_物料平衡2012年5月 2" xfId="863"/>
    <cellStyle name="_BOM_109_物料平衡2012年5月 2" xfId="864"/>
    <cellStyle name="SAPBEXexcCritical5 3 3 2" xfId="865"/>
    <cellStyle name="_物料平衡表-实际0904-1_物料平衡测算" xfId="866"/>
    <cellStyle name="Millares_laroux" xfId="867"/>
    <cellStyle name="_BOM_109装置物料平衡填报表2009(1).7.31" xfId="868"/>
    <cellStyle name="差_周计划表20091230" xfId="869"/>
    <cellStyle name="_公司2011年11月份化工三剂需求计划" xfId="870"/>
    <cellStyle name="SAPBEXHLevel0 5 2 3" xfId="871"/>
    <cellStyle name="_物料平衡表-实际0904-1_物料平衡测算 2" xfId="872"/>
    <cellStyle name="_BOM_109装置物料平衡填报表2009(1).7.31 2" xfId="873"/>
    <cellStyle name="_物料_开氏物料表11月初稿" xfId="874"/>
    <cellStyle name="SAPBEXaggItemX 6" xfId="875"/>
    <cellStyle name="_BOM_109装置物料平衡填报表2009(1).7.31 2 2" xfId="876"/>
    <cellStyle name="_BOM_109装置物料平衡填报表2009(1).7.31 3" xfId="877"/>
    <cellStyle name="_物料平衡表-实际0904-1_psa 3" xfId="878"/>
    <cellStyle name="_BOM_109装置物料平衡填报表2009(1).7.31_物料平衡2012年5月" xfId="879"/>
    <cellStyle name="SAPBEXHLevel3 3 2 3" xfId="880"/>
    <cellStyle name="Comma  - Style7" xfId="881"/>
    <cellStyle name="_物料平衡表-实际0904-1_物料平衡测算_物料平衡2012年5月" xfId="882"/>
    <cellStyle name="好_mock生产订单收发货（导入版）_0908炼油与开氏主要物料结算量" xfId="883"/>
    <cellStyle name="_物料平衡表-实际0904-1_物料平衡测算_物料平衡2012年5月 2" xfId="884"/>
    <cellStyle name="_BOM_109装置物料平衡填报表2009(1).7.31_物料平衡2012年5月 2" xfId="885"/>
    <cellStyle name="_ET_STYLE_NoName_00__103-105单元物料平衡表09011(上报)_物料平衡2012年5月" xfId="886"/>
    <cellStyle name="_BOM_fangting物料平衡填报表2009.8.31 2" xfId="887"/>
    <cellStyle name="差_开氏物料表12月初稿" xfId="888"/>
    <cellStyle name="_物料平衡表-实际0904-1_基础计算表" xfId="889"/>
    <cellStyle name="_物料平衡表-实际0904-1_115_物料平衡2012年5月" xfId="890"/>
    <cellStyle name="_BOM_10月统计（111）平衡" xfId="891"/>
    <cellStyle name="_BOM_周报2009.7.10修改周计划 2" xfId="892"/>
    <cellStyle name="_ET_STYLE_NoName_00__psa 2" xfId="893"/>
    <cellStyle name="_BOM_10月统计（111）平衡_物料平衡2012年5月" xfId="894"/>
    <cellStyle name="_ET_STYLE_NoName_00__psa 2 2" xfId="895"/>
    <cellStyle name="20% - 强调文字颜色 6 12" xfId="896"/>
    <cellStyle name="SAPBEXexcGood3 2 2 3" xfId="897"/>
    <cellStyle name="_BOM_10月统计（111）平衡_物料平衡2012年5月 2" xfId="898"/>
    <cellStyle name="_BOM_110" xfId="899"/>
    <cellStyle name="差_还原数据090219_110 2" xfId="900"/>
    <cellStyle name="_BOM_物料平衡7月初稿._物料平衡2012年5月" xfId="901"/>
    <cellStyle name="_BOM_110 2" xfId="902"/>
    <cellStyle name="_BOM_物料平衡7月初稿._物料平衡2012年5月 2" xfId="903"/>
    <cellStyle name="SAPBEXaggItemX 4" xfId="904"/>
    <cellStyle name="Input 12 2 2 2" xfId="905"/>
    <cellStyle name="_BOM_110 3" xfId="906"/>
    <cellStyle name="差_mock生产订单收发货（导入版）_104单元（0910） 2" xfId="907"/>
    <cellStyle name="_BOM_110装置物料平衡表填报表1 2" xfId="908"/>
    <cellStyle name="_ET_STYLE_NoName_00__原油计量途耗报表汇总7月 3" xfId="909"/>
    <cellStyle name="_BOM_112（112单元） 2 2" xfId="910"/>
    <cellStyle name="SAPBEXexcCritical5 8 2" xfId="911"/>
    <cellStyle name="SAPBEXresItem 3 2" xfId="912"/>
    <cellStyle name="title 3" xfId="913"/>
    <cellStyle name="差_惠炼BOM（20081219）_开氏物料表8月 2" xfId="914"/>
    <cellStyle name="_物料_0907炼油与开氏主要物料结算量2 2" xfId="915"/>
    <cellStyle name="_ET_STYLE_NoName_00__114 " xfId="916"/>
    <cellStyle name="汇总 2" xfId="917"/>
    <cellStyle name="_BOM_112（112单元）_物料平衡2012年5月" xfId="918"/>
    <cellStyle name="_BOM_114 " xfId="919"/>
    <cellStyle name="_BOM_9月流程图 3" xfId="920"/>
    <cellStyle name="Comma  - Style1" xfId="921"/>
    <cellStyle name="Calculation 2 4 3" xfId="922"/>
    <cellStyle name="_BOM_114  2" xfId="923"/>
    <cellStyle name="Calculation 2 4 3 2" xfId="924"/>
    <cellStyle name="_BOM_114  2 2" xfId="925"/>
    <cellStyle name="SAPBEXexcGood3 3" xfId="926"/>
    <cellStyle name="_物料平衡表-实际0904-1_物料平衡7月初稿3. 2 2" xfId="927"/>
    <cellStyle name="_ET_STYLE_NoName_00__102 2 2" xfId="928"/>
    <cellStyle name="_BOM_114 _物料平衡2012年5月" xfId="929"/>
    <cellStyle name="_BOM_114 _物料平衡2012年5月 2" xfId="930"/>
    <cellStyle name="_ET_STYLE_NoName_00__114 12" xfId="931"/>
    <cellStyle name="_BOM_外购原料收拨付平衡表 2" xfId="932"/>
    <cellStyle name="_ET_STYLE_NoName_00__原油计量途耗报表汇总9月 2" xfId="933"/>
    <cellStyle name="_BOM_114 10" xfId="934"/>
    <cellStyle name="_BOM_外购原料收拨付平衡表 3" xfId="935"/>
    <cellStyle name="_ET_STYLE_NoName_00__原油计量途耗报表汇总7月_物料平衡2012年5月 2" xfId="936"/>
    <cellStyle name="_ET_STYLE_NoName_00__原油计量途耗报表汇总9月 3" xfId="937"/>
    <cellStyle name="_物料_物料平衡7月终稿. 2" xfId="938"/>
    <cellStyle name="_BOM_114 11" xfId="939"/>
    <cellStyle name="_物料_物料平衡7月终稿. 3" xfId="940"/>
    <cellStyle name="_BOM_114 12" xfId="941"/>
    <cellStyle name="差_物料主数据模板_1.9_~4907560 2" xfId="942"/>
    <cellStyle name="_BOM_114 7" xfId="943"/>
    <cellStyle name="SAPBEXexcBad9 5 3 2" xfId="944"/>
    <cellStyle name="SAPBEXHLevel0X 3 2 2" xfId="945"/>
    <cellStyle name="Calculation 5 2" xfId="946"/>
    <cellStyle name="_BOM_114 8" xfId="947"/>
    <cellStyle name="SAPBEXHLevel0X 3 2 3" xfId="948"/>
    <cellStyle name="Calculation 5 3" xfId="949"/>
    <cellStyle name="_BOM_114 9" xfId="950"/>
    <cellStyle name="Good 2" xfId="951"/>
    <cellStyle name="SAPBEXHLevel2 5 2 3" xfId="952"/>
    <cellStyle name="好_生产订单收发货-ERP_111 2" xfId="953"/>
    <cellStyle name="_BOM_物料平衡2011年6月---财务_物料平衡2012年5月 2" xfId="954"/>
    <cellStyle name="Output 5 2" xfId="955"/>
    <cellStyle name="_物料平衡表-实际0904-1_开氏物料表11月初稿 2" xfId="956"/>
    <cellStyle name="_BOM_114-115 2" xfId="957"/>
    <cellStyle name="Output 5 2 2" xfId="958"/>
    <cellStyle name="_BOM_114-115 2 2" xfId="959"/>
    <cellStyle name="_BOM_114-115_物料平衡2012年5月" xfId="960"/>
    <cellStyle name="_BOM_114-115_物料平衡2012年5月 2" xfId="961"/>
    <cellStyle name="SAPBEXstdItemX 2 2 2" xfId="962"/>
    <cellStyle name="_BOM_115" xfId="963"/>
    <cellStyle name="好_惠炼BOM（20081219）_周计划表20091230" xfId="964"/>
    <cellStyle name="SAPBEXstdItemX 2 2 2 2" xfId="965"/>
    <cellStyle name="_BOM_115 2" xfId="966"/>
    <cellStyle name="_BOM_115 3" xfId="967"/>
    <cellStyle name="SAPBEXaggData 2" xfId="968"/>
    <cellStyle name="_ET_STYLE_NoName_00__110装置物料平衡表填报表1 2 2" xfId="969"/>
    <cellStyle name="_BOM_115_物料平衡2012年5月" xfId="970"/>
    <cellStyle name="SAPBEXexcGood2 2 2" xfId="971"/>
    <cellStyle name="_ET_STYLE_NoName_00__Book3 2" xfId="972"/>
    <cellStyle name="_BOM_115_物料平衡2012年5月 2" xfId="973"/>
    <cellStyle name="SAPBEXexcGood2 2 2 2" xfId="974"/>
    <cellStyle name="_ET_STYLE_NoName_00__Book3 2 2" xfId="975"/>
    <cellStyle name="_ET_STYLE_NoName_00__101 2" xfId="976"/>
    <cellStyle name="_BOM_116各装置物料平衡填报表2011.5 2" xfId="977"/>
    <cellStyle name="差_惠炼BOM（20081219）_110装置物料平衡表填报表1 2" xfId="978"/>
    <cellStyle name="_BOM_5 月份物料平衡（107单元） 3" xfId="979"/>
    <cellStyle name="差_惠炼BOM（20081219）_102 2" xfId="980"/>
    <cellStyle name="Input 2 3 2" xfId="981"/>
    <cellStyle name="SAPBEXHLevel2 7 3" xfId="982"/>
    <cellStyle name="SAPBEXstdDataEmph 7 2" xfId="983"/>
    <cellStyle name="好_还原数据090219_110装置物料平衡表填报表1 2" xfId="984"/>
    <cellStyle name="_ET_STYLE_NoName_00__物料平衡9月初稿." xfId="985"/>
    <cellStyle name="_BOM_7月份计划" xfId="986"/>
    <cellStyle name="SAPBEXHLevel0X 5 3" xfId="987"/>
    <cellStyle name="Input 2 3 2 2" xfId="988"/>
    <cellStyle name="_ET_STYLE_NoName_00__Book1 3" xfId="989"/>
    <cellStyle name="SAPBEXstdDataEmph 7 2 2" xfId="990"/>
    <cellStyle name="标题 4 6" xfId="991"/>
    <cellStyle name="_ET_STYLE_NoName_00__物料平衡9月初稿. 2" xfId="992"/>
    <cellStyle name="_BOM_7月份计划 2" xfId="993"/>
    <cellStyle name="SAPBEXHLevel0X 5 3 2" xfId="994"/>
    <cellStyle name="SAPBEXexcCritical6 2 2 3" xfId="995"/>
    <cellStyle name="_BOM_9月流程图" xfId="996"/>
    <cellStyle name="60% - 强调文字颜色 1 9" xfId="997"/>
    <cellStyle name="差_副产蒸汽、凝结水消耗_开氏物料表12月初稿" xfId="998"/>
    <cellStyle name="_Book1" xfId="999"/>
    <cellStyle name="SAPBEXHLevel0 3 3 2" xfId="1000"/>
    <cellStyle name="_BOM_9月流程图 2" xfId="1001"/>
    <cellStyle name="适中 13" xfId="1002"/>
    <cellStyle name="SAPBEXexcGood3 3 2 3" xfId="1003"/>
    <cellStyle name="_BOM_各装置物料平衡表填报表090630" xfId="1004"/>
    <cellStyle name="SAPBEXaggItem 4 2 2 2" xfId="1005"/>
    <cellStyle name="_BOM_9月流程图 2 2" xfId="1006"/>
    <cellStyle name="F8" xfId="1007"/>
    <cellStyle name="_BOM_Book3" xfId="1008"/>
    <cellStyle name="Total 8 2" xfId="1009"/>
    <cellStyle name="SAPBEXstdItemX 3 2 2 2" xfId="1010"/>
    <cellStyle name="_ET_STYLE_NoName_00__物料平衡2011年6月" xfId="1011"/>
    <cellStyle name="SAPBEXexcCritical5 4 2 3" xfId="1012"/>
    <cellStyle name="差_物料主数据模板_1.9_开氏物料表1月初稿" xfId="1013"/>
    <cellStyle name="Heading 2 2" xfId="1014"/>
    <cellStyle name="标题 4 9" xfId="1015"/>
    <cellStyle name="_BOM_物料平衡3月 3" xfId="1016"/>
    <cellStyle name="_BOM_Book3 2" xfId="1017"/>
    <cellStyle name="SAPBEXaggItem 2 2 3" xfId="1018"/>
    <cellStyle name="Total 8 2 2" xfId="1019"/>
    <cellStyle name="_ET_STYLE_NoName_00__物料平衡2011年6月 2" xfId="1020"/>
    <cellStyle name="_物料_103-105单元物料平衡表09011(上报)_物料平衡2012年5月 2" xfId="1021"/>
    <cellStyle name="SAPBEXexcGood2 3 2 2" xfId="1022"/>
    <cellStyle name="_BOM_Book3 3" xfId="1023"/>
    <cellStyle name="SAPBEXHLevel0 7 3" xfId="1024"/>
    <cellStyle name="_ET_STYLE_NoName_00__物料平衡7月初稿." xfId="1025"/>
    <cellStyle name="_物料平衡表-实际0904-1_fangting物料平衡填报表2009.8.31 3" xfId="1026"/>
    <cellStyle name="_BOM_芳烃装置" xfId="1027"/>
    <cellStyle name="_ET_STYLE_NoName_00__芳烃装置 2" xfId="1028"/>
    <cellStyle name="_ET_STYLE_NoName_00__物料平衡2011年6月_物料平衡2012年5月" xfId="1029"/>
    <cellStyle name="_物料平衡表-实际0904-1_114 8" xfId="1030"/>
    <cellStyle name="注释 7" xfId="1031"/>
    <cellStyle name="_BOM_Book3_物料平衡2012年5月" xfId="1032"/>
    <cellStyle name="_ET_STYLE_NoName_00__fangting物料平衡填报表2009.8.31" xfId="1033"/>
    <cellStyle name="好_MES-ERP编码对应_开氏物料表11月初稿 2" xfId="1034"/>
    <cellStyle name="常规 9 2 2" xfId="1035"/>
    <cellStyle name="_ET_STYLE_NoName_00__110_物料平衡2012年5月 2" xfId="1036"/>
    <cellStyle name="_ET_STYLE_NoName_00__物料平衡7月初稿. 2" xfId="1037"/>
    <cellStyle name="SAPBEXstdItemX 3 3" xfId="1038"/>
    <cellStyle name="_BOM_芳烃装置 2" xfId="1039"/>
    <cellStyle name="_ET_STYLE_NoName_00__芳烃装置 2 2" xfId="1040"/>
    <cellStyle name="_ET_STYLE_NoName_00__物料平衡2011年6月_物料平衡2012年5月 2" xfId="1041"/>
    <cellStyle name="_BOM_Book3_物料平衡2012年5月 2" xfId="1042"/>
    <cellStyle name="_ET_STYLE_NoName_00__fangting物料平衡填报表2009.8.31 2" xfId="1043"/>
    <cellStyle name="_BOM_物料平衡7月终稿." xfId="1044"/>
    <cellStyle name="_BOM_fangting物料平衡填报表2009.8.31 3" xfId="1045"/>
    <cellStyle name="SAPBEXexcCritical4 4 2 2" xfId="1046"/>
    <cellStyle name="SAPBEXHLevel0X 3 2" xfId="1047"/>
    <cellStyle name="Calculation 5" xfId="1048"/>
    <cellStyle name="_BOM_fangting物料平衡填报表2009.8.31_物料平衡2012年5月 2" xfId="1049"/>
    <cellStyle name="_ET_STYLE_NoName_00__116各装置物料平衡填报表2011.5 2" xfId="1050"/>
    <cellStyle name="40% - 强调文字颜色 5 8" xfId="1051"/>
    <cellStyle name="_BOM_物料平衡7月初稿3. 2 2" xfId="1052"/>
    <cellStyle name="差_2012年10月生产计划-102万吨(柴油方案)-与炼化部对接后修改20120928" xfId="1053"/>
    <cellStyle name="_BOM_生产经营周报2010.7.9" xfId="1054"/>
    <cellStyle name="SAPBEXexcGood1 4 2 3" xfId="1055"/>
    <cellStyle name="_BOM_psa 2" xfId="1056"/>
    <cellStyle name="SAPBEXHLevel3X 2 2 2 2" xfId="1057"/>
    <cellStyle name="Input 4 2" xfId="1058"/>
    <cellStyle name="_BOM_生产经营周报2010.7.9 2" xfId="1059"/>
    <cellStyle name="60% - 强调文字颜色 4 3" xfId="1060"/>
    <cellStyle name="Input 4 2 2" xfId="1061"/>
    <cellStyle name="_BOM_psa 2 2" xfId="1062"/>
    <cellStyle name="Input 4 3" xfId="1063"/>
    <cellStyle name="_BOM_psa 3" xfId="1064"/>
    <cellStyle name="_ET_STYLE_NoName_00__108 2 2" xfId="1065"/>
    <cellStyle name="_ET_STYLE_NoName_00__113 2 2" xfId="1066"/>
    <cellStyle name="_BOM_psa_物料平衡2012年5月" xfId="1067"/>
    <cellStyle name="_物料_115" xfId="1068"/>
    <cellStyle name="SAPBEXHLevel1 7 2 2" xfId="1069"/>
    <cellStyle name="_ET_STYLE_NoName_00__物料平衡7月初稿. 2 2" xfId="1070"/>
    <cellStyle name="SAPBEXstdItemX 3 3 2" xfId="1071"/>
    <cellStyle name="_BOM_芳烃装置 2 2" xfId="1072"/>
    <cellStyle name="_ET_STYLE_NoName_00__开氏物料表7月_物料平衡2012年5月" xfId="1073"/>
    <cellStyle name="SAPBEXundefined 3 2 3" xfId="1074"/>
    <cellStyle name="_ET_STYLE_NoName_00__fangting物料平衡填报表2009.8.31 2 2" xfId="1075"/>
    <cellStyle name="Note 7" xfId="1076"/>
    <cellStyle name="_ET_STYLE_NoName_00__101 2 2" xfId="1077"/>
    <cellStyle name="60% - 强调文字颜色 3 4" xfId="1078"/>
    <cellStyle name="_ET_STYLE_NoName_00__物料平衡7月初稿._物料平衡2012年5月" xfId="1079"/>
    <cellStyle name="SAPBEXexcBad9 5" xfId="1080"/>
    <cellStyle name="20% - 强调文字颜色 5 6" xfId="1081"/>
    <cellStyle name="_物料平衡表-实际0904-1_物料平衡7月初稿. 2" xfId="1082"/>
    <cellStyle name="_BOM_芳烃装置_物料平衡2012年5月" xfId="1083"/>
    <cellStyle name="差_mock生产订单收发货（导入版）_fangting物料平衡填报表2009.9.30 2" xfId="1084"/>
    <cellStyle name="_ET_STYLE_NoName_00__fangting物料平衡填报表2009.8.31_物料平衡2012年5月" xfId="1085"/>
    <cellStyle name="_ET_STYLE_NoName_00__物料平衡7月初稿._物料平衡2012年5月 2" xfId="1086"/>
    <cellStyle name="SAPBEXexcBad9 5 2" xfId="1087"/>
    <cellStyle name="好_MES-ERP编码对应_0908炼油与开氏主要物料结算量" xfId="1088"/>
    <cellStyle name="_物料平衡表-实际0904-1_物料平衡7月初稿. 2 2" xfId="1089"/>
    <cellStyle name="_BOM_芳烃装置_物料平衡2012年5月 2" xfId="1090"/>
    <cellStyle name="_ET_STYLE_NoName_00__~4907560 3" xfId="1091"/>
    <cellStyle name="_ET_STYLE_NoName_00__fangting物料平衡填报表2009.8.31_物料平衡2012年5月 2" xfId="1092"/>
    <cellStyle name="Comma  - Style3" xfId="1093"/>
    <cellStyle name="SAPBEXaggDataEmph 2 2" xfId="1094"/>
    <cellStyle name="输出 14" xfId="1095"/>
    <cellStyle name="_ET_STYLE_NoName_00__103-105单元物料平衡表09010(上报)_物料平衡2012年5月 2" xfId="1096"/>
    <cellStyle name="_BOM_各装置物料平衡表填报表090630 3" xfId="1097"/>
    <cellStyle name="差_还原数据090219_各装置物料平衡表填报表090630" xfId="1098"/>
    <cellStyle name="_物料平衡表-实际0904-1_物料平衡7月终稿. 2 2" xfId="1099"/>
    <cellStyle name="_物料_108 8" xfId="1100"/>
    <cellStyle name="_物料_113 8" xfId="1101"/>
    <cellStyle name="强调文字颜色 3 9" xfId="1102"/>
    <cellStyle name="_BOM_汇总 3" xfId="1103"/>
    <cellStyle name="_BOM_开氏物料表11月初稿 2" xfId="1104"/>
    <cellStyle name="SAPBEXHLevel0X 5 2 2 2" xfId="1105"/>
    <cellStyle name="60% - 强调文字颜色 3 6" xfId="1106"/>
    <cellStyle name="_ET_STYLE_NoName_00__原油计量途耗报表汇总7月_物料平衡2012年5月" xfId="1107"/>
    <cellStyle name="_物料_物料平衡7月终稿." xfId="1108"/>
    <cellStyle name="_BOM_开氏物料表11月初稿 3" xfId="1109"/>
    <cellStyle name="_BOM_开氏物料表12月初稿" xfId="1110"/>
    <cellStyle name="_物料平衡表-实际0904-1_112 3" xfId="1111"/>
    <cellStyle name="_物料平衡表-实际0904-1_107 3" xfId="1112"/>
    <cellStyle name="_BOM_开氏物料表12月初稿 2" xfId="1113"/>
    <cellStyle name="60% - 强调文字颜色 5 8" xfId="1114"/>
    <cellStyle name="_BOM_开氏物料表12月初稿 3" xfId="1115"/>
    <cellStyle name="60% - 强调文字颜色 5 9" xfId="1116"/>
    <cellStyle name="_ET_STYLE_NoName_00__110 2" xfId="1117"/>
    <cellStyle name="222" xfId="1118"/>
    <cellStyle name="_BOM_物料平衡7月初稿3." xfId="1119"/>
    <cellStyle name="SAPBEXaggItem 2 3" xfId="1120"/>
    <cellStyle name="SAPBEXstdData 5 3 2" xfId="1121"/>
    <cellStyle name="60% - Accent5 3" xfId="1122"/>
    <cellStyle name="_BOM_开氏物料表1月初稿" xfId="1123"/>
    <cellStyle name="SAPBEXexcCritical5 4 3" xfId="1124"/>
    <cellStyle name="_BOM_开氏物料表7月" xfId="1125"/>
    <cellStyle name="Input 10" xfId="1126"/>
    <cellStyle name="_BOM_物料平衡测算_物料平衡2012年5月 2" xfId="1127"/>
    <cellStyle name="计算 10" xfId="1128"/>
    <cellStyle name="_BOM_物料平衡3月 2 2" xfId="1129"/>
    <cellStyle name="_BOM_开氏物料表8月" xfId="1130"/>
    <cellStyle name="SAPBEXexcCritical5 4 2 2 2" xfId="1131"/>
    <cellStyle name="_BOM_开氏物料表8月 2" xfId="1132"/>
    <cellStyle name="Calculation 3 2 3" xfId="1133"/>
    <cellStyle name="_BOM_物料平衡2012年01月_物料平衡2012年5月" xfId="1134"/>
    <cellStyle name="SAPBEXexcGood1 2" xfId="1135"/>
    <cellStyle name="Input 7 2 3" xfId="1136"/>
    <cellStyle name="40% - Accent1 3" xfId="1137"/>
    <cellStyle name="_BOM_开氏物料表9月初稿 2" xfId="1138"/>
    <cellStyle name="_BOM_外购原料收拨付平衡表" xfId="1139"/>
    <cellStyle name="_ET_STYLE_NoName_00__原油计量途耗报表汇总9月" xfId="1140"/>
    <cellStyle name="_BOM_外购原料收拨付平衡表 2 2" xfId="1141"/>
    <cellStyle name="_ET_STYLE_NoName_00__原油计量途耗报表汇总9月 2 2" xfId="1142"/>
    <cellStyle name="Check Cell 2" xfId="1143"/>
    <cellStyle name="_BOM_外购原料收拨付平衡表_物料平衡2012年5月" xfId="1144"/>
    <cellStyle name="_ET_STYLE_NoName_00__生产经营周报2010.7.9" xfId="1145"/>
    <cellStyle name="_ET_STYLE_NoName_00__原油计量途耗报表汇总9月_物料平衡2012年5月" xfId="1146"/>
    <cellStyle name="Output 2 3 2" xfId="1147"/>
    <cellStyle name="_BOM_外购原料收拨付平衡表_物料平衡2012年5月 2" xfId="1148"/>
    <cellStyle name="_ET_STYLE_NoName_00__生产经营周报2010.7.9 2" xfId="1149"/>
    <cellStyle name="差_mock生产订单收发货（导入版）_各装置物料平衡表填报表090630" xfId="1150"/>
    <cellStyle name="_ET_STYLE_NoName_00__原油计量途耗报表汇总9月_物料平衡2012年5月 2" xfId="1151"/>
    <cellStyle name="Output 2 3 2 2" xfId="1152"/>
    <cellStyle name="_BOM_物料平衡12月" xfId="1153"/>
    <cellStyle name="差_MES-ERP编码对应_开氏物料表7月" xfId="1154"/>
    <cellStyle name="SAPBEXexcGood3 4 2" xfId="1155"/>
    <cellStyle name="_BOM_物料平衡2011年3月_物料平衡2012年5月" xfId="1156"/>
    <cellStyle name="差_还原数据090219_103-105单元物料平衡表09011(上报) 2" xfId="1157"/>
    <cellStyle name="_物料_开氏物料表7月" xfId="1158"/>
    <cellStyle name="_物料平衡表-实际0904-1_0907炼油与开氏主要物料结算量2 2" xfId="1159"/>
    <cellStyle name="_ET_STYLE_NoName_00__108 10" xfId="1160"/>
    <cellStyle name="_ET_STYLE_NoName_00__113 10" xfId="1161"/>
    <cellStyle name="_BOM_物料平衡2011年6月" xfId="1162"/>
    <cellStyle name="_物料平衡表-实际0904-1_psa 2 2" xfId="1163"/>
    <cellStyle name="SAPBEXHLevel3 3 2 2 2" xfId="1164"/>
    <cellStyle name="强调文字颜色 1 5" xfId="1165"/>
    <cellStyle name="_BOM_物料平衡2011年6月_物料平衡2012年5月" xfId="1166"/>
    <cellStyle name="_BOM_周报2009.9.18" xfId="1167"/>
    <cellStyle name="SAPBEXstdItemX 4 3 2" xfId="1168"/>
    <cellStyle name="_BOM_物料平衡2011年6月---财务" xfId="1169"/>
    <cellStyle name="SAPBEXundefined 4 2 3" xfId="1170"/>
    <cellStyle name="_经济活动分析手册（200908月）fa 3" xfId="1171"/>
    <cellStyle name="_BOM_物料平衡2011年6月---财务 2" xfId="1172"/>
    <cellStyle name="_BOM_周报2009.9.18 2" xfId="1173"/>
    <cellStyle name="好_生产订单收发货-ERP_111" xfId="1174"/>
    <cellStyle name="常规 10" xfId="1175"/>
    <cellStyle name="_BOM_物料平衡2011年6月---财务_物料平衡2012年5月" xfId="1176"/>
    <cellStyle name="Good" xfId="1177"/>
    <cellStyle name="SAPBEXexcGood3 6" xfId="1178"/>
    <cellStyle name="_ET_STYLE_NoName_00__物料平衡2011年6月---财务_物料平衡2012年5月 2" xfId="1179"/>
    <cellStyle name="Input 2 4 3" xfId="1180"/>
    <cellStyle name="_BOM_物料平衡2012年01月_物料平衡2012年5月 2" xfId="1181"/>
    <cellStyle name="SAPBEXexcGood1 2 2" xfId="1182"/>
    <cellStyle name="_BOM_原油计量途耗报表汇总9月_物料平衡2012年5月" xfId="1183"/>
    <cellStyle name="Heading 3 3" xfId="1184"/>
    <cellStyle name="40% - 强调文字颜色 6 10" xfId="1185"/>
    <cellStyle name="_BOM_物料平衡2012年5月 2" xfId="1186"/>
    <cellStyle name="SAPBEXexcBad7 2 3" xfId="1187"/>
    <cellStyle name="Input 6" xfId="1188"/>
    <cellStyle name="60% - Accent5 2" xfId="1189"/>
    <cellStyle name="SAPBEXexcCritical5 4 2" xfId="1190"/>
    <cellStyle name="SAPBEXundefined 5 3" xfId="1191"/>
    <cellStyle name="_BOM_物料平衡3月" xfId="1192"/>
    <cellStyle name="_BOM_周计划表20091112 2" xfId="1193"/>
    <cellStyle name="_BOM_物料平衡测算_物料平衡2012年5月" xfId="1194"/>
    <cellStyle name="标题 4 8" xfId="1195"/>
    <cellStyle name="_BOM_物料平衡3月 2" xfId="1196"/>
    <cellStyle name="标题 2 3" xfId="1197"/>
    <cellStyle name="_BOM_物料平衡3月_物料平衡2012年5月" xfId="1198"/>
    <cellStyle name="_生产建设计划表格草案（2008版）" xfId="1199"/>
    <cellStyle name="SAPBEXHLevel3 4 2" xfId="1200"/>
    <cellStyle name="_物料_108 2" xfId="1201"/>
    <cellStyle name="_物料_113 2" xfId="1202"/>
    <cellStyle name="SAPBEXexcCritical4 5" xfId="1203"/>
    <cellStyle name="_BOM_物料平衡7月初稿." xfId="1204"/>
    <cellStyle name="差_惠炼BOM（20081219）_103-105单元物料平衡表09010(上报) 2" xfId="1205"/>
    <cellStyle name="_物料平衡表-实际0904-1_物料平衡3月 3" xfId="1206"/>
    <cellStyle name="_物料平衡表-实际0904-1_原油计量途耗报表汇总9月_物料平衡2012年5月" xfId="1207"/>
    <cellStyle name="_物料_108 2 2" xfId="1208"/>
    <cellStyle name="_物料_113 2 2" xfId="1209"/>
    <cellStyle name="SAPBEXexcCritical4 5 2" xfId="1210"/>
    <cellStyle name="_BOM_物料平衡7月初稿. 2" xfId="1211"/>
    <cellStyle name="60% - 强调文字颜色 6 11" xfId="1212"/>
    <cellStyle name="40% - 强调文字颜色 5 10" xfId="1213"/>
    <cellStyle name="好_109装置物料平衡填报表2009(1).7.31" xfId="1214"/>
    <cellStyle name="SAPBEXexcGood1 6" xfId="1215"/>
    <cellStyle name="_BOM_物料平衡7月初稿. 2 2" xfId="1216"/>
    <cellStyle name="_BOM_物料平衡7月初稿. 3" xfId="1217"/>
    <cellStyle name="好_物料主数据模板_1.9_108单元物料平衡表 2" xfId="1218"/>
    <cellStyle name="60% - 强调文字颜色 6 12" xfId="1219"/>
    <cellStyle name="40% - 强调文字颜色 5 11" xfId="1220"/>
    <cellStyle name="20% - 强调文字颜色 4 10" xfId="1221"/>
    <cellStyle name="好_还原数据090219_汇总" xfId="1222"/>
    <cellStyle name="标题 17" xfId="1223"/>
    <cellStyle name="40% - 强调文字颜色 6 2" xfId="1224"/>
    <cellStyle name="SAPBEXexcGood2 9" xfId="1225"/>
    <cellStyle name="_BOM_物料平衡7月初稿3._物料平衡2012年5月 2" xfId="1226"/>
    <cellStyle name="_BOM_物料平衡7月终稿. 2 2" xfId="1227"/>
    <cellStyle name="常规_月报-0904" xfId="1228"/>
    <cellStyle name="_物料平衡表-实际0904-1_物料平衡7月终稿._物料平衡2012年5月 2" xfId="1229"/>
    <cellStyle name="_BOM_物料平衡7月终稿._物料平衡2012年5月" xfId="1230"/>
    <cellStyle name="链接单元格 11" xfId="1231"/>
    <cellStyle name="_BOM_物料平衡7月终稿. 3" xfId="1232"/>
    <cellStyle name="_BOM_物料平衡7月终稿._物料平衡2012年5月 2" xfId="1233"/>
    <cellStyle name="Input [yellow] 7" xfId="1234"/>
    <cellStyle name="SAPBEXresItemX 2" xfId="1235"/>
    <cellStyle name="_物料平衡表-实际0904-1_113 6" xfId="1236"/>
    <cellStyle name="_物料平衡表-实际0904-1_108 6" xfId="1237"/>
    <cellStyle name="_物料_114-115" xfId="1238"/>
    <cellStyle name="_BOM_物料平衡8月初稿. 2" xfId="1239"/>
    <cellStyle name="好_MES-ERP编码对应_~4907560" xfId="1240"/>
    <cellStyle name="60% - 强调文字颜色 4 8" xfId="1241"/>
    <cellStyle name="_BOM_物料平衡8月初稿._物料平衡2012年5月 2" xfId="1242"/>
    <cellStyle name="_物料平衡表-实际0904-1_111 3" xfId="1243"/>
    <cellStyle name="_物料平衡表-实际0904-1_106 3" xfId="1244"/>
    <cellStyle name="_BOM_物料平衡9月初稿. 2" xfId="1245"/>
    <cellStyle name="_BOM_物料平衡9月初稿. 2 2" xfId="1246"/>
    <cellStyle name="_BOM_物料平衡9月初稿. 3" xfId="1247"/>
    <cellStyle name="千位分隔 2" xfId="1248"/>
    <cellStyle name="好_还原数据090219_开氏物料表11月初稿" xfId="1249"/>
    <cellStyle name="_ET_STYLE_NoName_00__外购原料收拨付平衡表_物料平衡2012年5月 2" xfId="1250"/>
    <cellStyle name="SAPBEXheaderItem 3 2" xfId="1251"/>
    <cellStyle name="_BOM_物料平衡9月初稿._物料平衡2012年5月" xfId="1252"/>
    <cellStyle name="_ET_STYLE_NoName_00__Book1 2" xfId="1253"/>
    <cellStyle name="标题 4 5" xfId="1254"/>
    <cellStyle name="_BOM_物料平衡测算" xfId="1255"/>
    <cellStyle name="20% - 强调文字颜色 6 15" xfId="1256"/>
    <cellStyle name="差_还原数据090219_109装置物料平衡填报表2009(1).7.31" xfId="1257"/>
    <cellStyle name="差_物料_10月统计（111）平衡 2" xfId="1258"/>
    <cellStyle name="_物料_物料平衡2012年01月_物料平衡2012年5月 2" xfId="1259"/>
    <cellStyle name="_BOM_原油计量途耗报表汇总7月" xfId="1260"/>
    <cellStyle name="SAPBEXstdItemX 8" xfId="1261"/>
    <cellStyle name="_ET_STYLE_NoName_00__开氏物料表1月初稿 3" xfId="1262"/>
    <cellStyle name="_人工成本样表V4" xfId="1263"/>
    <cellStyle name="_数据转换工具升级版本_20080806_中海开氏BCS月报模板" xfId="1264"/>
    <cellStyle name="_BOM_原油计量途耗报表汇总7月 2" xfId="1265"/>
    <cellStyle name="SAPBEXstdItemX 8 2" xfId="1266"/>
    <cellStyle name="60% - 强调文字颜色 5 12" xfId="1267"/>
    <cellStyle name="40% - 强调文字颜色 4 11" xfId="1268"/>
    <cellStyle name="20% - 强调文字颜色 3 10" xfId="1269"/>
    <cellStyle name="SAPBEXheaderText 3 3 2" xfId="1270"/>
    <cellStyle name="_BOM_原油计量途耗报表汇总7月 2 2" xfId="1271"/>
    <cellStyle name="E&amp;Y House" xfId="1272"/>
    <cellStyle name="_BOM_原油计量途耗报表汇总7月 3" xfId="1273"/>
    <cellStyle name="_ET_STYLE_NoName_00__汇总 2 2" xfId="1274"/>
    <cellStyle name="输出 7" xfId="1275"/>
    <cellStyle name="_BOM_原油计量途耗报表汇总7月_物料平衡2012年5月" xfId="1276"/>
    <cellStyle name="_物料_原油计量途耗报表汇总8月" xfId="1277"/>
    <cellStyle name="_BOM_原油计量途耗报表汇总7月_物料平衡2012年5月 2" xfId="1278"/>
    <cellStyle name="_ET_STYLE_NoName_00__108 _物料平衡2012年5月" xfId="1279"/>
    <cellStyle name="_ET_STYLE_NoName_00__113 _物料平衡2012年5月" xfId="1280"/>
    <cellStyle name="解释性文本 12" xfId="1281"/>
    <cellStyle name="_物料_开氏物料表1月初稿" xfId="1282"/>
    <cellStyle name="_BOM_原油计量途耗报表汇总8月 2 2" xfId="1283"/>
    <cellStyle name="60% - 强调文字颜色 5 3" xfId="1284"/>
    <cellStyle name="SAPBEXHLevel3X 5 2 2 2" xfId="1285"/>
    <cellStyle name="_ET_STYLE_NoName_00__106" xfId="1286"/>
    <cellStyle name="_ET_STYLE_NoName_00__111" xfId="1287"/>
    <cellStyle name="_BOM_原油计量途耗报表汇总8月_物料平衡2012年5月" xfId="1288"/>
    <cellStyle name="_物料平衡表-实际0904-1_103-105 3" xfId="1289"/>
    <cellStyle name="_ET_STYLE_NoName_00__物料平衡2011年3月" xfId="1290"/>
    <cellStyle name="_生产订单收发货-ERP_110单元" xfId="1291"/>
    <cellStyle name="SAPBEXHLevel0 3 2 3" xfId="1292"/>
    <cellStyle name="_ET_STYLE_NoName_00__106 2" xfId="1293"/>
    <cellStyle name="_ET_STYLE_NoName_00__111 2" xfId="1294"/>
    <cellStyle name="_物料平衡表-实际0904-1_112" xfId="1295"/>
    <cellStyle name="_物料平衡表-实际0904-1_107" xfId="1296"/>
    <cellStyle name="_ET_STYLE_NoName_00__开氏物料表9月初稿 3" xfId="1297"/>
    <cellStyle name="_物料_物料平衡9月初稿. 2" xfId="1298"/>
    <cellStyle name="SAPBEXaggItem 3 3" xfId="1299"/>
    <cellStyle name="SAPBEXexcCritical4 3 2 2 2" xfId="1300"/>
    <cellStyle name="_BOM_原油计量途耗报表汇总8月_物料平衡2012年5月 2" xfId="1301"/>
    <cellStyle name="_BOM_原油计量途耗报表汇总9月 2 2" xfId="1302"/>
    <cellStyle name="_BOM_原油计量途耗报表汇总9月_物料平衡2012年5月 2" xfId="1303"/>
    <cellStyle name="_ET_STYLE_NoName_00__物料平衡2011年6月---财务" xfId="1304"/>
    <cellStyle name="Total 3 2" xfId="1305"/>
    <cellStyle name="_ET_STYLE_NoName_00__103-105单元物料平衡表09010(上报)" xfId="1306"/>
    <cellStyle name="好_副产蒸汽、凝结水消耗_开氏物料表8月 2" xfId="1307"/>
    <cellStyle name="_BOM_周计划 2" xfId="1308"/>
    <cellStyle name="SAPBEXformats 4 2" xfId="1309"/>
    <cellStyle name="_物料平衡表-实际0904-1_物料平衡2011年6月_物料平衡2012年5月 2" xfId="1310"/>
    <cellStyle name="SAPBEXHLevel3 6 2 2" xfId="1311"/>
    <cellStyle name="_ET_STYLE_NoName_00__108_物料平衡2012年5月 2" xfId="1312"/>
    <cellStyle name="_ET_STYLE_NoName_00__113_物料平衡2012年5月 2" xfId="1313"/>
    <cellStyle name="_物料_原油计量途耗报表汇总9月_物料平衡2012年5月 2" xfId="1314"/>
    <cellStyle name="_BOM_周计划表20091230" xfId="1315"/>
    <cellStyle name="好_110装置物料平衡表填报表1 2" xfId="1316"/>
    <cellStyle name="SAPBEXexcBad9 4 3" xfId="1317"/>
    <cellStyle name="Heading2" xfId="1318"/>
    <cellStyle name="_BOM_周计划表20091230 2" xfId="1319"/>
    <cellStyle name="好_物料主数据模板_1.9_102 2" xfId="1320"/>
    <cellStyle name="60% - 强调文字颜色 1 13" xfId="1321"/>
    <cellStyle name="_物料平衡表-实际0904-1_fangting物料平衡填报表2009.9.30_物料平衡2012年5月 2" xfId="1322"/>
    <cellStyle name="_ET_STYLE_NoName_00_ 2 2" xfId="1323"/>
    <cellStyle name="SAPBEXresDataEmph 5 2 2" xfId="1324"/>
    <cellStyle name="SAPBEXresDataEmph 7 2" xfId="1325"/>
    <cellStyle name="_ET_STYLE_NoName_00_ 3" xfId="1326"/>
    <cellStyle name="_ET_STYLE_NoName_00__~4907560_物料平衡2012年5月 2" xfId="1327"/>
    <cellStyle name="_ET_STYLE_NoName_00__~3993097" xfId="1328"/>
    <cellStyle name="SAPBEXHLevel0 7 2" xfId="1329"/>
    <cellStyle name="_ET_STYLE_NoName_00__~3993097 2" xfId="1330"/>
    <cellStyle name="SAPBEXHLevel0 7 2 2" xfId="1331"/>
    <cellStyle name="_ET_STYLE_NoName_00__108 12" xfId="1332"/>
    <cellStyle name="_ET_STYLE_NoName_00__113 12" xfId="1333"/>
    <cellStyle name="_ET_STYLE_NoName_00__~3993097 2 2" xfId="1334"/>
    <cellStyle name="SAPBEXformats 6 2" xfId="1335"/>
    <cellStyle name="_ET_STYLE_NoName_00__~3993097 3" xfId="1336"/>
    <cellStyle name="_物料平衡表-实际0904-1_物料平衡8月初稿." xfId="1337"/>
    <cellStyle name="_ET_STYLE_NoName_00__~3993097_物料平衡2012年5月" xfId="1338"/>
    <cellStyle name="SAPBEXaggItemX 4 2" xfId="1339"/>
    <cellStyle name="_物料_107 3" xfId="1340"/>
    <cellStyle name="_物料_112 3" xfId="1341"/>
    <cellStyle name="强调文字颜色 2 4" xfId="1342"/>
    <cellStyle name="普通-01井史概述" xfId="1343"/>
    <cellStyle name="_ET_STYLE_NoName_00__~4907560" xfId="1344"/>
    <cellStyle name="_ET_STYLE_NoName_00__~4907560_物料平衡2012年5月" xfId="1345"/>
    <cellStyle name="SAPBEXHLevel0 7" xfId="1346"/>
    <cellStyle name="_ET_STYLE_NoName_00__101 3" xfId="1347"/>
    <cellStyle name="_物料平衡表-实际0904-1_物料平衡7月初稿3._物料平衡2012年5月 2" xfId="1348"/>
    <cellStyle name="_ET_STYLE_NoName_00__102_物料平衡2012年5月 2" xfId="1349"/>
    <cellStyle name="SAPBEXHLevel3 4 3" xfId="1350"/>
    <cellStyle name="imp-pr-item" xfId="1351"/>
    <cellStyle name="_ET_STYLE_NoName_00__103-105" xfId="1352"/>
    <cellStyle name="标题 2 4" xfId="1353"/>
    <cellStyle name="_物料_114-115_物料平衡2012年5月" xfId="1354"/>
    <cellStyle name="_物料平衡表-实际0904-1_物料平衡2012年01月" xfId="1355"/>
    <cellStyle name="SAPBEXHLevel3 4 3 2" xfId="1356"/>
    <cellStyle name="_物料_114-115_物料平衡2012年5月 2" xfId="1357"/>
    <cellStyle name="_ET_STYLE_NoName_00__103-105 2" xfId="1358"/>
    <cellStyle name="_物料平衡表-实际0904-1_物料平衡2012年01月 2" xfId="1359"/>
    <cellStyle name="_ET_STYLE_NoName_00__103-105 2 2" xfId="1360"/>
    <cellStyle name="差_mock生产订单收发货（导入版）_基础计算表" xfId="1361"/>
    <cellStyle name="_ET_STYLE_NoName_00__103-105_物料平衡2012年5月" xfId="1362"/>
    <cellStyle name="_物料_108 12" xfId="1363"/>
    <cellStyle name="_物料_113 12" xfId="1364"/>
    <cellStyle name="_ET_STYLE_NoName_00__开氏物料表11月初稿 3" xfId="1365"/>
    <cellStyle name="_ET_STYLE_NoName_00__109 2 2" xfId="1366"/>
    <cellStyle name="_ET_STYLE_NoName_00__114 2 2" xfId="1367"/>
    <cellStyle name="_数据转换工具升级版本_20080806_中海开氏BCS月报201202" xfId="1368"/>
    <cellStyle name="_ET_STYLE_NoName_00__103-105_物料平衡2012年5月 2" xfId="1369"/>
    <cellStyle name="Total 3 2 2" xfId="1370"/>
    <cellStyle name="_ET_STYLE_NoName_00__103-105单元物料平衡表09010(上报) 2" xfId="1371"/>
    <cellStyle name="Output 2 7 3" xfId="1372"/>
    <cellStyle name="Total 3 2 2 2" xfId="1373"/>
    <cellStyle name="_ET_STYLE_NoName_00__103-105单元物料平衡表09010(上报) 2 2" xfId="1374"/>
    <cellStyle name="SAPBEXaggDataEmph 2" xfId="1375"/>
    <cellStyle name="_ET_STYLE_NoName_00__103-105单元物料平衡表09010(上报)_物料平衡2012年5月" xfId="1376"/>
    <cellStyle name="_物料_106 3" xfId="1377"/>
    <cellStyle name="_物料_111 3" xfId="1378"/>
    <cellStyle name="_ET_STYLE_NoName_00__103-105单元物料平衡表09011(上报)" xfId="1379"/>
    <cellStyle name="通貨 [0.00]_１１月価格表" xfId="1380"/>
    <cellStyle name="差_惠炼BOM（20081219）_开氏物料表9月初稿 2" xfId="1381"/>
    <cellStyle name="revised" xfId="1382"/>
    <cellStyle name="_ET_STYLE_NoName_00__103-105单元物料平衡表09011(上报) 2 2" xfId="1383"/>
    <cellStyle name="_ET_STYLE_NoName_00__103-105单元物料平衡表09011(上报) 3" xfId="1384"/>
    <cellStyle name="_ET_STYLE_NoName_00__物料平衡2011年3月 2" xfId="1385"/>
    <cellStyle name="差_惠炼BOM（20081219）_开氏物料表11月初稿" xfId="1386"/>
    <cellStyle name="_ET_STYLE_NoName_00__106 2 2" xfId="1387"/>
    <cellStyle name="60% - 强调文字颜色 5 7" xfId="1388"/>
    <cellStyle name="SAPBEXheaderText" xfId="1389"/>
    <cellStyle name="_物料平衡表-实际0904-1_112 2" xfId="1390"/>
    <cellStyle name="_物料平衡表-实际0904-1_107 2" xfId="1391"/>
    <cellStyle name="_物料_物料平衡9月初稿. 2 2" xfId="1392"/>
    <cellStyle name="SAPBEXaggItem 3 3 2" xfId="1393"/>
    <cellStyle name="_ET_STYLE_NoName_00__115" xfId="1394"/>
    <cellStyle name="好_mock生产订单收发货（导入版）_开氏物料表1月初稿" xfId="1395"/>
    <cellStyle name="_ET_STYLE_NoName_00__106 3" xfId="1396"/>
    <cellStyle name="_ET_STYLE_NoName_00__111 3" xfId="1397"/>
    <cellStyle name="差_惠炼BOM（20081219）_Sheet1" xfId="1398"/>
    <cellStyle name="_ET_STYLE_NoName_00__开氏物料表12月初稿 2" xfId="1399"/>
    <cellStyle name="_ET_STYLE_NoName_00__106_物料平衡2012年5月" xfId="1400"/>
    <cellStyle name="_ET_STYLE_NoName_00__111_物料平衡2012年5月" xfId="1401"/>
    <cellStyle name="_ET_STYLE_NoName_00__106_物料平衡2012年5月 2" xfId="1402"/>
    <cellStyle name="_ET_STYLE_NoName_00__111_物料平衡2012年5月 2" xfId="1403"/>
    <cellStyle name="60% - 强调文字颜色 5 4" xfId="1404"/>
    <cellStyle name="_ET_STYLE_NoName_00__107" xfId="1405"/>
    <cellStyle name="_ET_STYLE_NoName_00__112" xfId="1406"/>
    <cellStyle name="差_mock生产订单收发货（导入版）_0907炼油与开氏主要物料结算量2" xfId="1407"/>
    <cellStyle name="_ET_STYLE_NoName_00__原油计量途耗报表汇总8月" xfId="1408"/>
    <cellStyle name="SAPBEXaggItem 4 3" xfId="1409"/>
    <cellStyle name="_ET_STYLE_NoName_00__107 2" xfId="1410"/>
    <cellStyle name="_ET_STYLE_NoName_00__112 2" xfId="1411"/>
    <cellStyle name="差_mock生产订单收发货（导入版）_0907炼油与开氏主要物料结算量2 2" xfId="1412"/>
    <cellStyle name="_ET_STYLE_NoName_00__107 3" xfId="1413"/>
    <cellStyle name="_ET_STYLE_NoName_00__112 3" xfId="1414"/>
    <cellStyle name="Total 2 5 2 2 2" xfId="1415"/>
    <cellStyle name="60% - 强调文字颜色 2 11" xfId="1416"/>
    <cellStyle name="40% - 强调文字颜色 1 10" xfId="1417"/>
    <cellStyle name="_ET_STYLE_NoName_00__107_物料平衡2012年5月" xfId="1418"/>
    <cellStyle name="_ET_STYLE_NoName_00__112_物料平衡2012年5月" xfId="1419"/>
    <cellStyle name="SAPBEXundefined 2 2" xfId="1420"/>
    <cellStyle name="Calculation" xfId="1421"/>
    <cellStyle name="_ET_STYLE_NoName_00__107_物料平衡2012年5月 2" xfId="1422"/>
    <cellStyle name="_ET_STYLE_NoName_00__112_物料平衡2012年5月 2" xfId="1423"/>
    <cellStyle name="SAPBEXundefined 2 2 2" xfId="1424"/>
    <cellStyle name="差_还原数据090219_fangting物料平衡填报表2009.9.30 2" xfId="1425"/>
    <cellStyle name="60% - 强调文字颜色 5 5" xfId="1426"/>
    <cellStyle name="_物料平衡表-实际0904-1_物料平衡2011年6月" xfId="1427"/>
    <cellStyle name="Input 10 2 2 2" xfId="1428"/>
    <cellStyle name="_ET_STYLE_NoName_00__108" xfId="1429"/>
    <cellStyle name="_ET_STYLE_NoName_00__113" xfId="1430"/>
    <cellStyle name="60% - 强调文字颜色 5 14" xfId="1431"/>
    <cellStyle name="40% - 强调文字颜色 4 13" xfId="1432"/>
    <cellStyle name="20% - 强调文字颜色 3 12" xfId="1433"/>
    <cellStyle name="SAPBEXexcGood3 3 3 2" xfId="1434"/>
    <cellStyle name="_ET_STYLE_NoName_00__108 " xfId="1435"/>
    <cellStyle name="_ET_STYLE_NoName_00__113 " xfId="1436"/>
    <cellStyle name="_物料平衡表-实际0904-1_0908炼油与开氏主要物料结算量" xfId="1437"/>
    <cellStyle name="好_副产蒸汽、凝结水消耗_0907炼油与开氏主要物料结算量2" xfId="1438"/>
    <cellStyle name="_ET_STYLE_NoName_00__108  2" xfId="1439"/>
    <cellStyle name="_ET_STYLE_NoName_00__113  2" xfId="1440"/>
    <cellStyle name="差_110" xfId="1441"/>
    <cellStyle name="Calculation 2 4 2 2 2" xfId="1442"/>
    <cellStyle name="Output 6" xfId="1443"/>
    <cellStyle name="_物料_103-105单元物料平衡表09011(上报)_物料平衡2012年5月" xfId="1444"/>
    <cellStyle name="SAPBEXexcGood2 3 2" xfId="1445"/>
    <cellStyle name="_物料平衡表-实际0904-1_0908炼油与开氏主要物料结算量 2" xfId="1446"/>
    <cellStyle name="好_副产蒸汽、凝结水消耗_0907炼油与开氏主要物料结算量2 2" xfId="1447"/>
    <cellStyle name="_ET_STYLE_NoName_00__108  2 2" xfId="1448"/>
    <cellStyle name="_ET_STYLE_NoName_00__108 8" xfId="1449"/>
    <cellStyle name="_ET_STYLE_NoName_00__113  2 2" xfId="1450"/>
    <cellStyle name="_ET_STYLE_NoName_00__113 8" xfId="1451"/>
    <cellStyle name="SAPBEXfilterDrill 4 3" xfId="1452"/>
    <cellStyle name="Calculation 2 4 2 3" xfId="1453"/>
    <cellStyle name="标题 12" xfId="1454"/>
    <cellStyle name="SAPBEXexcGood2 4" xfId="1455"/>
    <cellStyle name="_ET_STYLE_NoName_00__物料平衡3月_物料平衡2012年5月" xfId="1456"/>
    <cellStyle name="_ET_STYLE_NoName_00__108  3" xfId="1457"/>
    <cellStyle name="_ET_STYLE_NoName_00__113  3" xfId="1458"/>
    <cellStyle name="差_副产蒸汽、凝结水消耗_10月统计（111）平衡 2" xfId="1459"/>
    <cellStyle name="好_mock生产订单收发货（导入版）_物料平衡7月初稿3." xfId="1460"/>
    <cellStyle name="_ET_STYLE_NoName_00__108 _物料平衡2012年5月 2" xfId="1461"/>
    <cellStyle name="_ET_STYLE_NoName_00__113 _物料平衡2012年5月 2" xfId="1462"/>
    <cellStyle name="差_生产订单收发货-ERP" xfId="1463"/>
    <cellStyle name="_物料_开氏物料表1月初稿 2" xfId="1464"/>
    <cellStyle name="_物料平衡表-实际0904-1_0907炼油与开氏主要物料结算量2 3" xfId="1465"/>
    <cellStyle name="_ET_STYLE_NoName_00__108 11" xfId="1466"/>
    <cellStyle name="_ET_STYLE_NoName_00__113 11" xfId="1467"/>
    <cellStyle name="_物料平衡表-实际0904-1_物料平衡2011年6月 2" xfId="1468"/>
    <cellStyle name="_ET_STYLE_NoName_00__108 2" xfId="1469"/>
    <cellStyle name="_ET_STYLE_NoName_00__113 2" xfId="1470"/>
    <cellStyle name="_ET_STYLE_NoName_00__108 3" xfId="1471"/>
    <cellStyle name="_ET_STYLE_NoName_00__113 3" xfId="1472"/>
    <cellStyle name="_ET_STYLE_NoName_00__108 4" xfId="1473"/>
    <cellStyle name="_ET_STYLE_NoName_00__113 4" xfId="1474"/>
    <cellStyle name="Input 19 2" xfId="1475"/>
    <cellStyle name="_ET_STYLE_NoName_00__108 5" xfId="1476"/>
    <cellStyle name="_ET_STYLE_NoName_00__113 5" xfId="1477"/>
    <cellStyle name="_ET_STYLE_NoName_00__108 6" xfId="1478"/>
    <cellStyle name="_ET_STYLE_NoName_00__113 6" xfId="1479"/>
    <cellStyle name="60% - 强调文字颜色 5 6" xfId="1480"/>
    <cellStyle name="_ET_STYLE_NoName_00__109" xfId="1481"/>
    <cellStyle name="_ET_STYLE_NoName_00__114" xfId="1482"/>
    <cellStyle name="_ET_STYLE_NoName_00__109 2" xfId="1483"/>
    <cellStyle name="_ET_STYLE_NoName_00__114 2" xfId="1484"/>
    <cellStyle name="_ET_STYLE_NoName_00__109 3" xfId="1485"/>
    <cellStyle name="_ET_STYLE_NoName_00__114 3" xfId="1486"/>
    <cellStyle name="_ET_STYLE_NoName_00__116各装置物料平衡填报表2011.5_物料平衡2012年5月 2" xfId="1487"/>
    <cellStyle name="SAPBEXaggItem 2" xfId="1488"/>
    <cellStyle name="SAPBEXexcCritical6 7 2 2" xfId="1489"/>
    <cellStyle name="_ET_STYLE_NoName_00__109_物料平衡2012年5月" xfId="1490"/>
    <cellStyle name="_ET_STYLE_NoName_00__114_物料平衡2012年5月" xfId="1491"/>
    <cellStyle name="_物料_物料平衡2011年3月 2" xfId="1492"/>
    <cellStyle name="_数据转换工具升级版本_20080806_Book1" xfId="1493"/>
    <cellStyle name="SAPBEXheaderItem 3 2 3" xfId="1494"/>
    <cellStyle name="差_还原数据090219_103-105单元物料平衡表09010(上报) 2" xfId="1495"/>
    <cellStyle name="_ET_STYLE_NoName_00__109_物料平衡2012年5月 2" xfId="1496"/>
    <cellStyle name="_ET_STYLE_NoName_00__114_物料平衡2012年5月 2" xfId="1497"/>
    <cellStyle name="60% - 强调文字颜色 5 2" xfId="1498"/>
    <cellStyle name="SAPBEXaggData 5 3" xfId="1499"/>
    <cellStyle name="_ET_STYLE_NoName_00__110" xfId="1500"/>
    <cellStyle name="_ET_STYLE_NoName_00__开氏物料表1月初稿_物料平衡2012年5月" xfId="1501"/>
    <cellStyle name="_ET_STYLE_NoName_00__110 3" xfId="1502"/>
    <cellStyle name="SAPBEXfilterDrill 2 2 3" xfId="1503"/>
    <cellStyle name="好_MES-ERP编码对应_开氏物料表11月初稿" xfId="1504"/>
    <cellStyle name="常规 9 2" xfId="1505"/>
    <cellStyle name="40% - 强调文字颜色 1 3" xfId="1506"/>
    <cellStyle name="_ET_STYLE_NoName_00__110_物料平衡2012年5月" xfId="1507"/>
    <cellStyle name="_ET_STYLE_NoName_00__芳烃装置" xfId="1508"/>
    <cellStyle name="input 29" xfId="1509"/>
    <cellStyle name="_物料平衡表-实际0904-1_113 5" xfId="1510"/>
    <cellStyle name="_物料平衡表-实际0904-1_108 5" xfId="1511"/>
    <cellStyle name="_ET_STYLE_NoName_00__110装置物料平衡表填报表1 3" xfId="1512"/>
    <cellStyle name="_物料_108 4" xfId="1513"/>
    <cellStyle name="_物料_113 4" xfId="1514"/>
    <cellStyle name="SAPBEXexcCritical4 7" xfId="1515"/>
    <cellStyle name="强调文字颜色 3 5" xfId="1516"/>
    <cellStyle name="Calculation 5 2 3" xfId="1517"/>
    <cellStyle name="_物料平衡表-实际0904-1_物料平衡7月终稿." xfId="1518"/>
    <cellStyle name="_ET_STYLE_NoName_00__110装置物料平衡表填报表1_物料平衡2012年5月" xfId="1519"/>
    <cellStyle name="_ET_STYLE_NoName_00__110装置物料平衡表填报表1_物料平衡2012年5月 2" xfId="1520"/>
    <cellStyle name="_mock生产订单收发货（导入版）_生产经营周报2010.7.9" xfId="1521"/>
    <cellStyle name="SAPBEXstdItemX 5 2 3" xfId="1522"/>
    <cellStyle name="Output 2 6 2" xfId="1523"/>
    <cellStyle name="_ET_STYLE_NoName_00__112（112单元）" xfId="1524"/>
    <cellStyle name="好_还原数据090219_103-105单元物料平衡表09011(上报)" xfId="1525"/>
    <cellStyle name="Output 2 6 2 2" xfId="1526"/>
    <cellStyle name="_ET_STYLE_NoName_00__112（112单元） 2" xfId="1527"/>
    <cellStyle name="Input 2 4 2 3" xfId="1528"/>
    <cellStyle name="_ET_STYLE_NoName_00__112（112单元） 2 2" xfId="1529"/>
    <cellStyle name="SAPBEXexcBad7 3 2 2 2" xfId="1530"/>
    <cellStyle name="_ET_STYLE_NoName_00__112（112单元） 3" xfId="1531"/>
    <cellStyle name="Input [yellow] 2" xfId="1532"/>
    <cellStyle name="_ET_STYLE_NoName_00__周报2009.7.10修改周计划 2" xfId="1533"/>
    <cellStyle name="_ET_STYLE_NoName_00__112（112单元）_物料平衡2012年5月" xfId="1534"/>
    <cellStyle name="_ET_STYLE_NoName_00__112（112单元）_物料平衡2012年5月 2" xfId="1535"/>
    <cellStyle name="_ET_STYLE_NoName_00__114  2 2" xfId="1536"/>
    <cellStyle name="SAPBEXstdItemX 2 2 3" xfId="1537"/>
    <cellStyle name="_ET_STYLE_NoName_00__114  3" xfId="1538"/>
    <cellStyle name="检查单元格 2" xfId="1539"/>
    <cellStyle name="_物料_103-105" xfId="1540"/>
    <cellStyle name="SAPBEXexcGood3 5 3 2" xfId="1541"/>
    <cellStyle name="_物料_114  3" xfId="1542"/>
    <cellStyle name="_ET_STYLE_NoName_00__114 _物料平衡2012年5月 2" xfId="1543"/>
    <cellStyle name="Output Line Items 2" xfId="1544"/>
    <cellStyle name="差_201204生产经营计划说明" xfId="1545"/>
    <cellStyle name="_ET_STYLE_NoName_00__114 4" xfId="1546"/>
    <cellStyle name="SAPBEXaggItem 3" xfId="1547"/>
    <cellStyle name="_ET_STYLE_NoName_00__开氏物料表9月初稿" xfId="1548"/>
    <cellStyle name="差_mock生产订单收发货（导入版）_开氏物料表1月初稿" xfId="1549"/>
    <cellStyle name="_ET_STYLE_NoName_00__114 5" xfId="1550"/>
    <cellStyle name="SAPBEXaggItem 4" xfId="1551"/>
    <cellStyle name="_ET_STYLE_NoName_00__114 6" xfId="1552"/>
    <cellStyle name="SAPBEXaggItem 5" xfId="1553"/>
    <cellStyle name="_物料平衡表-实际0904-1_Book3 2 2" xfId="1554"/>
    <cellStyle name="_ET_STYLE_NoName_00__114 9" xfId="1555"/>
    <cellStyle name="SAPBEXaggItem 8" xfId="1556"/>
    <cellStyle name="差_mock生产订单收发货（导入版）_101" xfId="1557"/>
    <cellStyle name="检查单元格 12" xfId="1558"/>
    <cellStyle name="_ET_STYLE_NoName_00__114-115" xfId="1559"/>
    <cellStyle name="SAPBEXHLevel3X 7 3" xfId="1560"/>
    <cellStyle name="差_mock生产订单收发货（导入版）_106" xfId="1561"/>
    <cellStyle name="差_mock生产订单收发货（导入版）_111" xfId="1562"/>
    <cellStyle name="_ET_STYLE_NoName_00__114-115 2" xfId="1563"/>
    <cellStyle name="常规 9 3" xfId="1564"/>
    <cellStyle name="40% - 强调文字颜色 1 4" xfId="1565"/>
    <cellStyle name="差_mock生产订单收发货（导入版）_106 2" xfId="1566"/>
    <cellStyle name="差_mock生产订单收发货（导入版）_111 2" xfId="1567"/>
    <cellStyle name="_ET_STYLE_NoName_00__114-115 2 2" xfId="1568"/>
    <cellStyle name="差_mock生产订单收发货（导入版）_112" xfId="1569"/>
    <cellStyle name="_ET_STYLE_NoName_00__114-115 3" xfId="1570"/>
    <cellStyle name="_ET_STYLE_NoName_00__114-115_物料平衡2012年5月" xfId="1571"/>
    <cellStyle name="SAPBEXHLevel3X 2 3" xfId="1572"/>
    <cellStyle name="_ET_STYLE_NoName_00__114-115_物料平衡2012年5月 2" xfId="1573"/>
    <cellStyle name="SAPBEXHLevel3X 2 3 2" xfId="1574"/>
    <cellStyle name="_ET_STYLE_NoName_00__开氏物料表11月初稿" xfId="1575"/>
    <cellStyle name="_ET_STYLE_NoName_00__开氏物料表1月初稿" xfId="1576"/>
    <cellStyle name="_ET_STYLE_NoName_00__115 3" xfId="1577"/>
    <cellStyle name="Calculation 2 2 2 3" xfId="1578"/>
    <cellStyle name="_ET_STYLE_NoName_00__115_物料平衡2012年5月" xfId="1579"/>
    <cellStyle name="SAPBEXaggData 6 2" xfId="1580"/>
    <cellStyle name="_ET_STYLE_NoName_00__9月流程图" xfId="1581"/>
    <cellStyle name="好_201011 2" xfId="1582"/>
    <cellStyle name="SAPBEXHLevel0X 4" xfId="1583"/>
    <cellStyle name="_ET_STYLE_NoName_00__9月流程图 2" xfId="1584"/>
    <cellStyle name="40% - 强调文字颜色 6 8" xfId="1585"/>
    <cellStyle name="SAPBEXHLevel0X 4 2" xfId="1586"/>
    <cellStyle name="_ET_STYLE_NoName_00__9月流程图 2 2" xfId="1587"/>
    <cellStyle name="_物料_103-105_物料平衡2012年5月 2" xfId="1588"/>
    <cellStyle name="SAPBEXHLevel2 7" xfId="1589"/>
    <cellStyle name="SAPBEXHLevel0X 5" xfId="1590"/>
    <cellStyle name="_ET_STYLE_NoName_00__9月流程图 3" xfId="1591"/>
    <cellStyle name="_ET_STYLE_NoName_00__9月流程图_物料平衡2012年5月" xfId="1592"/>
    <cellStyle name="60% - 强调文字颜色 3 8" xfId="1593"/>
    <cellStyle name="汇总 15" xfId="1594"/>
    <cellStyle name="_物料_114 11" xfId="1595"/>
    <cellStyle name="_ET_STYLE_NoName_00__9月流程图_物料平衡2012年5月 2" xfId="1596"/>
    <cellStyle name="_物料_物料平衡3月_物料平衡2012年5月 2" xfId="1597"/>
    <cellStyle name="_ET_STYLE_NoName_00__Book1" xfId="1598"/>
    <cellStyle name="_ET_STYLE_NoName_00__Book3" xfId="1599"/>
    <cellStyle name="SAPBEXexcGood3 4 2 3" xfId="1600"/>
    <cellStyle name="_ET_STYLE_NoName_00__原油计量途耗报表汇总8月 2 2" xfId="1601"/>
    <cellStyle name="SAPBEXexcGood2 2" xfId="1602"/>
    <cellStyle name="标题 10" xfId="1603"/>
    <cellStyle name="_物料_9月流程图_物料平衡2012年5月 2" xfId="1604"/>
    <cellStyle name="SAPBEXexcGood2 2 3" xfId="1605"/>
    <cellStyle name="SAPBEXHLevel1X 3 2 2" xfId="1606"/>
    <cellStyle name="_ET_STYLE_NoName_00__Book3 3" xfId="1607"/>
    <cellStyle name="SAPBEXundefined 4 2 2 2" xfId="1608"/>
    <cellStyle name="_ET_STYLE_NoName_00__Book3_物料平衡2012年5月" xfId="1609"/>
    <cellStyle name="SAPBEXexcCritical6 9" xfId="1610"/>
    <cellStyle name="强调文字颜色 5 7" xfId="1611"/>
    <cellStyle name="_物料_物料平衡7月终稿._物料平衡2012年5月" xfId="1612"/>
    <cellStyle name="_ET_STYLE_NoName_00__Book3_物料平衡2012年5月 2" xfId="1613"/>
    <cellStyle name="_ET_STYLE_NoName_00__物料平衡2012年01月_物料平衡2012年5月" xfId="1614"/>
    <cellStyle name="_ET_STYLE_NoName_00__psa 3" xfId="1615"/>
    <cellStyle name="_ET_STYLE_NoName_00__psa_物料平衡2012年5月" xfId="1616"/>
    <cellStyle name="_物料_114-115 3" xfId="1617"/>
    <cellStyle name="_ET_STYLE_NoName_00__psa_物料平衡2012年5月 2" xfId="1618"/>
    <cellStyle name="_ET_STYLE_NoName_00__汇总" xfId="1619"/>
    <cellStyle name="差_103-105" xfId="1620"/>
    <cellStyle name="_ET_STYLE_NoName_00__汇总 2" xfId="1621"/>
    <cellStyle name="差_103-105 2" xfId="1622"/>
    <cellStyle name="Note 7 2" xfId="1623"/>
    <cellStyle name="_ET_STYLE_NoName_00__汇总 3" xfId="1624"/>
    <cellStyle name="_ET_STYLE_NoName_00__开氏物料表7月_物料平衡2012年5月 2" xfId="1625"/>
    <cellStyle name="_ET_STYLE_NoName_00__汇总_物料平衡2012年5月" xfId="1626"/>
    <cellStyle name="_物料_108" xfId="1627"/>
    <cellStyle name="_物料_113" xfId="1628"/>
    <cellStyle name="差_惠炼BOM（20081219）_103-105单元物料平衡表09010(上报)" xfId="1629"/>
    <cellStyle name="_ET_STYLE_NoName_00__汇总_物料平衡2012年5月 2" xfId="1630"/>
    <cellStyle name="好_MES-ERP编码对应 2" xfId="1631"/>
    <cellStyle name="_物料_108 11" xfId="1632"/>
    <cellStyle name="_物料_113 11" xfId="1633"/>
    <cellStyle name="_ET_STYLE_NoName_00__开氏物料表11月初稿 2" xfId="1634"/>
    <cellStyle name="Output 2 5 2 3" xfId="1635"/>
    <cellStyle name="_ET_STYLE_NoName_00__开氏物料表11月初稿 2 2" xfId="1636"/>
    <cellStyle name="差_物料_开氏物料表9月初稿" xfId="1637"/>
    <cellStyle name="差_惠炼BOM（20081219）_物料平衡7月初稿3." xfId="1638"/>
    <cellStyle name="_ET_STYLE_NoName_00__开氏物料表11月初稿_物料平衡2012年5月" xfId="1639"/>
    <cellStyle name="_物料平衡表-实际0904-1_物料平衡8月初稿._物料平衡2012年5月" xfId="1640"/>
    <cellStyle name="差_物料_开氏物料表9月初稿 2" xfId="1641"/>
    <cellStyle name="差_惠炼BOM（20081219）_物料平衡7月初稿3. 2" xfId="1642"/>
    <cellStyle name="_ET_STYLE_NoName_00__开氏物料表11月初稿_物料平衡2012年5月 2" xfId="1643"/>
    <cellStyle name="_物料_0908炼油与开氏主要物料结算量 2 2" xfId="1644"/>
    <cellStyle name="SAPBEXresItemX 4 2 2 2" xfId="1645"/>
    <cellStyle name="_ET_STYLE_NoName_00__开氏物料表12月初稿" xfId="1646"/>
    <cellStyle name="_mock生产订单收发货（导入版）" xfId="1647"/>
    <cellStyle name="_ET_STYLE_NoName_00__开氏物料表12月初稿 3" xfId="1648"/>
    <cellStyle name="Input 12" xfId="1649"/>
    <cellStyle name="_ET_STYLE_NoName_00__开氏物料表12月初稿_物料平衡2012年5月 2" xfId="1650"/>
    <cellStyle name="百分比 3" xfId="1651"/>
    <cellStyle name="SAPBEXstdData 3 2 2" xfId="1652"/>
    <cellStyle name="_ET_STYLE_NoName_00__开氏物料表1月初稿 2" xfId="1653"/>
    <cellStyle name="Accent2" xfId="1654"/>
    <cellStyle name="_ET_STYLE_NoName_00__开氏物料表1月初稿 2 2" xfId="1655"/>
    <cellStyle name="_ET_STYLE_NoName_00__开氏物料表1月初稿_物料平衡2012年5月 2" xfId="1656"/>
    <cellStyle name="SAPBEXstdItemX 4 2 2 2" xfId="1657"/>
    <cellStyle name="_ET_STYLE_NoName_00__开氏物料表8月" xfId="1658"/>
    <cellStyle name="标题 3 3" xfId="1659"/>
    <cellStyle name="_ET_STYLE_NoName_00__开氏物料表8月 2" xfId="1660"/>
    <cellStyle name="_ET_STYLE_NoName_00__开氏物料表8月 2 2" xfId="1661"/>
    <cellStyle name="标题 3 4" xfId="1662"/>
    <cellStyle name="_ET_STYLE_NoName_00__开氏物料表8月 3" xfId="1663"/>
    <cellStyle name="_ET_STYLE_NoName_00__开氏物料表8月_物料平衡2012年5月" xfId="1664"/>
    <cellStyle name="40% - 强调文字颜色 6 12" xfId="1665"/>
    <cellStyle name="20% - 强调文字颜色 5 11" xfId="1666"/>
    <cellStyle name="_物料平衡表-实际0904-1_101_物料平衡2012年5月" xfId="1667"/>
    <cellStyle name="SAPBEXaggItemX 5 2" xfId="1668"/>
    <cellStyle name="Input 8" xfId="1669"/>
    <cellStyle name="_ET_STYLE_NoName_00__开氏物料表8月_物料平衡2012年5月 2" xfId="1670"/>
    <cellStyle name="_物料平衡表-实际0904-1_111" xfId="1671"/>
    <cellStyle name="_物料平衡表-实际0904-1_106" xfId="1672"/>
    <cellStyle name="_ET_STYLE_NoName_00__开氏物料表9月初稿 2" xfId="1673"/>
    <cellStyle name="_物料平衡表-实际0904-1_111 2" xfId="1674"/>
    <cellStyle name="_物料平衡表-实际0904-1_106 2" xfId="1675"/>
    <cellStyle name="_ET_STYLE_NoName_00__开氏物料表9月初稿 2 2" xfId="1676"/>
    <cellStyle name="60% - 强调文字颜色 4 7" xfId="1677"/>
    <cellStyle name="差_副产蒸汽、凝结水消耗_开氏物料表1月初稿" xfId="1678"/>
    <cellStyle name="60% - 强调文字颜色 3 9" xfId="1679"/>
    <cellStyle name="_物料_114 12" xfId="1680"/>
    <cellStyle name="好_mock生产订单收发货（导入版）_108单元物料平衡表" xfId="1681"/>
    <cellStyle name="_ET_STYLE_NoName_00__开氏物料表9月初稿_物料平衡2012年5月 2" xfId="1682"/>
    <cellStyle name="SAPBEXaggItem 6 2" xfId="1683"/>
    <cellStyle name="SAPBEXfilterDrill 5 2 2" xfId="1684"/>
    <cellStyle name="_物料平衡表-实际0904-1_113 3" xfId="1685"/>
    <cellStyle name="_物料平衡表-实际0904-1_108 3" xfId="1686"/>
    <cellStyle name="_ET_STYLE_NoName_00__外购原料收拨付平衡表" xfId="1687"/>
    <cellStyle name="60% - 强调文字颜色 6 8" xfId="1688"/>
    <cellStyle name="好_还原数据090219_110" xfId="1689"/>
    <cellStyle name="_ET_STYLE_NoName_00__外购原料收拨付平衡表 2 2" xfId="1690"/>
    <cellStyle name="Grey" xfId="1691"/>
    <cellStyle name="好_物料主数据模板_1.9_Sheet1" xfId="1692"/>
    <cellStyle name="0,0_x000d__x000a_NA_x000d__x000a_ 2" xfId="1693"/>
    <cellStyle name="_物料平衡表-实际0904-1_111 2 2" xfId="1694"/>
    <cellStyle name="_物料平衡表-实际0904-1_106 2 2" xfId="1695"/>
    <cellStyle name="Output 6 3" xfId="1696"/>
    <cellStyle name="_ET_STYLE_NoName_00__物料平衡2011年3月_物料平衡2012年5月" xfId="1697"/>
    <cellStyle name="SAPBEXexcGood2 3 2 3" xfId="1698"/>
    <cellStyle name="SAPBEXaggItem 3 2 2 2" xfId="1699"/>
    <cellStyle name="差_各装置物料平衡表填报表090630" xfId="1700"/>
    <cellStyle name="_ET_STYLE_NoName_00__物料平衡2011年3月_物料平衡2012年5月 2" xfId="1701"/>
    <cellStyle name="_ET_STYLE_NoName_00__物料平衡2011年6月---财务 2" xfId="1702"/>
    <cellStyle name="_mock生产订单收发货（导入版）_110" xfId="1703"/>
    <cellStyle name="差_mock生产订单收发货（导入版）_110装置物料平衡表填报表1" xfId="1704"/>
    <cellStyle name="_ET_STYLE_NoName_00__物料平衡2011年6月---财务_物料平衡2012年5月" xfId="1705"/>
    <cellStyle name="60% - 强调文字颜色 6 13" xfId="1706"/>
    <cellStyle name="40% - 强调文字颜色 5 12" xfId="1707"/>
    <cellStyle name="20% - 强调文字颜色 4 11" xfId="1708"/>
    <cellStyle name="=C:\WINNT\SYSTEM32\COMMAND.COM 3" xfId="1709"/>
    <cellStyle name="_ET_STYLE_NoName_00__物料平衡2012年01月_物料平衡2012年5月 2" xfId="1710"/>
    <cellStyle name="_物料平衡表-实际0904-1_开氏物料表8月 3" xfId="1711"/>
    <cellStyle name="_物料平衡表-实际0904-1_汇总_物料平衡2012年5月 2" xfId="1712"/>
    <cellStyle name="SAPBEXexcBad7 7 2" xfId="1713"/>
    <cellStyle name="_物料_103-105 3" xfId="1714"/>
    <cellStyle name="_ET_STYLE_NoName_00__物料平衡2012年5月" xfId="1715"/>
    <cellStyle name="Linked Cell 3" xfId="1716"/>
    <cellStyle name="40% - Accent4" xfId="1717"/>
    <cellStyle name="Normal - Style1" xfId="1718"/>
    <cellStyle name="_ET_STYLE_NoName_00__物料平衡2012年5月 2" xfId="1719"/>
    <cellStyle name="_ET_STYLE_NoName_00__物料平衡3月" xfId="1720"/>
    <cellStyle name="Input 9 2 2 2" xfId="1721"/>
    <cellStyle name="_物料_psa 3" xfId="1722"/>
    <cellStyle name="_ET_STYLE_NoName_00__物料平衡7月终稿." xfId="1723"/>
    <cellStyle name="差_生产订单收发货-ERP_~4907560 2" xfId="1724"/>
    <cellStyle name="_物料平衡表-实际0904-1_103-105单元物料平衡表09011(上报) 3" xfId="1725"/>
    <cellStyle name="_ET_STYLE_NoName_00__物料平衡7月终稿. 2" xfId="1726"/>
    <cellStyle name="差 13" xfId="1727"/>
    <cellStyle name="_ET_STYLE_NoName_00__物料平衡7月终稿. 3" xfId="1728"/>
    <cellStyle name="差 14" xfId="1729"/>
    <cellStyle name="SAPBEXHLevel0 2 2 2 2" xfId="1730"/>
    <cellStyle name="_ET_STYLE_NoName_00__物料平衡7月终稿._物料平衡2012年5月" xfId="1731"/>
    <cellStyle name="_物料_102 2 2" xfId="1732"/>
    <cellStyle name="_物料_物料平衡12月" xfId="1733"/>
    <cellStyle name="_ET_STYLE_NoName_00__物料平衡7月终稿._物料平衡2012年5月 2" xfId="1734"/>
    <cellStyle name="_ET_STYLE_NoName_00__物料平衡9月初稿. 2 2" xfId="1735"/>
    <cellStyle name="Input 2 3 2 2 2" xfId="1736"/>
    <cellStyle name="Input 2 3 2 3" xfId="1737"/>
    <cellStyle name="标题 4 7" xfId="1738"/>
    <cellStyle name="_ET_STYLE_NoName_00__物料平衡9月初稿. 3" xfId="1739"/>
    <cellStyle name="Input 2 5 3" xfId="1740"/>
    <cellStyle name="_物料_fangting物料平衡填报表2009.8.31 3" xfId="1741"/>
    <cellStyle name="_ET_STYLE_NoName_00__物料平衡9月初稿._物料平衡2012年5月" xfId="1742"/>
    <cellStyle name="SAPBEXHLevel1 8" xfId="1743"/>
    <cellStyle name="_ET_STYLE_NoName_00__物料平衡9月初稿._物料平衡2012年5月 2" xfId="1744"/>
    <cellStyle name="SAPBEXexcGood3 4 3" xfId="1745"/>
    <cellStyle name="_物料_101" xfId="1746"/>
    <cellStyle name="_ET_STYLE_NoName_00__物料平衡测算" xfId="1747"/>
    <cellStyle name="SAPBEXexcGood3 4 3 2" xfId="1748"/>
    <cellStyle name="_物料_101 2" xfId="1749"/>
    <cellStyle name="_ET_STYLE_NoName_00__物料平衡测算 2" xfId="1750"/>
    <cellStyle name="_物料_101_物料平衡2012年5月" xfId="1751"/>
    <cellStyle name="_物料平衡表-实际0904-1_113 10" xfId="1752"/>
    <cellStyle name="_物料平衡表-实际0904-1_108 10" xfId="1753"/>
    <cellStyle name="标题 1 9" xfId="1754"/>
    <cellStyle name="_ET_STYLE_NoName_00__物料平衡测算_物料平衡2012年5月" xfId="1755"/>
    <cellStyle name="_物料_101_物料平衡2012年5月 2" xfId="1756"/>
    <cellStyle name="_ET_STYLE_NoName_00__物料平衡测算_物料平衡2012年5月 2" xfId="1757"/>
    <cellStyle name="Total 2 4 2 3" xfId="1758"/>
    <cellStyle name="_炼化通用标准模板-尚" xfId="1759"/>
    <cellStyle name="_ET_STYLE_NoName_00__原油计量途耗报表汇总7月" xfId="1760"/>
    <cellStyle name="好_副产蒸汽、凝结水消耗" xfId="1761"/>
    <cellStyle name="_物料_116各装置物料平衡填报表2011.5_物料平衡2012年5月" xfId="1762"/>
    <cellStyle name="_ET_STYLE_NoName_00__原油计量途耗报表汇总7月 2" xfId="1763"/>
    <cellStyle name="好_副产蒸汽、凝结水消耗 2" xfId="1764"/>
    <cellStyle name="_物料_116各装置物料平衡填报表2011.5_物料平衡2012年5月 2" xfId="1765"/>
    <cellStyle name="_ET_STYLE_NoName_00__原油计量途耗报表汇总7月 2 2" xfId="1766"/>
    <cellStyle name="_ET_STYLE_NoName_00__原油计量途耗报表汇总8月_物料平衡2012年5月" xfId="1767"/>
    <cellStyle name="标题 3 10" xfId="1768"/>
    <cellStyle name="input 27" xfId="1769"/>
    <cellStyle name="_ET_STYLE_NoName_00__原油计量途耗报表汇总8月_物料平衡2012年5月 2" xfId="1770"/>
    <cellStyle name="Calculation 3 2 2 2" xfId="1771"/>
    <cellStyle name="_MES-ERP编码对应" xfId="1772"/>
    <cellStyle name="_物料_开氏物料表11月初稿 2" xfId="1773"/>
    <cellStyle name="SAPBEXaggItemX 6 2" xfId="1774"/>
    <cellStyle name="_MES-ERP编码对应_110" xfId="1775"/>
    <cellStyle name="SAPBEXfilterDrill 9" xfId="1776"/>
    <cellStyle name="_MES-ERP编码对应_110单元" xfId="1777"/>
    <cellStyle name="SAPBEXexcBad9 6 2 2" xfId="1778"/>
    <cellStyle name="强调文字颜色 6 11" xfId="1779"/>
    <cellStyle name="差_物料主数据模板_1.9_7月份计划" xfId="1780"/>
    <cellStyle name="_化验2012年第二季度试剂采购计划" xfId="1781"/>
    <cellStyle name="Total 2 3 2 2" xfId="1782"/>
    <cellStyle name="_MES-ERP编码对应_生产经营周报2010.7.9" xfId="1783"/>
    <cellStyle name="60% - 强调文字颜色 6 14" xfId="1784"/>
    <cellStyle name="40% - 强调文字颜色 5 13" xfId="1785"/>
    <cellStyle name="20% - 强调文字颜色 4 12" xfId="1786"/>
    <cellStyle name="_MES-ERP编码对应_物料平衡2011年3月" xfId="1787"/>
    <cellStyle name="差_生产订单收发货-ERP_111" xfId="1788"/>
    <cellStyle name="0,0_x000d__x000a_NA_x000d__x000a_ 5" xfId="1789"/>
    <cellStyle name="_物料_物料平衡7月终稿. 2 2" xfId="1790"/>
    <cellStyle name="_mock生产订单收发货（导入版）_物料平衡2011年3月" xfId="1791"/>
    <cellStyle name="_PIMS报表系统_增强版_v3.80" xfId="1792"/>
    <cellStyle name="SAPBEXexcCritical4 4 2" xfId="1793"/>
    <cellStyle name="_物料_114 4" xfId="1794"/>
    <cellStyle name="SAPBEXexcCritical5 7" xfId="1795"/>
    <cellStyle name="SAPBEXresItem 2" xfId="1796"/>
    <cellStyle name="强调文字颜色 4 5" xfId="1797"/>
    <cellStyle name="_成本预算表" xfId="1798"/>
    <cellStyle name="SAPBEXresDataEmph 3 3 2" xfId="1799"/>
    <cellStyle name="_工作底表" xfId="1800"/>
    <cellStyle name="SAPBEXheaderText 5 2 2" xfId="1801"/>
    <cellStyle name="_公司2011年12月份化工三剂需求计划" xfId="1802"/>
    <cellStyle name="差_副产蒸汽、凝结水消耗_0908炼油与开氏主要物料结算量" xfId="1803"/>
    <cellStyle name="Heading 2 3" xfId="1804"/>
    <cellStyle name="_公司2011年8月份化工三剂需求计划0716" xfId="1805"/>
    <cellStyle name="_公司2011年9月份化工三剂需求计划0816" xfId="1806"/>
    <cellStyle name="_物料_fangting物料平衡填报表2009.9.30 2 2" xfId="1807"/>
    <cellStyle name="_公司2012年03月份化工三剂需求计划" xfId="1808"/>
    <cellStyle name="SAPBEXaggItemX 2 3 2" xfId="1809"/>
    <cellStyle name="_公司2012年04月份化工三剂需求计划" xfId="1810"/>
    <cellStyle name="_物料_物料平衡8月初稿._物料平衡2012年5月" xfId="1811"/>
    <cellStyle name="SAPBEXHLevel3 2 3" xfId="1812"/>
    <cellStyle name="_能耗月报表-1003测算" xfId="1813"/>
    <cellStyle name="price" xfId="1814"/>
    <cellStyle name="_化验2012年第二季度试剂采购计划 2" xfId="1815"/>
    <cellStyle name="_化验中心10月份试剂计划" xfId="1816"/>
    <cellStyle name="SAPBEXexcBad9 3 2" xfId="1817"/>
    <cellStyle name="差_生产订单收发货-ERP_开氏物料表11月初稿 2" xfId="1818"/>
    <cellStyle name="_化验中心2011第二季度试剂采购计划" xfId="1819"/>
    <cellStyle name="20% - 强调文字颜色 2 5" xfId="1820"/>
    <cellStyle name="SAPBEXHLevel2X 3" xfId="1821"/>
    <cellStyle name="_化验中心2011第一季度试剂采购计划" xfId="1822"/>
    <cellStyle name="SAPBEXexcGood1 5 2" xfId="1823"/>
    <cellStyle name="_化验中心2011年第三季度试剂采购计划" xfId="1824"/>
    <cellStyle name="强调文字颜色 3 14" xfId="1825"/>
    <cellStyle name="_物料_10月统计（111）平衡 2 2" xfId="1826"/>
    <cellStyle name="SAPBEXundefined 4 2" xfId="1827"/>
    <cellStyle name="_经济活动分析手册（200908月）fa" xfId="1828"/>
    <cellStyle name="SAPBEXundefined 4 2 2" xfId="1829"/>
    <cellStyle name="_经济活动分析手册（200908月）fa 2" xfId="1830"/>
    <cellStyle name="_库容统计3.23" xfId="1831"/>
    <cellStyle name="_库容统计3.23 2" xfId="1832"/>
    <cellStyle name="SAPBEXexcBad7 5 2 3" xfId="1833"/>
    <cellStyle name="_生产订单收发货-ERP" xfId="1834"/>
    <cellStyle name="SAPBEXchaText 6 2 2" xfId="1835"/>
    <cellStyle name="_物料_107 2" xfId="1836"/>
    <cellStyle name="_物料_112 2" xfId="1837"/>
    <cellStyle name="20% - 强调文字颜色 2 3" xfId="1838"/>
    <cellStyle name="20% - Accent2 2" xfId="1839"/>
    <cellStyle name="_生产订单收发货-ERP_物料平衡2011年3月" xfId="1840"/>
    <cellStyle name="_物料_102_物料平衡2012年5月" xfId="1841"/>
    <cellStyle name="60% - 强调文字颜色 4 5" xfId="1842"/>
    <cellStyle name="_生产经营费用（3）" xfId="1843"/>
    <cellStyle name="好_生产订单收发货-ERP_物料平衡7月初稿3. 2" xfId="1844"/>
    <cellStyle name="_同期数" xfId="1845"/>
    <cellStyle name="差_mock生产订单收发货（导入版）_开氏物料表12月初稿 2" xfId="1846"/>
    <cellStyle name="_物料平衡表-实际0904-1_115 3" xfId="1847"/>
    <cellStyle name="_物料_10月统计（111）平衡" xfId="1848"/>
    <cellStyle name="_物料" xfId="1849"/>
    <cellStyle name="_物料 2" xfId="1850"/>
    <cellStyle name="_物料_10月统计（111）平衡 2" xfId="1851"/>
    <cellStyle name="_物料 3" xfId="1852"/>
    <cellStyle name="Input 15 2" xfId="1853"/>
    <cellStyle name="_物料平衡表-实际0904-1_112（112单元）" xfId="1854"/>
    <cellStyle name="_物料_10月统计（111）平衡 3" xfId="1855"/>
    <cellStyle name="_物料_~3993097" xfId="1856"/>
    <cellStyle name="60% - 强调文字颜色 2 5" xfId="1857"/>
    <cellStyle name="_物料_~3993097 2" xfId="1858"/>
    <cellStyle name="60% - 强调文字颜色 2 6" xfId="1859"/>
    <cellStyle name="_物料_~3993097 3" xfId="1860"/>
    <cellStyle name="_物料平衡表-实际0904-1_psa" xfId="1861"/>
    <cellStyle name="SAPBEXHLevel3 3 2" xfId="1862"/>
    <cellStyle name="标题 1 3" xfId="1863"/>
    <cellStyle name="_物料_~4907560 2" xfId="1864"/>
    <cellStyle name="标题 1 4" xfId="1865"/>
    <cellStyle name="差_mock生产订单收发货（导入版）_5 月份物料平衡（107单元）" xfId="1866"/>
    <cellStyle name="_物料_~4907560 3" xfId="1867"/>
    <cellStyle name="_物料平衡表-实际0904-1_原油计量途耗报表汇总7月 3" xfId="1868"/>
    <cellStyle name="好_还原数据090219_101" xfId="1869"/>
    <cellStyle name="SAPBEXresItem 3 2 2" xfId="1870"/>
    <cellStyle name="_物料_0907炼油与开氏主要物料结算量2 2 2" xfId="1871"/>
    <cellStyle name="_物料平衡表-实际0904-1_9月流程图 2 2" xfId="1872"/>
    <cellStyle name="SAPBEXHLevel3X 6 2" xfId="1873"/>
    <cellStyle name="SAPBEXresItem 3 3" xfId="1874"/>
    <cellStyle name="title 4" xfId="1875"/>
    <cellStyle name="差_2012年6月计划及预计" xfId="1876"/>
    <cellStyle name="好_201008生产经营计划说明" xfId="1877"/>
    <cellStyle name="_物料平衡表-实际0904-1_10月统计（111）平衡 2" xfId="1878"/>
    <cellStyle name="_物料_0907炼油与开氏主要物料结算量2 3" xfId="1879"/>
    <cellStyle name="SAPBEXaggItem 5 2 2" xfId="1880"/>
    <cellStyle name="40% - 强调文字颜色 4 3" xfId="1881"/>
    <cellStyle name="_物料_0907炼油与开氏主要物料结算量2_物料平衡2012年5月" xfId="1882"/>
    <cellStyle name="_物料_0908炼油与开氏主要物料结算量" xfId="1883"/>
    <cellStyle name="SAPBEXexcCritical6 5 2 3" xfId="1884"/>
    <cellStyle name="SAPBEXresItemX 4 2" xfId="1885"/>
    <cellStyle name="_物料_物料平衡2012年5月 2" xfId="1886"/>
    <cellStyle name="_物料_10月统计（111）平衡_物料平衡2012年5月 2" xfId="1887"/>
    <cellStyle name="_物料_0908炼油与开氏主要物料结算量 2" xfId="1888"/>
    <cellStyle name="SAPBEXresItemX 4 2 2" xfId="1889"/>
    <cellStyle name="_物料_物料平衡7月初稿. 2" xfId="1890"/>
    <cellStyle name="_物料_0908炼油与开氏主要物料结算量 3" xfId="1891"/>
    <cellStyle name="SAPBEXaggDataEmph 7 2 2" xfId="1892"/>
    <cellStyle name="SAPBEXresItemX 4 2 3" xfId="1893"/>
    <cellStyle name="_物料_0908炼油与开氏主要物料结算量_物料平衡2012年5月" xfId="1894"/>
    <cellStyle name="_物料_101 2 2" xfId="1895"/>
    <cellStyle name="差_惠炼BOM（20081219）_周计划" xfId="1896"/>
    <cellStyle name="_物料_102 2" xfId="1897"/>
    <cellStyle name="_物料平衡表-实际0904-1_Book3 3" xfId="1898"/>
    <cellStyle name="_物料_102_物料平衡2012年5月 2" xfId="1899"/>
    <cellStyle name="_物料_103-105 2" xfId="1900"/>
    <cellStyle name="Output 2 4" xfId="1901"/>
    <cellStyle name="_物料_103-105 2 2" xfId="1902"/>
    <cellStyle name="_物料_原油计量途耗报表汇总8月 2" xfId="1903"/>
    <cellStyle name="_物料_103-105单元物料平衡表09011(上报)" xfId="1904"/>
    <cellStyle name="好_惠炼BOM（20081219）_107装置物料平衡填报表2009(1).7.31" xfId="1905"/>
    <cellStyle name="_物料_原油计量途耗报表汇总8月 2 2" xfId="1906"/>
    <cellStyle name="_物料_103-105单元物料平衡表09011(上报) 2" xfId="1907"/>
    <cellStyle name="SAPBEXstdDataEmph 4" xfId="1908"/>
    <cellStyle name="_物料_103-105单元物料平衡表09011(上报) 2 2" xfId="1909"/>
    <cellStyle name="SAPBEXHLevel2 4 3" xfId="1910"/>
    <cellStyle name="SAPBEXstdDataEmph 4 2" xfId="1911"/>
    <cellStyle name="差_开氏物料表9月初稿" xfId="1912"/>
    <cellStyle name="_物料_103-105单元物料平衡表09011(上报) 3" xfId="1913"/>
    <cellStyle name="SAPBEXstdDataEmph 5" xfId="1914"/>
    <cellStyle name="Total 6 3 2" xfId="1915"/>
    <cellStyle name="好_公司2011年12月份化工三剂需求计划" xfId="1916"/>
    <cellStyle name="_物料_106" xfId="1917"/>
    <cellStyle name="_物料_111" xfId="1918"/>
    <cellStyle name="_物料平衡表-实际0904-1_0907炼油与开氏主要物料结算量2_物料平衡2012年5月" xfId="1919"/>
    <cellStyle name="_物料_106 2" xfId="1920"/>
    <cellStyle name="_物料_111 2" xfId="1921"/>
    <cellStyle name="好_2013年3月生产计划-104万吨-20130226-尾油3.3-与销售讨论" xfId="1922"/>
    <cellStyle name="_物料平衡表-实际0904-1_0907炼油与开氏主要物料结算量2_物料平衡2012年5月 2" xfId="1923"/>
    <cellStyle name="_物料_106 2 2" xfId="1924"/>
    <cellStyle name="_物料_111 2 2" xfId="1925"/>
    <cellStyle name="Calculation 2 6" xfId="1926"/>
    <cellStyle name="_物料_106_物料平衡2012年5月" xfId="1927"/>
    <cellStyle name="_物料_111_物料平衡2012年5月" xfId="1928"/>
    <cellStyle name="_物料_106_物料平衡2012年5月 2" xfId="1929"/>
    <cellStyle name="_物料_111_物料平衡2012年5月 2" xfId="1930"/>
    <cellStyle name="_物料_107" xfId="1931"/>
    <cellStyle name="_物料_112" xfId="1932"/>
    <cellStyle name="Calculation 2 8" xfId="1933"/>
    <cellStyle name="_物料_108 " xfId="1934"/>
    <cellStyle name="_物料_113 " xfId="1935"/>
    <cellStyle name="SAPBEXresItem 7 2" xfId="1936"/>
    <cellStyle name="Calculation 2 8 2" xfId="1937"/>
    <cellStyle name="_物料_9月流程图" xfId="1938"/>
    <cellStyle name="_物料_108  2" xfId="1939"/>
    <cellStyle name="_物料_113  2" xfId="1940"/>
    <cellStyle name="SAPBEXresItem 7 2 2" xfId="1941"/>
    <cellStyle name="_物料_108  3" xfId="1942"/>
    <cellStyle name="_物料_113  3" xfId="1943"/>
    <cellStyle name="SAPBEXHLevel1 4 2 2" xfId="1944"/>
    <cellStyle name="Input 13 2 2" xfId="1945"/>
    <cellStyle name="_物料_108 _物料平衡2012年5月" xfId="1946"/>
    <cellStyle name="_物料_113 _物料平衡2012年5月" xfId="1947"/>
    <cellStyle name="好_2013年3月生产计划-104万吨-20130225-尾油3.3-公司讨论" xfId="1948"/>
    <cellStyle name="Input 13 2 2 2" xfId="1949"/>
    <cellStyle name="Total 3 3" xfId="1950"/>
    <cellStyle name="_物料_108 _物料平衡2012年5月 2" xfId="1951"/>
    <cellStyle name="_物料_113 _物料平衡2012年5月 2" xfId="1952"/>
    <cellStyle name="_物料平衡表-实际0904-1_原油计量途耗报表汇总8月_物料平衡2012年5月 2" xfId="1953"/>
    <cellStyle name="_物料_108 10" xfId="1954"/>
    <cellStyle name="_物料_113 10" xfId="1955"/>
    <cellStyle name="_物料_112（112单元）_物料平衡2012年5月 2" xfId="1956"/>
    <cellStyle name="_物料_108 3" xfId="1957"/>
    <cellStyle name="_物料_113 3" xfId="1958"/>
    <cellStyle name="SAPBEXexcCritical4 6" xfId="1959"/>
    <cellStyle name="SAPBEXHLevel0X 3 2 2 2" xfId="1960"/>
    <cellStyle name="强调文字颜色 3 4" xfId="1961"/>
    <cellStyle name="Calculation 5 2 2" xfId="1962"/>
    <cellStyle name="_物料_108 6" xfId="1963"/>
    <cellStyle name="_物料_113 6" xfId="1964"/>
    <cellStyle name="SAPBEXexcCritical4 9" xfId="1965"/>
    <cellStyle name="强调文字颜色 3 7" xfId="1966"/>
    <cellStyle name="Input 11 3 2" xfId="1967"/>
    <cellStyle name="好_107装置物料平衡填报表2009(1).7.31 2" xfId="1968"/>
    <cellStyle name="_物料_开氏物料表7月 3" xfId="1969"/>
    <cellStyle name="SAPBEXresData 7" xfId="1970"/>
    <cellStyle name="Total 6 2 2" xfId="1971"/>
    <cellStyle name="_物料_108_物料平衡2012年5月 2" xfId="1972"/>
    <cellStyle name="_物料_113_物料平衡2012年5月 2" xfId="1973"/>
    <cellStyle name="Note" xfId="1974"/>
    <cellStyle name="_物料_109" xfId="1975"/>
    <cellStyle name="_物料_114" xfId="1976"/>
    <cellStyle name="60% - Accent6" xfId="1977"/>
    <cellStyle name="_物料_109 2" xfId="1978"/>
    <cellStyle name="_物料_114 2" xfId="1979"/>
    <cellStyle name="SAPBEXexcCritical5 5" xfId="1980"/>
    <cellStyle name="60% - Accent6 2" xfId="1981"/>
    <cellStyle name="_物料_109 2 2" xfId="1982"/>
    <cellStyle name="_物料_114 2 2" xfId="1983"/>
    <cellStyle name="SAPBEXexcCritical5 5 2" xfId="1984"/>
    <cellStyle name="_物料_109 3" xfId="1985"/>
    <cellStyle name="_物料_114 3" xfId="1986"/>
    <cellStyle name="SAPBEXexcCritical5 6" xfId="1987"/>
    <cellStyle name="强调文字颜色 4 4" xfId="1988"/>
    <cellStyle name="差_开氏物料销售记录" xfId="1989"/>
    <cellStyle name="Calculation 5 3 2" xfId="1990"/>
    <cellStyle name="好_mock生产订单收发货（导入版）_102" xfId="1991"/>
    <cellStyle name="好_103-105单元物料平衡表09010(上报) 2" xfId="1992"/>
    <cellStyle name="20% - 强调文字颜色 4 8" xfId="1993"/>
    <cellStyle name="_物料_109_物料平衡2012年5月" xfId="1994"/>
    <cellStyle name="_物料_114_物料平衡2012年5月" xfId="1995"/>
    <cellStyle name="好_mock生产订单收发货（导入版）_102 2" xfId="1996"/>
    <cellStyle name="_物料_109_物料平衡2012年5月 2" xfId="1997"/>
    <cellStyle name="_物料_114_物料平衡2012年5月 2" xfId="1998"/>
    <cellStyle name="SAPBEXresItemX 4" xfId="1999"/>
    <cellStyle name="_物料平衡表-实际0904-1_113 8" xfId="2000"/>
    <cellStyle name="_物料平衡表-实际0904-1_108 8" xfId="2001"/>
    <cellStyle name="_物料_物料平衡2012年5月" xfId="2002"/>
    <cellStyle name="差_惠炼BOM（20081219）_开氏物料表12月初稿 2" xfId="2003"/>
    <cellStyle name="SAPBEXfilterDrill 2 2 2 2" xfId="2004"/>
    <cellStyle name="_物料_10月统计（111）平衡_物料平衡2012年5月" xfId="2005"/>
    <cellStyle name="SAPBEXexcBad8 9" xfId="2006"/>
    <cellStyle name="_物料平衡表-实际0904-1_原油计量途耗报表汇总8月 2" xfId="2007"/>
    <cellStyle name="_物料_112（112单元） 2" xfId="2008"/>
    <cellStyle name="SAPBEXHLevel2X 7 3" xfId="2009"/>
    <cellStyle name="SAPBEXstdItemX 6 2 2" xfId="2010"/>
    <cellStyle name="_物料平衡表-实际0904-1_原油计量途耗报表汇总8月 2 2" xfId="2011"/>
    <cellStyle name="SAPBEXaggDataEmph 7" xfId="2012"/>
    <cellStyle name="_物料_112（112单元） 2 2" xfId="2013"/>
    <cellStyle name="SAPBEXstdItem 5 2" xfId="2014"/>
    <cellStyle name="_物料平衡表-实际0904-1_原油计量途耗报表汇总8月 3" xfId="2015"/>
    <cellStyle name="SAPBEXexcCritical4 2" xfId="2016"/>
    <cellStyle name="_物料_112（112单元） 3" xfId="2017"/>
    <cellStyle name="Accent1 3" xfId="2018"/>
    <cellStyle name="_物料_114 " xfId="2019"/>
    <cellStyle name="_物料_114  2" xfId="2020"/>
    <cellStyle name="_物料_114  2 2" xfId="2021"/>
    <cellStyle name="Percent_capinves" xfId="2022"/>
    <cellStyle name="差_MES-ERP编码对应_开氏物料表1月初稿 2" xfId="2023"/>
    <cellStyle name="好_103-105 2" xfId="2024"/>
    <cellStyle name="_物料_114 _物料平衡2012年5月" xfId="2025"/>
    <cellStyle name="_物料_114 _物料平衡2012年5月 2" xfId="2026"/>
    <cellStyle name="60% - 强调文字颜色 1 14" xfId="2027"/>
    <cellStyle name="60% - 强调文字颜色 3 7" xfId="2028"/>
    <cellStyle name="汇总 14" xfId="2029"/>
    <cellStyle name="_物料_114 10" xfId="2030"/>
    <cellStyle name="_物料_Book3 3" xfId="2031"/>
    <cellStyle name="SAPBEXstdItem 8" xfId="2032"/>
    <cellStyle name="_物料_114 7" xfId="2033"/>
    <cellStyle name="SAPBEXresItem 5" xfId="2034"/>
    <cellStyle name="_物料_114 8" xfId="2035"/>
    <cellStyle name="SAPBEXresItem 6" xfId="2036"/>
    <cellStyle name="_物料_114-115 2 2" xfId="2037"/>
    <cellStyle name="_物料_115 2 2" xfId="2038"/>
    <cellStyle name="SAPBEXchaText 2 3 2" xfId="2039"/>
    <cellStyle name="SAPBEXexcCritical6 5 2" xfId="2040"/>
    <cellStyle name="_物料平衡表-实际0904-1_物料平衡7月初稿._物料平衡2012年5月 2" xfId="2041"/>
    <cellStyle name="_物料_115 3" xfId="2042"/>
    <cellStyle name="SAPBEXexcCritical6 6" xfId="2043"/>
    <cellStyle name="_物料平衡表-实际0904-1_fangting物料平衡填报表2009.9.30 2 2" xfId="2044"/>
    <cellStyle name="SAPBEXresDataEmph 9" xfId="2045"/>
    <cellStyle name="_物料_115_物料平衡2012年5月" xfId="2046"/>
    <cellStyle name="_物料_115_物料平衡2012年5月 2" xfId="2047"/>
    <cellStyle name="_物料_116各装置物料平衡填报表2011.5" xfId="2048"/>
    <cellStyle name="输出 9" xfId="2049"/>
    <cellStyle name="Warning Text 3" xfId="2050"/>
    <cellStyle name="_物料_116各装置物料平衡填报表2011.5 2" xfId="2051"/>
    <cellStyle name="差_物料平衡表-实际0904-1_0908炼油与开氏主要物料结算量" xfId="2052"/>
    <cellStyle name="60% - 强调文字颜色 4 2" xfId="2053"/>
    <cellStyle name="SAPBEXaggData 4 3" xfId="2054"/>
    <cellStyle name="_物料_9月流程图 2 2" xfId="2055"/>
    <cellStyle name="_物料_开氏物料表12月初稿 3" xfId="2056"/>
    <cellStyle name="_物料_Book3" xfId="2057"/>
    <cellStyle name="_物料_Book3 2 2" xfId="2058"/>
    <cellStyle name="SAPBEXstdItem 7 2" xfId="2059"/>
    <cellStyle name="好_物料_开氏物料表11月初稿 2" xfId="2060"/>
    <cellStyle name="SAPBEXexcCritical6 2" xfId="2061"/>
    <cellStyle name="好_109装置物料平衡填报表2009(1).7.31 2" xfId="2062"/>
    <cellStyle name="_物料_Book3_物料平衡2012年5月" xfId="2063"/>
    <cellStyle name="SAPBEXexcGood1 6 2" xfId="2064"/>
    <cellStyle name="20% - 强调文字颜色 3 5" xfId="2065"/>
    <cellStyle name="_物料平衡表-实际0904-1_10月统计（111）平衡_物料平衡2012年5月" xfId="2066"/>
    <cellStyle name="_物料_Book3_物料平衡2012年5月 2" xfId="2067"/>
    <cellStyle name="SAPBEXexcGood1 6 2 2" xfId="2068"/>
    <cellStyle name="好_物料平衡表-实际0904-1_10月统计（111）平衡 2" xfId="2069"/>
    <cellStyle name="Input 2 5 2 2" xfId="2070"/>
    <cellStyle name="_物料_物料平衡测算_物料平衡2012年5月" xfId="2071"/>
    <cellStyle name="_物料_fangting物料平衡填报表2009.8.31 2 2" xfId="2072"/>
    <cellStyle name="_物料_fangting物料平衡填报表2009.8.31_物料平衡2012年5月 2" xfId="2073"/>
    <cellStyle name="40% - Accent3" xfId="2074"/>
    <cellStyle name="_物料_fangting物料平衡填报表2009.9.30" xfId="2075"/>
    <cellStyle name="40% - Accent3 2" xfId="2076"/>
    <cellStyle name="_物料_fangting物料平衡填报表2009.9.30 2" xfId="2077"/>
    <cellStyle name="_物料_fangting物料平衡填报表2009.9.30_物料平衡2012年5月" xfId="2078"/>
    <cellStyle name="_物料_fangting物料平衡填报表2009.9.30_物料平衡2012年5月 2" xfId="2079"/>
    <cellStyle name="差_物料平衡表-实际0904-1_10月统计（111）平衡 2" xfId="2080"/>
    <cellStyle name="_物料平衡表-实际0904-1_物料平衡12月" xfId="2081"/>
    <cellStyle name="SAPBEXexcCritical6 8" xfId="2082"/>
    <cellStyle name="强调文字颜色 5 6" xfId="2083"/>
    <cellStyle name="_物料_物料平衡2011年6月---财务 2" xfId="2084"/>
    <cellStyle name="_物料_psa" xfId="2085"/>
    <cellStyle name="SAPBEXexcCritical6 8 2" xfId="2086"/>
    <cellStyle name="_物料_psa 2" xfId="2087"/>
    <cellStyle name="SAPBEXaggDataEmph 9" xfId="2088"/>
    <cellStyle name="_物料_psa_物料平衡2012年5月" xfId="2089"/>
    <cellStyle name="_物料_psa_物料平衡2012年5月 2" xfId="2090"/>
    <cellStyle name="_物料_芳烃装置" xfId="2091"/>
    <cellStyle name="_物料_芳烃装置 2" xfId="2092"/>
    <cellStyle name="_物料_芳烃装置 2 2" xfId="2093"/>
    <cellStyle name="_物料_芳烃装置 3" xfId="2094"/>
    <cellStyle name="_物料平衡表-实际0904-1_114 12" xfId="2095"/>
    <cellStyle name="SAPBEXexcCritical6 2 2" xfId="2096"/>
    <cellStyle name="差_1-1" xfId="2097"/>
    <cellStyle name="_物料_芳烃装置_物料平衡2012年5月" xfId="2098"/>
    <cellStyle name="SAPBEXstdItem 7 2 2" xfId="2099"/>
    <cellStyle name="SAPBEXexcCritical6 2 2 2" xfId="2100"/>
    <cellStyle name="_物料_芳烃装置_物料平衡2012年5月 2" xfId="2101"/>
    <cellStyle name="好_物料主数据模板_1.9_103-105 2" xfId="2102"/>
    <cellStyle name="_物料_汇总" xfId="2103"/>
    <cellStyle name="SAPBEXHLevel3X 4" xfId="2104"/>
    <cellStyle name="60% - 强调文字颜色 3 13" xfId="2105"/>
    <cellStyle name="40% - 强调文字颜色 2 12" xfId="2106"/>
    <cellStyle name="20% - 强调文字颜色 1 11" xfId="2107"/>
    <cellStyle name="_物料_汇总 2" xfId="2108"/>
    <cellStyle name="SAPBEXHLevel3X 4 2" xfId="2109"/>
    <cellStyle name="_物料_汇总 2 2" xfId="2110"/>
    <cellStyle name="SAPBEXHLevel3X 4 2 2" xfId="2111"/>
    <cellStyle name="好_mock生产订单收发货（导入版）_fangting物料平衡填报表2009.9.30" xfId="2112"/>
    <cellStyle name="60% - 强调文字颜色 3 14" xfId="2113"/>
    <cellStyle name="40% - 强调文字颜色 2 13" xfId="2114"/>
    <cellStyle name="20% - 强调文字颜色 1 12" xfId="2115"/>
    <cellStyle name="_物料_汇总 3" xfId="2116"/>
    <cellStyle name="SAPBEXHLevel3X 4 3" xfId="2117"/>
    <cellStyle name="SAPBEXexcGood2 2 3 2" xfId="2118"/>
    <cellStyle name="SAPBEXHLevel1X 3 2 2 2" xfId="2119"/>
    <cellStyle name="_物料_汇总_物料平衡2012年5月" xfId="2120"/>
    <cellStyle name="Output 2 3 2 3" xfId="2121"/>
    <cellStyle name="_物料_汇总_物料平衡2012年5月 2" xfId="2122"/>
    <cellStyle name="_物料_基础计算表" xfId="2123"/>
    <cellStyle name="_物料_开氏物料表11月初稿 3" xfId="2124"/>
    <cellStyle name="_物料_开氏物料表12月初稿" xfId="2125"/>
    <cellStyle name="_物料_开氏物料表12月初稿 2" xfId="2126"/>
    <cellStyle name="_物料_开氏物料表1月初稿 3" xfId="2127"/>
    <cellStyle name="_物料_开氏物料表8月" xfId="2128"/>
    <cellStyle name="_物料_开氏物料表8月 2" xfId="2129"/>
    <cellStyle name="_物料_开氏物料表9月初稿" xfId="2130"/>
    <cellStyle name="Accent6 2" xfId="2131"/>
    <cellStyle name="_物料_开氏物料表9月初稿 3" xfId="2132"/>
    <cellStyle name="_物料_外购原料收拨付平衡表" xfId="2133"/>
    <cellStyle name="_物料_外购原料收拨付平衡表 2" xfId="2134"/>
    <cellStyle name="强调文字颜色 6 6" xfId="2135"/>
    <cellStyle name="DATACOPY" xfId="2136"/>
    <cellStyle name="_物料_外购原料收拨付平衡表 2 2" xfId="2137"/>
    <cellStyle name="_物料_物料平衡9月初稿._物料平衡2012年5月" xfId="2138"/>
    <cellStyle name="_物料_外购原料收拨付平衡表 3" xfId="2139"/>
    <cellStyle name="_物料_物料平衡2011年3月" xfId="2140"/>
    <cellStyle name="60% - 强调文字颜色 1 3" xfId="2141"/>
    <cellStyle name="_物料平衡表-实际0904-1_Book3_物料平衡2012年5月" xfId="2142"/>
    <cellStyle name="SAPBEXaggItemX 5 2 2 2" xfId="2143"/>
    <cellStyle name="_物料_物料平衡2011年6月" xfId="2144"/>
    <cellStyle name="Input 8 2 2" xfId="2145"/>
    <cellStyle name="_物料平衡表-实际0904-1_Book3_物料平衡2012年5月 2" xfId="2146"/>
    <cellStyle name="_物料_物料平衡2011年6月 2" xfId="2147"/>
    <cellStyle name="Input 8 2 2 2" xfId="2148"/>
    <cellStyle name="SAPBEXresItem 4 3" xfId="2149"/>
    <cellStyle name="_物料_物料平衡2011年6月_物料平衡2012年5月" xfId="2150"/>
    <cellStyle name="Normal" xfId="2151"/>
    <cellStyle name="SAPBEXresItem 4 3 2" xfId="2152"/>
    <cellStyle name="_物料_物料平衡2011年6月_物料平衡2012年5月 2" xfId="2153"/>
    <cellStyle name="SAPBEXaggItemX" xfId="2154"/>
    <cellStyle name="差_惠炼炼油计划201207月度计划-103万吨-20120626" xfId="2155"/>
    <cellStyle name="_物料_物料平衡2011年6月---财务" xfId="2156"/>
    <cellStyle name="SAPBEXheaderText 4 2 2" xfId="2157"/>
    <cellStyle name="_物料_物料平衡2011年6月---财务_物料平衡2012年5月" xfId="2158"/>
    <cellStyle name="SAPBEXheaderText 4 2 2 2" xfId="2159"/>
    <cellStyle name="_物料_物料平衡2011年6月---财务_物料平衡2012年5月 2" xfId="2160"/>
    <cellStyle name="_物料_物料平衡2012年01月" xfId="2161"/>
    <cellStyle name="好_mock生产订单收发货（导入版）_0907炼油与开氏主要物料结算量2 2" xfId="2162"/>
    <cellStyle name="差_物料_10月统计（111）平衡" xfId="2163"/>
    <cellStyle name="_物料_物料平衡2012年01月_物料平衡2012年5月" xfId="2164"/>
    <cellStyle name="_物料_物料平衡3月" xfId="2165"/>
    <cellStyle name="_物料_物料平衡3月 2" xfId="2166"/>
    <cellStyle name="_物料_物料平衡3月 2 2" xfId="2167"/>
    <cellStyle name="_物料_物料平衡3月 3" xfId="2168"/>
    <cellStyle name="40% - 强调文字颜色 3 15" xfId="2169"/>
    <cellStyle name="20% - 强调文字颜色 2 14" xfId="2170"/>
    <cellStyle name="Note 2 4 2 2" xfId="2171"/>
    <cellStyle name="Note 8 2" xfId="2172"/>
    <cellStyle name="_物料_物料平衡3月_物料平衡2012年5月" xfId="2173"/>
    <cellStyle name="_物料_物料平衡8月初稿. 2 2" xfId="2174"/>
    <cellStyle name="_物料_物料平衡7月初稿." xfId="2175"/>
    <cellStyle name="SAPBEXaggDataEmph 7 2" xfId="2176"/>
    <cellStyle name="_物料_物料平衡7月初稿. 2 2" xfId="2177"/>
    <cellStyle name="_物料_物料平衡7月初稿. 3" xfId="2178"/>
    <cellStyle name="好_汇总" xfId="2179"/>
    <cellStyle name="差_2011年7月份化工三剂需求表--技术中心" xfId="2180"/>
    <cellStyle name="_物料_物料平衡7月初稿3." xfId="2181"/>
    <cellStyle name="_物料_物料平衡7月初稿3. 2" xfId="2182"/>
    <cellStyle name="SAPBEXexcGood1 3 2 3" xfId="2183"/>
    <cellStyle name="_物料_物料平衡7月初稿3._物料平衡2012年5月" xfId="2184"/>
    <cellStyle name="SAPBEXaggItem 2 2 2 2" xfId="2185"/>
    <cellStyle name="_物料平衡表-实际0904-1_113  3" xfId="2186"/>
    <cellStyle name="_物料平衡表-实际0904-1_108  3" xfId="2187"/>
    <cellStyle name="_物料_物料平衡7月初稿3._物料平衡2012年5月 2" xfId="2188"/>
    <cellStyle name="_物料_物料平衡7月终稿._物料平衡2012年5月 2" xfId="2189"/>
    <cellStyle name="SAPBEXstdItem 5 2 2 2" xfId="2190"/>
    <cellStyle name="_物料_物料平衡8月初稿." xfId="2191"/>
    <cellStyle name="SAPBEXexcCritical4 2 2 2" xfId="2192"/>
    <cellStyle name="_物料_物料平衡8月初稿. 2" xfId="2193"/>
    <cellStyle name="SAPBEXexcCritical4 2 2 2 2" xfId="2194"/>
    <cellStyle name="Accent1" xfId="2195"/>
    <cellStyle name="_物料_物料平衡8月初稿. 3" xfId="2196"/>
    <cellStyle name="_物料_物料平衡8月初稿._物料平衡2012年5月 2" xfId="2197"/>
    <cellStyle name="SAPBEXHLevel3 2 3 2" xfId="2198"/>
    <cellStyle name="_物料_物料平衡9月初稿." xfId="2199"/>
    <cellStyle name="SAPBEXexcCritical4 3 2 2" xfId="2200"/>
    <cellStyle name="_物料平衡表-实际0904-1_113" xfId="2201"/>
    <cellStyle name="_物料平衡表-实际0904-1_108" xfId="2202"/>
    <cellStyle name="RowLevel_1" xfId="2203"/>
    <cellStyle name="_物料_物料平衡9月初稿. 3" xfId="2204"/>
    <cellStyle name="_物料_物料平衡9月初稿._物料平衡2012年5月 2" xfId="2205"/>
    <cellStyle name="_物料_物料平衡测算" xfId="2206"/>
    <cellStyle name="_物料_物料平衡测算 2" xfId="2207"/>
    <cellStyle name="Input 2 5 2 2 2" xfId="2208"/>
    <cellStyle name="_物料_物料平衡测算_物料平衡2012年5月 2" xfId="2209"/>
    <cellStyle name="SAPBEXexcBad7 6 2" xfId="2210"/>
    <cellStyle name="_物料_原油计量途耗报表汇总7月" xfId="2211"/>
    <cellStyle name="SAPBEXexcBad7 6 2 2" xfId="2212"/>
    <cellStyle name="_物料_原油计量途耗报表汇总7月 2" xfId="2213"/>
    <cellStyle name="Input 18" xfId="2214"/>
    <cellStyle name="input 23" xfId="2215"/>
    <cellStyle name="_物料_原油计量途耗报表汇总7月 2 2" xfId="2216"/>
    <cellStyle name="_物料_原油计量途耗报表汇总8月 3" xfId="2217"/>
    <cellStyle name="输入 9" xfId="2218"/>
    <cellStyle name="_物料_原油计量途耗报表汇总8月_物料平衡2012年5月" xfId="2219"/>
    <cellStyle name="SAPBEXexcBad7 5 3" xfId="2220"/>
    <cellStyle name="好_fangting物料平衡填报表2009.9.30" xfId="2221"/>
    <cellStyle name="_物料_原油计量途耗报表汇总9月" xfId="2222"/>
    <cellStyle name="差_104单元（0910）" xfId="2223"/>
    <cellStyle name="好_fangting物料平衡填报表2009.9.30 2" xfId="2224"/>
    <cellStyle name="_物料_原油计量途耗报表汇总9月 2" xfId="2225"/>
    <cellStyle name="40% - 强调文字颜色 5 3" xfId="2226"/>
    <cellStyle name="SAPBEXresDataEmph 2 2 2" xfId="2227"/>
    <cellStyle name="差_副产蒸汽、凝结水消耗_开氏物料表9月初稿 2" xfId="2228"/>
    <cellStyle name="SAPBEXaggItem 5 3 2" xfId="2229"/>
    <cellStyle name="差_104单元（0910） 2" xfId="2230"/>
    <cellStyle name="_物料_原油计量途耗报表汇总9月 2 2" xfId="2231"/>
    <cellStyle name="_物料_原油计量途耗报表汇总9月 3" xfId="2232"/>
    <cellStyle name="_物料平衡表-实际0904-1 3" xfId="2233"/>
    <cellStyle name="40% - 强调文字颜色 6 13" xfId="2234"/>
    <cellStyle name="20% - 强调文字颜色 5 12" xfId="2235"/>
    <cellStyle name="SAPBEXaggItemX 5 3" xfId="2236"/>
    <cellStyle name="Input 9" xfId="2237"/>
    <cellStyle name="_物料平衡表-实际0904-1_~3993097" xfId="2238"/>
    <cellStyle name="_物料平衡表-实际0904-1_~3993097 2" xfId="2239"/>
    <cellStyle name="_物料平衡表-实际0904-1_~3993097 2 2" xfId="2240"/>
    <cellStyle name="_物料平衡表-实际0904-1_~3993097 3" xfId="2241"/>
    <cellStyle name="SAPBEXstdItem 3 2 2" xfId="2242"/>
    <cellStyle name="20% - 强调文字颜色 6 9" xfId="2243"/>
    <cellStyle name="_物料平衡表-实际0904-1_~3993097_物料平衡2012年5月" xfId="2244"/>
    <cellStyle name="_物料平衡表-实际0904-1_~3993097_物料平衡2012年5月 2" xfId="2245"/>
    <cellStyle name="_物料平衡表-实际0904-1_~4907560" xfId="2246"/>
    <cellStyle name="40% - 强调文字颜色 6 7" xfId="2247"/>
    <cellStyle name="_物料平衡表-实际0904-1_~4907560 2" xfId="2248"/>
    <cellStyle name="_物料平衡表-实际0904-1_~4907560 3" xfId="2249"/>
    <cellStyle name="_物料平衡表-实际0904-1_0907炼油与开氏主要物料结算量2" xfId="2250"/>
    <cellStyle name="好_5 月份物料平衡（107单元）" xfId="2251"/>
    <cellStyle name="_物料平衡表-实际0904-1_0908炼油与开氏主要物料结算量 2 2" xfId="2252"/>
    <cellStyle name="_物料平衡表-实际0904-1_0908炼油与开氏主要物料结算量_物料平衡2012年5月" xfId="2253"/>
    <cellStyle name="_物料平衡表-实际0904-1_101" xfId="2254"/>
    <cellStyle name="Input 15 2 3" xfId="2255"/>
    <cellStyle name="_物料平衡表-实际0904-1_112（112单元） 3" xfId="2256"/>
    <cellStyle name="_物料平衡表-实际0904-1_101 2" xfId="2257"/>
    <cellStyle name="_物料平衡表-实际0904-1_101 2 2" xfId="2258"/>
    <cellStyle name="_物料平衡表-实际0904-1_101 3" xfId="2259"/>
    <cellStyle name="_物料平衡表-实际0904-1_101_物料平衡2012年5月 2" xfId="2260"/>
    <cellStyle name="SAPBEXaggItemX 5 2 2" xfId="2261"/>
    <cellStyle name="Input 8 2" xfId="2262"/>
    <cellStyle name="_物料平衡表-实际0904-1_102" xfId="2263"/>
    <cellStyle name="_物料平衡表-实际0904-1_102 2" xfId="2264"/>
    <cellStyle name="_物料平衡表-实际0904-1_102 2 2" xfId="2265"/>
    <cellStyle name="_物料平衡表-实际0904-1_102 3" xfId="2266"/>
    <cellStyle name="Input 4 2 3" xfId="2267"/>
    <cellStyle name="_物料平衡表-实际0904-1_102_物料平衡2012年5月" xfId="2268"/>
    <cellStyle name="_物料平衡表-实际0904-1_113 12" xfId="2269"/>
    <cellStyle name="_物料平衡表-实际0904-1_108 12" xfId="2270"/>
    <cellStyle name="_物料平衡表-实际0904-1_102_物料平衡2012年5月 2" xfId="2271"/>
    <cellStyle name="_物料平衡表-实际0904-1_103-105" xfId="2272"/>
    <cellStyle name="_物料平衡表-实际0904-1_103-105 2" xfId="2273"/>
    <cellStyle name="SAPBEXresData 2 3" xfId="2274"/>
    <cellStyle name="_物料平衡表-实际0904-1_103-105 2 2" xfId="2275"/>
    <cellStyle name="SAPBEXresData 2 3 2" xfId="2276"/>
    <cellStyle name="SAPBEXHLevel2 2 2 2" xfId="2277"/>
    <cellStyle name="Input 13 3" xfId="2278"/>
    <cellStyle name="_物料平衡表-实际0904-1_103-105_物料平衡2012年5月 2" xfId="2279"/>
    <cellStyle name="_物料平衡表-实际0904-1_103-105单元物料平衡表09011(上报)" xfId="2280"/>
    <cellStyle name="_物料平衡表-实际0904-1_103-105单元物料平衡表09011(上报) 2 2" xfId="2281"/>
    <cellStyle name="_物料平衡表-实际0904-1_103-105单元物料平衡表09011(上报)_物料平衡2012年5月" xfId="2282"/>
    <cellStyle name="千分位[0]_ 06漏失试验" xfId="2283"/>
    <cellStyle name="_物料平衡表-实际0904-1_103-105单元物料平衡表09011(上报)_物料平衡2012年5月 2" xfId="2284"/>
    <cellStyle name="Input 2 5 2 3" xfId="2285"/>
    <cellStyle name="_物料平衡表-实际0904-1_111_物料平衡2012年5月" xfId="2286"/>
    <cellStyle name="_物料平衡表-实际0904-1_106_物料平衡2012年5月" xfId="2287"/>
    <cellStyle name="_物料平衡表-实际0904-1_112_物料平衡2012年5月" xfId="2288"/>
    <cellStyle name="_物料平衡表-实际0904-1_107_物料平衡2012年5月" xfId="2289"/>
    <cellStyle name="_物料平衡表-实际0904-1_112_物料平衡2012年5月 2" xfId="2290"/>
    <cellStyle name="_物料平衡表-实际0904-1_107_物料平衡2012年5月 2" xfId="2291"/>
    <cellStyle name="_物料平衡表-实际0904-1_113 " xfId="2292"/>
    <cellStyle name="_物料平衡表-实际0904-1_108 " xfId="2293"/>
    <cellStyle name="Calculation 2 7 2 2" xfId="2294"/>
    <cellStyle name="SAPBEXHLevel0X 8" xfId="2295"/>
    <cellStyle name="_物料平衡表-实际0904-1_113 _物料平衡2012年5月" xfId="2296"/>
    <cellStyle name="_物料平衡表-实际0904-1_108 _物料平衡2012年5月" xfId="2297"/>
    <cellStyle name="SAPBEXHLevel0X 8 2" xfId="2298"/>
    <cellStyle name="_物料平衡表-实际0904-1_113 _物料平衡2012年5月 2" xfId="2299"/>
    <cellStyle name="_物料平衡表-实际0904-1_108 _物料平衡2012年5月 2" xfId="2300"/>
    <cellStyle name="_物料平衡表-实际0904-1_113 11" xfId="2301"/>
    <cellStyle name="_物料平衡表-实际0904-1_108 11" xfId="2302"/>
    <cellStyle name="_物料平衡表-实际0904-1_113 2" xfId="2303"/>
    <cellStyle name="_物料平衡表-实际0904-1_108 2" xfId="2304"/>
    <cellStyle name="60% - 强调文字颜色 6 7" xfId="2305"/>
    <cellStyle name="好_物料主数据模板_1.9_开氏物料表9月初稿 2" xfId="2306"/>
    <cellStyle name="SAPBEXresItemX 5" xfId="2307"/>
    <cellStyle name="_物料平衡表-实际0904-1_113 9" xfId="2308"/>
    <cellStyle name="_物料平衡表-实际0904-1_108 9" xfId="2309"/>
    <cellStyle name="差_物料平衡表-实际0904-1_物料平衡8月初稿. 2" xfId="2310"/>
    <cellStyle name="_物料平衡表-实际0904-1_113_物料平衡2012年5月" xfId="2311"/>
    <cellStyle name="_物料平衡表-实际0904-1_108_物料平衡2012年5月" xfId="2312"/>
    <cellStyle name="_物料平衡表-实际0904-1_113_物料平衡2012年5月 2" xfId="2313"/>
    <cellStyle name="_物料平衡表-实际0904-1_108_物料平衡2012年5月 2" xfId="2314"/>
    <cellStyle name="_物料平衡表-实际0904-1_114" xfId="2315"/>
    <cellStyle name="_物料平衡表-实际0904-1_109" xfId="2316"/>
    <cellStyle name="SAPBEXheaderItem 4 2" xfId="2317"/>
    <cellStyle name="_物料平衡表-实际0904-1_114 2" xfId="2318"/>
    <cellStyle name="_物料平衡表-实际0904-1_109 2" xfId="2319"/>
    <cellStyle name="SAPBEXheaderItem 4 2 2" xfId="2320"/>
    <cellStyle name="40% - 强调文字颜色 4 6" xfId="2321"/>
    <cellStyle name="_物料平衡表-实际0904-1_114 2 2" xfId="2322"/>
    <cellStyle name="_物料平衡表-实际0904-1_109 2 2" xfId="2323"/>
    <cellStyle name="SAPBEXfilterDrill 5" xfId="2324"/>
    <cellStyle name="SAPBEXheaderItem 4 2 2 2" xfId="2325"/>
    <cellStyle name="_物料平衡表-实际0904-1_114 3" xfId="2326"/>
    <cellStyle name="_物料平衡表-实际0904-1_109 3" xfId="2327"/>
    <cellStyle name="SAPBEXheaderItem 4 2 3" xfId="2328"/>
    <cellStyle name="SAPBEXexcBad8 3 3" xfId="2329"/>
    <cellStyle name="差_MES-ERP编码对应_开氏物料表11月初稿" xfId="2330"/>
    <cellStyle name="_物料平衡表-实际0904-1_114_物料平衡2012年5月" xfId="2331"/>
    <cellStyle name="_物料平衡表-实际0904-1_109_物料平衡2012年5月" xfId="2332"/>
    <cellStyle name="差_MES-ERP编码对应_111" xfId="2333"/>
    <cellStyle name="SAPBEXexcBad8 3 3 2" xfId="2334"/>
    <cellStyle name="差_MES-ERP编码对应_开氏物料表11月初稿 2" xfId="2335"/>
    <cellStyle name="_物料平衡表-实际0904-1_114_物料平衡2012年5月 2" xfId="2336"/>
    <cellStyle name="_物料平衡表-实际0904-1_109_物料平衡2012年5月 2" xfId="2337"/>
    <cellStyle name="差_MES-ERP编码对应_111 2" xfId="2338"/>
    <cellStyle name="_物料平衡表-实际0904-1_9月流程图 2" xfId="2339"/>
    <cellStyle name="SAPBEXHLevel3X 6" xfId="2340"/>
    <cellStyle name="千分位_ 06漏失试验" xfId="2341"/>
    <cellStyle name="_物料平衡表-实际0904-1_10月统计（111）平衡" xfId="2342"/>
    <cellStyle name="SAPBEXresItem 3 3 2" xfId="2343"/>
    <cellStyle name="_物料平衡表-实际0904-1_10月统计（111）平衡 2 2" xfId="2344"/>
    <cellStyle name="_物料平衡表-实际0904-1_10月统计（111）平衡_物料平衡2012年5月 2" xfId="2345"/>
    <cellStyle name="Input 15 2 2" xfId="2346"/>
    <cellStyle name="_物料平衡表-实际0904-1_112（112单元） 2" xfId="2347"/>
    <cellStyle name="Header2 4 2" xfId="2348"/>
    <cellStyle name="Input 11 3" xfId="2349"/>
    <cellStyle name="好_mock生产订单收发货（导入版）_开氏物料表8月 2" xfId="2350"/>
    <cellStyle name="好_107装置物料平衡填报表2009(1).7.31" xfId="2351"/>
    <cellStyle name="_物料平衡表-实际0904-1_112（112单元）_物料平衡2012年5月 2" xfId="2352"/>
    <cellStyle name="_物料平衡表-实际0904-1_汇总 2 2" xfId="2353"/>
    <cellStyle name="_物料平衡表-实际0904-1_114 " xfId="2354"/>
    <cellStyle name="SAPBEXheaderItem 2" xfId="2355"/>
    <cellStyle name="好_mock生产订单收发货（导入版）" xfId="2356"/>
    <cellStyle name="_物料平衡表-实际0904-1_114  2" xfId="2357"/>
    <cellStyle name="SAPBEXheaderItem 2 2" xfId="2358"/>
    <cellStyle name="好_mock生产订单收发货（导入版） 2" xfId="2359"/>
    <cellStyle name="_物料平衡表-实际0904-1_114  2 2" xfId="2360"/>
    <cellStyle name="SAPBEXheaderItem 2 2 2" xfId="2361"/>
    <cellStyle name="_物料平衡表-实际0904-1_114  3" xfId="2362"/>
    <cellStyle name="SAPBEXheaderItem 2 3" xfId="2363"/>
    <cellStyle name="标题 3 2" xfId="2364"/>
    <cellStyle name="_物料平衡表-实际0904-1_114 _物料平衡2012年5月" xfId="2365"/>
    <cellStyle name="_物料平衡表-实际0904-1_114 _物料平衡2012年5月 2" xfId="2366"/>
    <cellStyle name="Heading 4 2" xfId="2367"/>
    <cellStyle name="SAPBEXexcBad7 3 2" xfId="2368"/>
    <cellStyle name="_物料平衡表-实际0904-1_114 10" xfId="2369"/>
    <cellStyle name="Heading 4 3" xfId="2370"/>
    <cellStyle name="SAPBEXexcBad7 3 3" xfId="2371"/>
    <cellStyle name="_物料平衡表-实际0904-1_114 11" xfId="2372"/>
    <cellStyle name="_物料平衡表-实际0904-1_114 4" xfId="2373"/>
    <cellStyle name="_物料平衡表-实际0904-1_114 5" xfId="2374"/>
    <cellStyle name="差_副产蒸汽、凝结水消耗_~4907560 2" xfId="2375"/>
    <cellStyle name="_物料平衡表-实际0904-1_114 6" xfId="2376"/>
    <cellStyle name="_物料平衡表-实际0904-1_114 7" xfId="2377"/>
    <cellStyle name="_物料平衡表-实际0904-1_fangting物料平衡填报表2009.8.31 2" xfId="2378"/>
    <cellStyle name="_物料平衡表-实际0904-1_114-115" xfId="2379"/>
    <cellStyle name="_物料平衡表-实际0904-1_114-115 2" xfId="2380"/>
    <cellStyle name="SAPBEXHLevel0X 3 3" xfId="2381"/>
    <cellStyle name="Calculation 6" xfId="2382"/>
    <cellStyle name="_物料平衡表-实际0904-1_114-115 2 2" xfId="2383"/>
    <cellStyle name="40% - 强调文字颜色 5 9" xfId="2384"/>
    <cellStyle name="40% - 强调文字颜色 3 2" xfId="2385"/>
    <cellStyle name="_物料平衡表-实际0904-1_114-115 3" xfId="2386"/>
    <cellStyle name="_物料平衡表-实际0904-1_114-115_物料平衡2012年5月 2" xfId="2387"/>
    <cellStyle name="_物料平衡表-实际0904-1_115" xfId="2388"/>
    <cellStyle name="SAPBEXheaderItem 4 3" xfId="2389"/>
    <cellStyle name="_物料平衡表-实际0904-1_115 2" xfId="2390"/>
    <cellStyle name="SAPBEXheaderItem 4 3 2" xfId="2391"/>
    <cellStyle name="_物料平衡表-实际0904-1_115 2 2" xfId="2392"/>
    <cellStyle name="20% - 强调文字颜色 5 9" xfId="2393"/>
    <cellStyle name="SAPBEXHLevel2X 5 3 2" xfId="2394"/>
    <cellStyle name="_物料平衡表-实际0904-1_116各装置物料平衡填报表2011.5" xfId="2395"/>
    <cellStyle name="_物料平衡表-实际0904-1_116各装置物料平衡填报表2011.5 2" xfId="2396"/>
    <cellStyle name="_物料平衡表-实际0904-1_物料平衡2011年3月 2" xfId="2397"/>
    <cellStyle name="SAPBEXheaderText 7 2" xfId="2398"/>
    <cellStyle name="_物料平衡表-实际0904-1_116各装置物料平衡填报表2011.5_物料平衡2012年5月" xfId="2399"/>
    <cellStyle name="SAPBEXfilterDrill 6 2 2" xfId="2400"/>
    <cellStyle name="_物料平衡表-实际0904-1_116各装置物料平衡填报表2011.5_物料平衡2012年5月 2" xfId="2401"/>
    <cellStyle name="_物料平衡表-实际0904-1_9月流程图" xfId="2402"/>
    <cellStyle name="SAPBEXstdItem 3 3 2" xfId="2403"/>
    <cellStyle name="_物料平衡表-实际0904-1_9月流程图 3" xfId="2404"/>
    <cellStyle name="SAPBEXHLevel3X 7" xfId="2405"/>
    <cellStyle name="_物料平衡表-实际0904-1_9月流程图_物料平衡2012年5月" xfId="2406"/>
    <cellStyle name="SAPBEXexcCritical6 4 2 3" xfId="2407"/>
    <cellStyle name="普通-11取芯记录" xfId="2408"/>
    <cellStyle name="_物料平衡表-实际0904-1_Book3" xfId="2409"/>
    <cellStyle name="SAPBEXresData 2 2 2" xfId="2410"/>
    <cellStyle name="_物料平衡表-实际0904-1_Book3 2" xfId="2411"/>
    <cellStyle name="SAPBEXresData 2 2 2 2" xfId="2412"/>
    <cellStyle name="Input 5 2 3" xfId="2413"/>
    <cellStyle name="_物料平衡表-实际0904-1_fangting物料平衡填报表2009.8.31" xfId="2414"/>
    <cellStyle name="SAPBEXstdItemX 2 3" xfId="2415"/>
    <cellStyle name="_物料平衡表-实际0904-1_fangting物料平衡填报表2009.8.31 2 2" xfId="2416"/>
    <cellStyle name="_物料平衡表-实际0904-1_fangting物料平衡填报表2009.8.31_物料平衡2012年5月" xfId="2417"/>
    <cellStyle name="标题 15" xfId="2418"/>
    <cellStyle name="Input 14 2 2" xfId="2419"/>
    <cellStyle name="_物料平衡表-实际0904-1_fangting物料平衡填报表2009.8.31_物料平衡2012年5月 2" xfId="2420"/>
    <cellStyle name="SAPBEXstdDataEmph 4 2 3" xfId="2421"/>
    <cellStyle name="Input 14 2 2 2" xfId="2422"/>
    <cellStyle name="SAPBEXformats 3 2 2" xfId="2423"/>
    <cellStyle name="_物料平衡表-实际0904-1_fangting物料平衡填报表2009.9.30" xfId="2424"/>
    <cellStyle name="SAPBEXformats 3 2 2 2" xfId="2425"/>
    <cellStyle name="_物料平衡表-实际0904-1_fangting物料平衡填报表2009.9.30 2" xfId="2426"/>
    <cellStyle name="_物料平衡表-实际0904-1_fangting物料平衡填报表2009.9.30 3" xfId="2427"/>
    <cellStyle name="_物料平衡表-实际0904-1_psa 2" xfId="2428"/>
    <cellStyle name="SAPBEXHLevel3 3 2 2" xfId="2429"/>
    <cellStyle name="Comma  - Style6" xfId="2430"/>
    <cellStyle name="40% - 强调文字颜色 5 15" xfId="2431"/>
    <cellStyle name="20% - 强调文字颜色 4 14" xfId="2432"/>
    <cellStyle name="_物料平衡表-实际0904-1_psa_物料平衡2012年5月" xfId="2433"/>
    <cellStyle name="超連結" xfId="2434"/>
    <cellStyle name="_物料平衡表-实际0904-1_psa_物料平衡2012年5月 2" xfId="2435"/>
    <cellStyle name="_物料平衡表-实际0904-1_芳烃装置" xfId="2436"/>
    <cellStyle name="60% - 强调文字颜色 4 14" xfId="2437"/>
    <cellStyle name="40% - 强调文字颜色 3 13" xfId="2438"/>
    <cellStyle name="20% - 强调文字颜色 2 12" xfId="2439"/>
    <cellStyle name="_物料平衡表-实际0904-1_芳烃装置 2" xfId="2440"/>
    <cellStyle name="_物料平衡表-实际0904-1_芳烃装置_物料平衡2012年5月" xfId="2441"/>
    <cellStyle name="20% - 强调文字颜色 4 2" xfId="2442"/>
    <cellStyle name="_物料平衡表-实际0904-1_芳烃装置_物料平衡2012年5月 2" xfId="2443"/>
    <cellStyle name="SAPBEXexcGood2 2 2 3" xfId="2444"/>
    <cellStyle name="_物料平衡表-实际0904-1_汇总" xfId="2445"/>
    <cellStyle name="_物料平衡表-实际0904-1_汇总 2" xfId="2446"/>
    <cellStyle name="SAPBEXheaderItem" xfId="2447"/>
    <cellStyle name="好_惠炼BOM（20081219）_开氏物料表11月初稿" xfId="2448"/>
    <cellStyle name="Total 4 2 2" xfId="2449"/>
    <cellStyle name="_物料平衡表-实际0904-1_汇总 3" xfId="2450"/>
    <cellStyle name="_物料平衡表-实际0904-1_汇总_物料平衡2012年5月" xfId="2451"/>
    <cellStyle name="40% - Accent5 3" xfId="2452"/>
    <cellStyle name="_物料平衡表-实际0904-1_物料平衡2011年6月---财务 2" xfId="2453"/>
    <cellStyle name="SAPBEXstdDataEmph 4 3 2" xfId="2454"/>
    <cellStyle name="_物料平衡表-实际0904-1_开氏物料表12月初稿" xfId="2455"/>
    <cellStyle name="_物料平衡表-实际0904-1_开氏物料表12月初稿 2" xfId="2456"/>
    <cellStyle name="_物料平衡表-实际0904-1_开氏物料表12月初稿 3" xfId="2457"/>
    <cellStyle name="20% - 强调文字颜色 3 2" xfId="2458"/>
    <cellStyle name="_物料平衡表-实际0904-1_开氏物料表1月初稿" xfId="2459"/>
    <cellStyle name="Note 3 2 2" xfId="2460"/>
    <cellStyle name="好_还原数据090219_开氏物料表1月初稿" xfId="2461"/>
    <cellStyle name="_物料平衡表-实际0904-1_开氏物料表1月初稿 2" xfId="2462"/>
    <cellStyle name="Calculation 3 2" xfId="2463"/>
    <cellStyle name="_物料平衡表-实际0904-1_开氏物料表1月初稿 3" xfId="2464"/>
    <cellStyle name="_物料平衡表-实际0904-1_开氏物料表7月" xfId="2465"/>
    <cellStyle name="SAPBEXresItem 4 2 3" xfId="2466"/>
    <cellStyle name="_物料平衡表-实际0904-1_开氏物料表7月 2" xfId="2467"/>
    <cellStyle name="_物料平衡表-实际0904-1_开氏物料表7月 3" xfId="2468"/>
    <cellStyle name="_物料平衡表-实际0904-1_开氏物料表8月" xfId="2469"/>
    <cellStyle name="SAPBEXexcGood3 2 3" xfId="2470"/>
    <cellStyle name="SAPBEXHLevel1X 4 2 2" xfId="2471"/>
    <cellStyle name="=C:\WINNT\SYSTEM32\COMMAND.COM" xfId="2472"/>
    <cellStyle name="_物料平衡表-实际0904-1_开氏物料表8月 2" xfId="2473"/>
    <cellStyle name="SAPBEXexcGood3 2 3 2" xfId="2474"/>
    <cellStyle name="SAPBEXHLevel1X 4 2 2 2" xfId="2475"/>
    <cellStyle name="=C:\WINNT\SYSTEM32\COMMAND.COM 2" xfId="2476"/>
    <cellStyle name="_物料平衡表-实际0904-1_开氏物料表9月初稿" xfId="2477"/>
    <cellStyle name="_物料平衡表-实际0904-1_外购原料收拨付平衡表" xfId="2478"/>
    <cellStyle name="差_周计划" xfId="2479"/>
    <cellStyle name="Input 12 3 2" xfId="2480"/>
    <cellStyle name="_物料平衡表-实际0904-1_外购原料收拨付平衡表 2" xfId="2481"/>
    <cellStyle name="40% - 强调文字颜色 1 6" xfId="2482"/>
    <cellStyle name="_物料平衡表-实际0904-1_外购原料收拨付平衡表 2 2" xfId="2483"/>
    <cellStyle name="差_生产订单收发货-ERP_开氏物料表1月初稿 2" xfId="2484"/>
    <cellStyle name="_物料平衡表-实际0904-1_外购原料收拨付平衡表 3" xfId="2485"/>
    <cellStyle name="40% - 强调文字颜色 1 7" xfId="2486"/>
    <cellStyle name="_物料平衡表-实际0904-1_外购原料收拨付平衡表_物料平衡2012年5月" xfId="2487"/>
    <cellStyle name="差_MES-ERP编码对应_开氏物料表7月 2" xfId="2488"/>
    <cellStyle name="SAPBEXexcGood3 4 2 2" xfId="2489"/>
    <cellStyle name="333" xfId="2490"/>
    <cellStyle name="SAPBEXexcGood3 4 2 2 2" xfId="2491"/>
    <cellStyle name="_物料平衡表-实际0904-1_外购原料收拨付平衡表_物料平衡2012年5月 2" xfId="2492"/>
    <cellStyle name="_物料平衡表-实际0904-1_物料平衡2011年3月" xfId="2493"/>
    <cellStyle name="SAPBEXexcBad9 4 2 3" xfId="2494"/>
    <cellStyle name="SAPBEXheaderText 7" xfId="2495"/>
    <cellStyle name="_物料平衡表-实际0904-1_物料平衡2011年6月---财务" xfId="2496"/>
    <cellStyle name="差_公司2011年9月份化工三剂需求计划0816" xfId="2497"/>
    <cellStyle name="好_物料主数据模板_1.9_1-1" xfId="2498"/>
    <cellStyle name="20% - 强调文字颜色 6 5" xfId="2499"/>
    <cellStyle name="_物料平衡表-实际0904-1_物料平衡2011年6月---财务_物料平衡2012年5月" xfId="2500"/>
    <cellStyle name="_物料平衡表-实际0904-1_物料平衡2011年6月---财务_物料平衡2012年5月 2" xfId="2501"/>
    <cellStyle name="SAPBEXexcCritical4 5 3" xfId="2502"/>
    <cellStyle name="_物料平衡表-实际0904-1_物料平衡2012年01月_物料平衡2012年5月 2" xfId="2503"/>
    <cellStyle name="千位分隔 3" xfId="2504"/>
    <cellStyle name="SAPBEXheaderItem 3 3" xfId="2505"/>
    <cellStyle name="标题 4 2" xfId="2506"/>
    <cellStyle name="_物料平衡表-实际0904-1_物料平衡2012年5月 2" xfId="2507"/>
    <cellStyle name="SAPBEXexcCritical6 3 3 2" xfId="2508"/>
    <cellStyle name="好_2013年10月生产计划-103万吨-20130929（本月反冲洗1次）" xfId="2509"/>
    <cellStyle name="_物料平衡表-实际0904-1_物料平衡3月" xfId="2510"/>
    <cellStyle name="_物料平衡表-实际0904-1_物料平衡3月 2" xfId="2511"/>
    <cellStyle name="_物料平衡表-实际0904-1_物料平衡3月 2 2" xfId="2512"/>
    <cellStyle name="_物料平衡表-实际0904-1_物料平衡3月_物料平衡2012年5月" xfId="2513"/>
    <cellStyle name="_物料平衡表-实际0904-1_物料平衡3月_物料平衡2012年5月 2" xfId="2514"/>
    <cellStyle name="好_副产蒸汽、凝结水消耗_0908炼油与开氏主要物料结算量 2" xfId="2515"/>
    <cellStyle name="60% - Accent1 3" xfId="2516"/>
    <cellStyle name="_物料平衡表-实际0904-1_物料平衡7月初稿." xfId="2517"/>
    <cellStyle name="20% - 强调文字颜色 5 7" xfId="2518"/>
    <cellStyle name="_物料平衡表-实际0904-1_物料平衡7月初稿. 3" xfId="2519"/>
    <cellStyle name="_物料平衡表-实际0904-1_物料平衡7月终稿. 2" xfId="2520"/>
    <cellStyle name="_物料平衡表-实际0904-1_物料平衡7月终稿. 3" xfId="2521"/>
    <cellStyle name="_物料平衡表-实际0904-1_物料平衡8月初稿. 2 2" xfId="2522"/>
    <cellStyle name="差_还原数据090219_104单元（0910）" xfId="2523"/>
    <cellStyle name="_物料平衡表-实际0904-1_物料平衡8月初稿. 3" xfId="2524"/>
    <cellStyle name="SAPBEXexcBad9 9" xfId="2525"/>
    <cellStyle name="60% - Accent2" xfId="2526"/>
    <cellStyle name="_物料平衡表-实际0904-1_物料平衡8月初稿._物料平衡2012年5月 2" xfId="2527"/>
    <cellStyle name="强调文字颜色 5 2" xfId="2528"/>
    <cellStyle name="差_物料主数据模板_1.9_112 2" xfId="2529"/>
    <cellStyle name="_物料平衡表-实际0904-1_物料平衡9月初稿." xfId="2530"/>
    <cellStyle name="SAPBEXfilterItem" xfId="2531"/>
    <cellStyle name="SAPBEXchaText 2 2" xfId="2532"/>
    <cellStyle name="SAPBEXexcCritical6 4" xfId="2533"/>
    <cellStyle name="千位分隔 13" xfId="2534"/>
    <cellStyle name="_物料平衡表-实际0904-1_物料平衡9月初稿. 2" xfId="2535"/>
    <cellStyle name="SAPBEXfilterItem 2" xfId="2536"/>
    <cellStyle name="Header1" xfId="2537"/>
    <cellStyle name="SAPBEXchaText 2 2 2" xfId="2538"/>
    <cellStyle name="SAPBEXexcCritical6 4 2" xfId="2539"/>
    <cellStyle name="千位分隔 13 2" xfId="2540"/>
    <cellStyle name="_物料平衡表-实际0904-1_物料平衡9月初稿. 2 2" xfId="2541"/>
    <cellStyle name="SAPBEXfilterItem 2 2" xfId="2542"/>
    <cellStyle name="SAPBEXchaText 2 2 2 2" xfId="2543"/>
    <cellStyle name="SAPBEXexcCritical6 4 2 2" xfId="2544"/>
    <cellStyle name="explanation" xfId="2545"/>
    <cellStyle name="_物料平衡表-实际0904-1_物料平衡9月初稿. 3" xfId="2546"/>
    <cellStyle name="SAPBEXfilterItem 3" xfId="2547"/>
    <cellStyle name="Header2" xfId="2548"/>
    <cellStyle name="SAPBEXchaText 2 2 3" xfId="2549"/>
    <cellStyle name="SAPBEXexcCritical6 4 3" xfId="2550"/>
    <cellStyle name="差_物料主数据模板_1.9_102 2" xfId="2551"/>
    <cellStyle name="_物料平衡表-实际0904-1_物料平衡9月初稿._物料平衡2012年5月" xfId="2552"/>
    <cellStyle name="_物料平衡表-实际0904-1_物料平衡9月初稿._物料平衡2012年5月 2" xfId="2553"/>
    <cellStyle name="_物料平衡表-实际0904-1_原油计量途耗报表汇总7月" xfId="2554"/>
    <cellStyle name="_物料平衡表-实际0904-1_原油计量途耗报表汇总7月 2" xfId="2555"/>
    <cellStyle name="_物料平衡表-实际0904-1_原油计量途耗报表汇总7月 2 2" xfId="2556"/>
    <cellStyle name="普通-10钻头记录" xfId="2557"/>
    <cellStyle name="_物料平衡表-实际0904-1_原油计量途耗报表汇总9月" xfId="2558"/>
    <cellStyle name="_物料平衡表-实际0904-1_原油计量途耗报表汇总9月 2" xfId="2559"/>
    <cellStyle name="_物料平衡表-实际0904-1_原油计量途耗报表汇总9月 2 2" xfId="2560"/>
    <cellStyle name="_物料平衡表-实际0904-1_原油计量途耗报表汇总9月 3" xfId="2561"/>
    <cellStyle name="_物料平衡表-实际0904-1_原油计量途耗报表汇总9月_物料平衡2012年5月 2" xfId="2562"/>
    <cellStyle name="SAPBEXexcBad9 8 2" xfId="2563"/>
    <cellStyle name="60% - Accent1 2" xfId="2564"/>
    <cellStyle name="_原油计量途耗报表汇总8月" xfId="2565"/>
    <cellStyle name="_原油计量途耗报表汇总9月" xfId="2566"/>
    <cellStyle name="_原油价格体系_第3版（2007.7.16）" xfId="2567"/>
    <cellStyle name="20% - 强调文字颜色 6 2" xfId="2568"/>
    <cellStyle name="_运行六部原油盘点表程版0904" xfId="2569"/>
    <cellStyle name="_装置预算表" xfId="2570"/>
    <cellStyle name="=C:\WINNT35\SYSTEM32\COMMAND.COM" xfId="2571"/>
    <cellStyle name="Calculation 9" xfId="2572"/>
    <cellStyle name="=C:\WINNT35\SYSTEM32\COMMAND.COM 2" xfId="2573"/>
    <cellStyle name="Calculation 9 2" xfId="2574"/>
    <cellStyle name="Input 6 3 2" xfId="2575"/>
    <cellStyle name="好_惠炼BOM（20081219）_112 2" xfId="2576"/>
    <cellStyle name="=C:\WINNT35\SYSTEM32\COMMAND.COM 3" xfId="2577"/>
    <cellStyle name="0,0_x000d__x000a_NA_x000d__x000a_ 3" xfId="2578"/>
    <cellStyle name="好_生产订单收发货-ERP_~4907560 2" xfId="2579"/>
    <cellStyle name="0,0_x000d__x000a_NA_x000d__x000a_ 4" xfId="2580"/>
    <cellStyle name="Total 4" xfId="2581"/>
    <cellStyle name="差_MES-ERP编码对应_fangting物料平衡填报表2009.9.30" xfId="2582"/>
    <cellStyle name="好_MES-ERP编码对应_0908炼油与开氏主要物料结算量 2" xfId="2583"/>
    <cellStyle name="0,0_x000d__x000a_NA_x000d__x000a__2011年7月份月度计划手册" xfId="2584"/>
    <cellStyle name="1234567898765432" xfId="2585"/>
    <cellStyle name="SAPBEXHLevel1 6 2" xfId="2586"/>
    <cellStyle name="1234567898765432 2" xfId="2587"/>
    <cellStyle name="SAPBEXHLevel1 6 2 2" xfId="2588"/>
    <cellStyle name="Neutral" xfId="2589"/>
    <cellStyle name="1234567898765432 3" xfId="2590"/>
    <cellStyle name="SAPBEXchaText 6" xfId="2591"/>
    <cellStyle name="SAPBEXstdData 7 3" xfId="2592"/>
    <cellStyle name="14 bold" xfId="2593"/>
    <cellStyle name="20% - Accent1" xfId="2594"/>
    <cellStyle name="20% - 强调文字颜色 1 3" xfId="2595"/>
    <cellStyle name="20% - Accent1 2" xfId="2596"/>
    <cellStyle name="20% - 强调文字颜色 1 4" xfId="2597"/>
    <cellStyle name="20% - Accent1 3" xfId="2598"/>
    <cellStyle name="20% - Accent2" xfId="2599"/>
    <cellStyle name="SAPBEXstdData 3 3 2" xfId="2600"/>
    <cellStyle name="20% - Accent3" xfId="2601"/>
    <cellStyle name="20% - 强调文字颜色 3 4" xfId="2602"/>
    <cellStyle name="20% - Accent3 3" xfId="2603"/>
    <cellStyle name="20% - Accent4" xfId="2604"/>
    <cellStyle name="20% - 强调文字颜色 4 3" xfId="2605"/>
    <cellStyle name="20% - Accent4 2" xfId="2606"/>
    <cellStyle name="差_2011年6月份化工三剂需求表（下发）" xfId="2607"/>
    <cellStyle name="20% - 强调文字颜色 4 4" xfId="2608"/>
    <cellStyle name="20% - Accent4 3" xfId="2609"/>
    <cellStyle name="差_mock生产订单收发货（导入版）_10月统计（111）平衡 2" xfId="2610"/>
    <cellStyle name="20% - 强调文字颜色 5 4" xfId="2611"/>
    <cellStyle name="20% - Accent5 3" xfId="2612"/>
    <cellStyle name="20% - 强调文字颜色 6 3" xfId="2613"/>
    <cellStyle name="20% - Accent6 2" xfId="2614"/>
    <cellStyle name="20% - 强调文字颜色 6 4" xfId="2615"/>
    <cellStyle name="20% - Accent6 3" xfId="2616"/>
    <cellStyle name="60% - 强调文字颜色 3 12" xfId="2617"/>
    <cellStyle name="40% - 强调文字颜色 2 11" xfId="2618"/>
    <cellStyle name="20% - 强调文字颜色 1 10" xfId="2619"/>
    <cellStyle name="60% - 强调文字颜色 3 15" xfId="2620"/>
    <cellStyle name="40% - 强调文字颜色 2 14" xfId="2621"/>
    <cellStyle name="20% - 强调文字颜色 1 13" xfId="2622"/>
    <cellStyle name="40% - 强调文字颜色 2 15" xfId="2623"/>
    <cellStyle name="20% - 强调文字颜色 1 14" xfId="2624"/>
    <cellStyle name="Note 3 2" xfId="2625"/>
    <cellStyle name="20% - 强调文字颜色 1 15" xfId="2626"/>
    <cellStyle name="Note 3 3" xfId="2627"/>
    <cellStyle name="20% - 强调文字颜色 1 2 2" xfId="2628"/>
    <cellStyle name="SAPBEXexcGood1 4 2" xfId="2629"/>
    <cellStyle name="20% - 强调文字颜色 1 5" xfId="2630"/>
    <cellStyle name="SAPBEXexcGood1 4 3" xfId="2631"/>
    <cellStyle name="好_物料主数据模板_1.9 2" xfId="2632"/>
    <cellStyle name="20% - 强调文字颜色 1 6" xfId="2633"/>
    <cellStyle name="SAPBEXexcCritical5 3 2 2 2" xfId="2634"/>
    <cellStyle name="差_物料平衡表-实际0904-1_开氏物料表7月" xfId="2635"/>
    <cellStyle name="差_惠炼BOM（20081219）_5 月份物料平衡（107单元） 2" xfId="2636"/>
    <cellStyle name="Output 3 3 2" xfId="2637"/>
    <cellStyle name="20% - 强调文字颜色 1 7" xfId="2638"/>
    <cellStyle name="20% - 强调文字颜色 1 8" xfId="2639"/>
    <cellStyle name="20% - 强调文字颜色 1 9" xfId="2640"/>
    <cellStyle name="差_mock生产订单收发货（导入版）_汇总 2" xfId="2641"/>
    <cellStyle name="60% - 强调文字颜色 4 12" xfId="2642"/>
    <cellStyle name="40% - 强调文字颜色 3 11" xfId="2643"/>
    <cellStyle name="20% - 强调文字颜色 2 10" xfId="2644"/>
    <cellStyle name="差_惠炼BOM（20081219）_108单元物料平衡表" xfId="2645"/>
    <cellStyle name="60% - 强调文字颜色 4 13" xfId="2646"/>
    <cellStyle name="40% - 强调文字颜色 3 12" xfId="2647"/>
    <cellStyle name="20% - 强调文字颜色 2 11" xfId="2648"/>
    <cellStyle name="20% - 强调文字颜色 2 15" xfId="2649"/>
    <cellStyle name="20% - 强调文字颜色 2 2" xfId="2650"/>
    <cellStyle name="20% - 强调文字颜色 2 6" xfId="2651"/>
    <cellStyle name="SAPBEXHLevel2X 4" xfId="2652"/>
    <cellStyle name="SAPBEXexcGood1 5 3" xfId="2653"/>
    <cellStyle name="20% - 强调文字颜色 2 7" xfId="2654"/>
    <cellStyle name="SAPBEXHLevel2X 5" xfId="2655"/>
    <cellStyle name="20% - 强调文字颜色 2 8" xfId="2656"/>
    <cellStyle name="SAPBEXHLevel2X 6" xfId="2657"/>
    <cellStyle name="20% - 强调文字颜色 2 9" xfId="2658"/>
    <cellStyle name="SAPBEXHLevel2X 7" xfId="2659"/>
    <cellStyle name="60% - 强调文字颜色 5 13" xfId="2660"/>
    <cellStyle name="40% - 强调文字颜色 4 12" xfId="2661"/>
    <cellStyle name="20% - 强调文字颜色 3 11" xfId="2662"/>
    <cellStyle name="60% - 强调文字颜色 5 15" xfId="2663"/>
    <cellStyle name="40% - 强调文字颜色 4 14" xfId="2664"/>
    <cellStyle name="20% - 强调文字颜色 3 13" xfId="2665"/>
    <cellStyle name="40% - 强调文字颜色 4 15" xfId="2666"/>
    <cellStyle name="20% - 强调文字颜色 3 14" xfId="2667"/>
    <cellStyle name="Calculation 2 3 3 2" xfId="2668"/>
    <cellStyle name="Accent5 2" xfId="2669"/>
    <cellStyle name="Calculation 7 2 2" xfId="2670"/>
    <cellStyle name="20% - 强调文字颜色 3 15" xfId="2671"/>
    <cellStyle name="差_Sheet1_4" xfId="2672"/>
    <cellStyle name="Accent5 3" xfId="2673"/>
    <cellStyle name="20% - 强调文字颜色 3 6" xfId="2674"/>
    <cellStyle name="差_110装置物料平衡表填报表1 2" xfId="2675"/>
    <cellStyle name="20% - 强调文字颜色 3 7" xfId="2676"/>
    <cellStyle name="20% - 强调文字颜色 3 8" xfId="2677"/>
    <cellStyle name="20% - 强调文字颜色 3 9" xfId="2678"/>
    <cellStyle name="差_物料 2" xfId="2679"/>
    <cellStyle name="60% - 强调文字颜色 3 10" xfId="2680"/>
    <cellStyle name="60% - 强调文字颜色 6 15" xfId="2681"/>
    <cellStyle name="40% - 强调文字颜色 5 14" xfId="2682"/>
    <cellStyle name="20% - 强调文字颜色 4 13" xfId="2683"/>
    <cellStyle name="20% - 强调文字颜色 4 15" xfId="2684"/>
    <cellStyle name="SAPBEXexcGood1 7 2" xfId="2685"/>
    <cellStyle name="20% - 强调文字颜色 4 5" xfId="2686"/>
    <cellStyle name="SAPBEXexcGood1 7 3" xfId="2687"/>
    <cellStyle name="20% - 强调文字颜色 4 6" xfId="2688"/>
    <cellStyle name="20% - 强调文字颜色 4 9" xfId="2689"/>
    <cellStyle name="Input 7" xfId="2690"/>
    <cellStyle name="40% - 强调文字颜色 6 11" xfId="2691"/>
    <cellStyle name="20% - 强调文字颜色 5 10" xfId="2692"/>
    <cellStyle name="40% - 强调文字颜色 6 14" xfId="2693"/>
    <cellStyle name="20% - 强调文字颜色 5 13" xfId="2694"/>
    <cellStyle name="20% - 强调文字颜色 5 2" xfId="2695"/>
    <cellStyle name="SAPBEXexcGood1 8 2" xfId="2696"/>
    <cellStyle name="20% - 强调文字颜色 5 5" xfId="2697"/>
    <cellStyle name="20% - 强调文字颜色 5 8" xfId="2698"/>
    <cellStyle name="20% - 强调文字颜色 6 10" xfId="2699"/>
    <cellStyle name="20% - 强调文字颜色 6 11" xfId="2700"/>
    <cellStyle name="SAPBEXstdItemX 6" xfId="2701"/>
    <cellStyle name="Calc Currency (0)" xfId="2702"/>
    <cellStyle name="20% - 强调文字颜色 6 13" xfId="2703"/>
    <cellStyle name="20% - 强调文字颜色 6 14" xfId="2704"/>
    <cellStyle name="20% - 强调文字颜色 6 6" xfId="2705"/>
    <cellStyle name="20% - 强调文字颜色 6 7" xfId="2706"/>
    <cellStyle name="差_109装置物料平衡填报表2009(1).7.31 2" xfId="2707"/>
    <cellStyle name="20% - 强调文字颜色 6 8" xfId="2708"/>
    <cellStyle name="Input 7 2" xfId="2709"/>
    <cellStyle name="40% - Accent1" xfId="2710"/>
    <cellStyle name="Input 7 2 2" xfId="2711"/>
    <cellStyle name="40% - Accent1 2" xfId="2712"/>
    <cellStyle name="Input 7 3" xfId="2713"/>
    <cellStyle name="40% - Accent2" xfId="2714"/>
    <cellStyle name="Input 7 3 2" xfId="2715"/>
    <cellStyle name="40% - Accent2 2" xfId="2716"/>
    <cellStyle name="40% - Accent2 3" xfId="2717"/>
    <cellStyle name="40% - Accent4 2" xfId="2718"/>
    <cellStyle name="Normal - Style1 2" xfId="2719"/>
    <cellStyle name="40% - Accent4 3" xfId="2720"/>
    <cellStyle name="Normal - Style1 3" xfId="2721"/>
    <cellStyle name="40% - Accent5" xfId="2722"/>
    <cellStyle name="40% - Accent5 2" xfId="2723"/>
    <cellStyle name="警告文本 3" xfId="2724"/>
    <cellStyle name="SAPBEXformats 5 2" xfId="2725"/>
    <cellStyle name="40% - Accent6" xfId="2726"/>
    <cellStyle name="SAPBEXformats 5 2 2" xfId="2727"/>
    <cellStyle name="40% - Accent6 2" xfId="2728"/>
    <cellStyle name="SAPBEXformats 5 2 3" xfId="2729"/>
    <cellStyle name="40% - Accent6 3" xfId="2730"/>
    <cellStyle name="60% - 强调文字颜色 2 12" xfId="2731"/>
    <cellStyle name="40% - 强调文字颜色 1 11" xfId="2732"/>
    <cellStyle name="60% - Accent2 2" xfId="2733"/>
    <cellStyle name="SAPBEXundefined 2 3" xfId="2734"/>
    <cellStyle name="好_物料主数据模板_1.9_112 2" xfId="2735"/>
    <cellStyle name="60% - 强调文字颜色 2 13" xfId="2736"/>
    <cellStyle name="40% - 强调文字颜色 1 12" xfId="2737"/>
    <cellStyle name="60% - Accent2 3" xfId="2738"/>
    <cellStyle name="60% - 强调文字颜色 2 14" xfId="2739"/>
    <cellStyle name="40% - 强调文字颜色 1 13" xfId="2740"/>
    <cellStyle name="60% - 强调文字颜色 2 15" xfId="2741"/>
    <cellStyle name="40% - 强调文字颜色 1 14" xfId="2742"/>
    <cellStyle name="差_惠炼BOM（20081219）_开氏物料表12月初稿" xfId="2743"/>
    <cellStyle name="SAPBEXfilterDrill 2 2 2" xfId="2744"/>
    <cellStyle name="40% - 强调文字颜色 1 2" xfId="2745"/>
    <cellStyle name="SAPBEXHLevel0 5 3 2" xfId="2746"/>
    <cellStyle name="常规 9 4" xfId="2747"/>
    <cellStyle name="40% - 强调文字颜色 1 5" xfId="2748"/>
    <cellStyle name="好_还原数据090219_~4907560 2" xfId="2749"/>
    <cellStyle name="40% - 强调文字颜色 1 8" xfId="2750"/>
    <cellStyle name="好_mock生产订单收发货（导入版）_周计划表20091112" xfId="2751"/>
    <cellStyle name="40% - 强调文字颜色 1 9" xfId="2752"/>
    <cellStyle name="SAPBEXfilterDrill 2 3 2" xfId="2753"/>
    <cellStyle name="40% - 强调文字颜色 2 2" xfId="2754"/>
    <cellStyle name="40% - 强调文字颜色 2 3" xfId="2755"/>
    <cellStyle name="40% - 强调文字颜色 2 4" xfId="2756"/>
    <cellStyle name="40% - 强调文字颜色 2 6" xfId="2757"/>
    <cellStyle name="40% - 强调文字颜色 2 7" xfId="2758"/>
    <cellStyle name="40% - 强调文字颜色 2 9" xfId="2759"/>
    <cellStyle name="SAPBEXstdDataEmph 3 2 2 2" xfId="2760"/>
    <cellStyle name="60% - 强调文字颜色 4 11" xfId="2761"/>
    <cellStyle name="40% - 强调文字颜色 3 10" xfId="2762"/>
    <cellStyle name="SAPBEXstdData 2 3 2" xfId="2763"/>
    <cellStyle name="40% - 强调文字颜色 3 3" xfId="2764"/>
    <cellStyle name="40% - 强调文字颜色 3 4" xfId="2765"/>
    <cellStyle name="40% - 强调文字颜色 3 6" xfId="2766"/>
    <cellStyle name="40% - 强调文字颜色 3 7" xfId="2767"/>
    <cellStyle name="40% - 强调文字颜色 3 8" xfId="2768"/>
    <cellStyle name="40% - 强调文字颜色 3 9" xfId="2769"/>
    <cellStyle name="60% - 强调文字颜色 5 11" xfId="2770"/>
    <cellStyle name="40% - 强调文字颜色 4 10" xfId="2771"/>
    <cellStyle name="SAPBEXHLevel2X 5 2 2 2" xfId="2772"/>
    <cellStyle name="40% - 强调文字颜色 4 2" xfId="2773"/>
    <cellStyle name="SAPBEXaggItem 5 2 3" xfId="2774"/>
    <cellStyle name="40% - 强调文字颜色 4 4" xfId="2775"/>
    <cellStyle name="40% - 强调文字颜色 4 5" xfId="2776"/>
    <cellStyle name="SAPBEXexcGood2 6 2 2" xfId="2777"/>
    <cellStyle name="40% - 强调文字颜色 4 7" xfId="2778"/>
    <cellStyle name="40% - 强调文字颜色 4 8" xfId="2779"/>
    <cellStyle name="40% - 强调文字颜色 4 9" xfId="2780"/>
    <cellStyle name="差_物料主数据模板_1.9_汇总 2" xfId="2781"/>
    <cellStyle name="40% - 强调文字颜色 5 2" xfId="2782"/>
    <cellStyle name="好_惠炼BOM（20081219） 2" xfId="2783"/>
    <cellStyle name="40% - 强调文字颜色 5 4" xfId="2784"/>
    <cellStyle name="SAPBEXresDataEmph 2 2 3" xfId="2785"/>
    <cellStyle name="SAPBEXaggData 4 2 2" xfId="2786"/>
    <cellStyle name="Calculation 2" xfId="2787"/>
    <cellStyle name="SAPBEXaggData 4 2 3" xfId="2788"/>
    <cellStyle name="SAPBEXundefined 2 2 2 2" xfId="2789"/>
    <cellStyle name="40% - 强调文字颜色 5 5" xfId="2790"/>
    <cellStyle name="Calculation 3" xfId="2791"/>
    <cellStyle name="40% - 强调文字颜色 5 6" xfId="2792"/>
    <cellStyle name="Calculation 4" xfId="2793"/>
    <cellStyle name="40% - 强调文字颜色 5 7" xfId="2794"/>
    <cellStyle name="标题 18" xfId="2795"/>
    <cellStyle name="好_MES-ERP编码对应_开氏物料表12月初稿" xfId="2796"/>
    <cellStyle name="40% - 强调文字颜色 6 3" xfId="2797"/>
    <cellStyle name="SAPBEXresDataEmph 2 3 2" xfId="2798"/>
    <cellStyle name="差_物料平衡表-实际0904-1_0908炼油与开氏主要物料结算量 2" xfId="2799"/>
    <cellStyle name="SAPBEXaggData 4 3 2" xfId="2800"/>
    <cellStyle name="40% - 强调文字颜色 6 4" xfId="2801"/>
    <cellStyle name="40% - 强调文字颜色 6 5" xfId="2802"/>
    <cellStyle name="40% - 强调文字颜色 6 6" xfId="2803"/>
    <cellStyle name="40% - 强调文字颜色 6 9" xfId="2804"/>
    <cellStyle name="SAPBEXexcBad9 8" xfId="2805"/>
    <cellStyle name="SAPBEXundefined 6 2 2" xfId="2806"/>
    <cellStyle name="60% - Accent1" xfId="2807"/>
    <cellStyle name="SAPBEXstdItem 6 2" xfId="2808"/>
    <cellStyle name="60% - Accent3" xfId="2809"/>
    <cellStyle name="SAPBEXexcCritical5 2" xfId="2810"/>
    <cellStyle name="Bad" xfId="2811"/>
    <cellStyle name="60% - Accent3 2" xfId="2812"/>
    <cellStyle name="SAPBEXexcCritical5 2 2" xfId="2813"/>
    <cellStyle name="SAPBEXundefined 3 3" xfId="2814"/>
    <cellStyle name="SAPBEXstdItem 6 2 2" xfId="2815"/>
    <cellStyle name="60% - Accent3 3" xfId="2816"/>
    <cellStyle name="SAPBEXexcCritical5 2 3" xfId="2817"/>
    <cellStyle name="60% - Accent4" xfId="2818"/>
    <cellStyle name="SAPBEXexcCritical5 3" xfId="2819"/>
    <cellStyle name="60% - Accent4 2" xfId="2820"/>
    <cellStyle name="SAPBEXexcCritical5 3 2" xfId="2821"/>
    <cellStyle name="SAPBEXundefined 4 3" xfId="2822"/>
    <cellStyle name="差_物料_fangting物料平衡填报表2009.9.30 2" xfId="2823"/>
    <cellStyle name="60% - Accent6 3" xfId="2824"/>
    <cellStyle name="SAPBEXexcCritical5 5 3" xfId="2825"/>
    <cellStyle name="60% - 强调文字颜色 1 10" xfId="2826"/>
    <cellStyle name="SAPBEXexcGood2 3 2 2 2" xfId="2827"/>
    <cellStyle name="60% - 强调文字颜色 1 11" xfId="2828"/>
    <cellStyle name="60% - 强调文字颜色 1 4" xfId="2829"/>
    <cellStyle name="60% - 强调文字颜色 1 5" xfId="2830"/>
    <cellStyle name="60% - 强调文字颜色 1 6" xfId="2831"/>
    <cellStyle name="DATAFIELDS" xfId="2832"/>
    <cellStyle name="SAPBEXHLevel3 5 2 2 2" xfId="2833"/>
    <cellStyle name="60% - 强调文字颜色 1 7" xfId="2834"/>
    <cellStyle name="60% - 强调文字颜色 2 10" xfId="2835"/>
    <cellStyle name="60% - 强调文字颜色 2 2" xfId="2836"/>
    <cellStyle name="SAPBEXaggData 2 3" xfId="2837"/>
    <cellStyle name="SAPBEXaggDataEmph 3 2 2" xfId="2838"/>
    <cellStyle name="60% - 强调文字颜色 2 4" xfId="2839"/>
    <cellStyle name="60% - 强调文字颜色 2 7" xfId="2840"/>
    <cellStyle name="60% - 强调文字颜色 2 8" xfId="2841"/>
    <cellStyle name="60% - 强调文字颜色 2 9" xfId="2842"/>
    <cellStyle name="60% - 强调文字颜色 3 2" xfId="2843"/>
    <cellStyle name="SAPBEXaggData 3 3" xfId="2844"/>
    <cellStyle name="SAPBEXaggDataEmph 3 3 2" xfId="2845"/>
    <cellStyle name="SAPBEXexcGood1 4 2 2 2" xfId="2846"/>
    <cellStyle name="60% - 强调文字颜色 3 3" xfId="2847"/>
    <cellStyle name="60% - 强调文字颜色 3 5" xfId="2848"/>
    <cellStyle name="60% - 强调文字颜色 4 10" xfId="2849"/>
    <cellStyle name="60% - 强调文字颜色 4 4" xfId="2850"/>
    <cellStyle name="60% - 强调文字颜色 4 9" xfId="2851"/>
    <cellStyle name="60% - 强调文字颜色 5 10" xfId="2852"/>
    <cellStyle name="60% - 强调文字颜色 6 10" xfId="2853"/>
    <cellStyle name="60% - 强调文字颜色 6 2" xfId="2854"/>
    <cellStyle name="60% - 强调文字颜色 6 3" xfId="2855"/>
    <cellStyle name="Input 12 2 2" xfId="2856"/>
    <cellStyle name="60% - 强调文字颜色 6 4" xfId="2857"/>
    <cellStyle name="差_mock生产订单收发货（导入版）_104单元（0910）" xfId="2858"/>
    <cellStyle name="Input 12 2 3" xfId="2859"/>
    <cellStyle name="60% - 强调文字颜色 6 5" xfId="2860"/>
    <cellStyle name="SAPBEXchaText" xfId="2861"/>
    <cellStyle name="60% - 强调文字颜色 6 6" xfId="2862"/>
    <cellStyle name="Accent1 2" xfId="2863"/>
    <cellStyle name="Accent2 2" xfId="2864"/>
    <cellStyle name="Accent2 3" xfId="2865"/>
    <cellStyle name="Accent3" xfId="2866"/>
    <cellStyle name="标题 1 12" xfId="2867"/>
    <cellStyle name="Accent3 2" xfId="2868"/>
    <cellStyle name="好_惠炼BOM（20081219）_周计划表20091112" xfId="2869"/>
    <cellStyle name="标题 1 13" xfId="2870"/>
    <cellStyle name="Accent3 3" xfId="2871"/>
    <cellStyle name="Calculation 2 3 2" xfId="2872"/>
    <cellStyle name="SAPBEXchaText 8 2" xfId="2873"/>
    <cellStyle name="Accent4" xfId="2874"/>
    <cellStyle name="Calculation 2 3 2 2" xfId="2875"/>
    <cellStyle name="适中 14" xfId="2876"/>
    <cellStyle name="Accent4 2" xfId="2877"/>
    <cellStyle name="Calculation 2 3 2 3" xfId="2878"/>
    <cellStyle name="适中 15" xfId="2879"/>
    <cellStyle name="Accent4 3" xfId="2880"/>
    <cellStyle name="Calculation 2 3 3" xfId="2881"/>
    <cellStyle name="Accent5" xfId="2882"/>
    <cellStyle name="Accent6" xfId="2883"/>
    <cellStyle name="Accent6 3" xfId="2884"/>
    <cellStyle name="Bad 2" xfId="2885"/>
    <cellStyle name="Bad 3" xfId="2886"/>
    <cellStyle name="SAPBEXresItemX 6 2" xfId="2887"/>
    <cellStyle name="Calculation 10" xfId="2888"/>
    <cellStyle name="Calculation 11" xfId="2889"/>
    <cellStyle name="Calculation 2 2" xfId="2890"/>
    <cellStyle name="Calculation 2 2 2" xfId="2891"/>
    <cellStyle name="Calculation 2 2 2 2" xfId="2892"/>
    <cellStyle name="Calculation 2 2 3" xfId="2893"/>
    <cellStyle name="Calculation 2 2 3 2" xfId="2894"/>
    <cellStyle name="Calculation 2 3" xfId="2895"/>
    <cellStyle name="Calculation 2 4" xfId="2896"/>
    <cellStyle name="Input 7 2 2 2" xfId="2897"/>
    <cellStyle name="好_惠炼BOM（20081219）_0908炼油与开氏主要物料结算量" xfId="2898"/>
    <cellStyle name="Calculation 2 4 2" xfId="2899"/>
    <cellStyle name="好_惠炼BOM（20081219）_0908炼油与开氏主要物料结算量 2" xfId="2900"/>
    <cellStyle name="Calculation 2 4 2 2" xfId="2901"/>
    <cellStyle name="标题 11" xfId="2902"/>
    <cellStyle name="Calculation 2 5" xfId="2903"/>
    <cellStyle name="Calculation 2 5 2" xfId="2904"/>
    <cellStyle name="Calculation 2 5 2 2" xfId="2905"/>
    <cellStyle name="Calculation 2 5 2 2 2" xfId="2906"/>
    <cellStyle name="Calculation 2 5 2 3" xfId="2907"/>
    <cellStyle name="Calculation 2 5 3" xfId="2908"/>
    <cellStyle name="Calculation 2 5 3 2" xfId="2909"/>
    <cellStyle name="Calculation 2 7" xfId="2910"/>
    <cellStyle name="Calculation 2 7 2" xfId="2911"/>
    <cellStyle name="Calculation 3 2 2" xfId="2912"/>
    <cellStyle name="Calculation 3 3" xfId="2913"/>
    <cellStyle name="Calculation 3 3 2" xfId="2914"/>
    <cellStyle name="Calculation 4 2 2" xfId="2915"/>
    <cellStyle name="差_物料主数据模板_1.9_102" xfId="2916"/>
    <cellStyle name="Calculation 4 2 2 2" xfId="2917"/>
    <cellStyle name="Calculation 4 2 3" xfId="2918"/>
    <cellStyle name="SAPBEXexcCritical4 6 2" xfId="2919"/>
    <cellStyle name="Calculation 5 2 2 2" xfId="2920"/>
    <cellStyle name="Calculation 6 2" xfId="2921"/>
    <cellStyle name="差_mock生产订单收发货（导入版）_物料平衡8月初稿." xfId="2922"/>
    <cellStyle name="SAPBEXHLevel0X 3 3 2" xfId="2923"/>
    <cellStyle name="Calculation 6 2 2" xfId="2924"/>
    <cellStyle name="差_mock生产订单收发货（导入版）_物料平衡8月初稿. 2" xfId="2925"/>
    <cellStyle name="Calculation 6 2 3" xfId="2926"/>
    <cellStyle name="comma-d" xfId="2927"/>
    <cellStyle name="Calculation 7" xfId="2928"/>
    <cellStyle name="Calculation 7 2" xfId="2929"/>
    <cellStyle name="Calculation 8" xfId="2930"/>
    <cellStyle name="Calculation 8 2" xfId="2931"/>
    <cellStyle name="差_201008生产经营计划说明" xfId="2932"/>
    <cellStyle name="Calculation 8 2 2" xfId="2933"/>
    <cellStyle name="Calculation 8 3" xfId="2934"/>
    <cellStyle name="Input 6 2 2" xfId="2935"/>
    <cellStyle name="Check Cell" xfId="2936"/>
    <cellStyle name="SAPBEXHLevel0 2 2 3" xfId="2937"/>
    <cellStyle name="Check Cell 3" xfId="2938"/>
    <cellStyle name="Comma  - Style4" xfId="2939"/>
    <cellStyle name="SAPBEXaggDataEmph 2 3" xfId="2940"/>
    <cellStyle name="Comma  - Style5" xfId="2941"/>
    <cellStyle name="好_惠炼BOM（20081219）_物料平衡8月初稿. 2" xfId="2942"/>
    <cellStyle name="Comma  - Style8" xfId="2943"/>
    <cellStyle name="好_0907炼油与开氏主要物料结算量2 2" xfId="2944"/>
    <cellStyle name="Comma [0]_A" xfId="2945"/>
    <cellStyle name="Comma_A" xfId="2946"/>
    <cellStyle name="Currency [0]_ 固定资产船舶明细" xfId="2947"/>
    <cellStyle name="Currency_ 固定资产船舶明细" xfId="2948"/>
    <cellStyle name="好_物料" xfId="2949"/>
    <cellStyle name="Date" xfId="2950"/>
    <cellStyle name="好_物料 2" xfId="2951"/>
    <cellStyle name="date 2" xfId="2952"/>
    <cellStyle name="SAPBEXresData 4 2 3" xfId="2953"/>
    <cellStyle name="Euro" xfId="2954"/>
    <cellStyle name="Euro 2" xfId="2955"/>
    <cellStyle name="SAPBEXstdDataEmph 2 2 3" xfId="2956"/>
    <cellStyle name="好_生产订单收发货-ERP_开氏物料表9月初稿" xfId="2957"/>
    <cellStyle name="Explanatory Text" xfId="2958"/>
    <cellStyle name="好_生产订单收发货-ERP_开氏物料表9月初稿 2" xfId="2959"/>
    <cellStyle name="Explanatory Text 2" xfId="2960"/>
    <cellStyle name="差_物料_开氏物料表12月初稿" xfId="2961"/>
    <cellStyle name="EY House" xfId="2962"/>
    <cellStyle name="差_mock生产订单收发货（导入版）_103-105" xfId="2963"/>
    <cellStyle name="F4" xfId="2964"/>
    <cellStyle name="差_2013年3月生产计划-104万吨-20130225-尾油3.3-公司讨论" xfId="2965"/>
    <cellStyle name="F5" xfId="2966"/>
    <cellStyle name="F6" xfId="2967"/>
    <cellStyle name="F7" xfId="2968"/>
    <cellStyle name="Good 3" xfId="2969"/>
    <cellStyle name="Header2 2" xfId="2970"/>
    <cellStyle name="SAPBEXexcCritical6 4 3 2" xfId="2971"/>
    <cellStyle name="Header2 2 2" xfId="2972"/>
    <cellStyle name="Header2 5" xfId="2973"/>
    <cellStyle name="Header2 5 2" xfId="2974"/>
    <cellStyle name="Input 12 3" xfId="2975"/>
    <cellStyle name="Heading 1" xfId="2976"/>
    <cellStyle name="SAPBEXundefined 5 2 3" xfId="2977"/>
    <cellStyle name="Heading 1 2" xfId="2978"/>
    <cellStyle name="Heading 1 3" xfId="2979"/>
    <cellStyle name="Heading 2" xfId="2980"/>
    <cellStyle name="SAPBEXexcBad9 3 3 2" xfId="2981"/>
    <cellStyle name="Heading 3" xfId="2982"/>
    <cellStyle name="Heading 4" xfId="2983"/>
    <cellStyle name="Hyperlink_Blendcurde" xfId="2984"/>
    <cellStyle name="差_2013年10月生产计划-103万吨-20130929（本月反冲洗1次）" xfId="2985"/>
    <cellStyle name="Input 2 3 3" xfId="2986"/>
    <cellStyle name="Input" xfId="2987"/>
    <cellStyle name="SAPBEXstdDataEmph 7 3" xfId="2988"/>
    <cellStyle name="Input [yellow] 3" xfId="2989"/>
    <cellStyle name="Input [yellow] 6" xfId="2990"/>
    <cellStyle name="Input 10 2" xfId="2991"/>
    <cellStyle name="差 10" xfId="2992"/>
    <cellStyle name="Input 10 2 2" xfId="2993"/>
    <cellStyle name="Input 10 2 3" xfId="2994"/>
    <cellStyle name="好_生产订单收发货-ERP_开氏物料表1月初稿 2" xfId="2995"/>
    <cellStyle name="Input 11" xfId="2996"/>
    <cellStyle name="Input 11 2" xfId="2997"/>
    <cellStyle name="强调文字颜色 2 7" xfId="2998"/>
    <cellStyle name="Input 11 2 2" xfId="2999"/>
    <cellStyle name="Input 11 2 2 2" xfId="3000"/>
    <cellStyle name="强调文字颜色 2 8" xfId="3001"/>
    <cellStyle name="Input 11 2 3" xfId="3002"/>
    <cellStyle name="Input 12 2" xfId="3003"/>
    <cellStyle name="Input 13 2" xfId="3004"/>
    <cellStyle name="SAPBEXHLevel2 2 2 2 2" xfId="3005"/>
    <cellStyle name="Input 13 3 2" xfId="3006"/>
    <cellStyle name="Input 14" xfId="3007"/>
    <cellStyle name="Input 14 2" xfId="3008"/>
    <cellStyle name="标题 16" xfId="3009"/>
    <cellStyle name="Input 14 2 3" xfId="3010"/>
    <cellStyle name="SAPBEXHLevel2 2 3 2" xfId="3011"/>
    <cellStyle name="SAPBEXstdDataEmph 2 2 2" xfId="3012"/>
    <cellStyle name="Input 14 3" xfId="3013"/>
    <cellStyle name="SAPBEXstdDataEmph 2 2 2 2" xfId="3014"/>
    <cellStyle name="常规 11" xfId="3015"/>
    <cellStyle name="Input 14 3 2" xfId="3016"/>
    <cellStyle name="Input 15" xfId="3017"/>
    <cellStyle name="Input 20" xfId="3018"/>
    <cellStyle name="SAPBEXstdDataEmph 2 3 2" xfId="3019"/>
    <cellStyle name="Input 15 3" xfId="3020"/>
    <cellStyle name="Input 15 3 2" xfId="3021"/>
    <cellStyle name="Input 17 2" xfId="3022"/>
    <cellStyle name="好_2013年1月生产计划-102万吨-20121225" xfId="3023"/>
    <cellStyle name="Input 17 3" xfId="3024"/>
    <cellStyle name="Input 18 2" xfId="3025"/>
    <cellStyle name="Input 19" xfId="3026"/>
    <cellStyle name="input 24" xfId="3027"/>
    <cellStyle name="Input 2 3 3 2" xfId="3028"/>
    <cellStyle name="Input 2" xfId="3029"/>
    <cellStyle name="差_惠炼BOM（20081219）_101" xfId="3030"/>
    <cellStyle name="Input 2 2" xfId="3031"/>
    <cellStyle name="SAPBEXstdDataEmph 6" xfId="3032"/>
    <cellStyle name="差_惠炼BOM（20081219）_101 2" xfId="3033"/>
    <cellStyle name="Input 2 2 2" xfId="3034"/>
    <cellStyle name="SAPBEXstdDataEmph 6 2" xfId="3035"/>
    <cellStyle name="警告文本 7" xfId="3036"/>
    <cellStyle name="Input 2 2 2 2 2" xfId="3037"/>
    <cellStyle name="SAPBEXHLevel1X 4 2" xfId="3038"/>
    <cellStyle name="Input 2 2 2 3" xfId="3039"/>
    <cellStyle name="SAPBEXHLevel1X 5" xfId="3040"/>
    <cellStyle name="Input 2 2 3" xfId="3041"/>
    <cellStyle name="Input 2 2 3 2" xfId="3042"/>
    <cellStyle name="差_惠炼BOM（20081219）_102" xfId="3043"/>
    <cellStyle name="Input 2 3" xfId="3044"/>
    <cellStyle name="SAPBEXstdDataEmph 7" xfId="3045"/>
    <cellStyle name="Input 2 4" xfId="3046"/>
    <cellStyle name="SAPBEXstdDataEmph 8" xfId="3047"/>
    <cellStyle name="Input 2 4 2" xfId="3048"/>
    <cellStyle name="SAPBEXstdDataEmph 8 2" xfId="3049"/>
    <cellStyle name="Input 2 4 2 2" xfId="3050"/>
    <cellStyle name="Input 2 4 2 2 2" xfId="3051"/>
    <cellStyle name="Input 2 4 3 2" xfId="3052"/>
    <cellStyle name="Input 2 5 3 2" xfId="3053"/>
    <cellStyle name="差_惠炼BOM（20081219）_110" xfId="3054"/>
    <cellStyle name="Input 2 6" xfId="3055"/>
    <cellStyle name="差_惠炼BOM（20081219）_110 2" xfId="3056"/>
    <cellStyle name="Input 2 6 2" xfId="3057"/>
    <cellStyle name="Input 2 6 2 2" xfId="3058"/>
    <cellStyle name="差_惠炼BOM（20081219）_111" xfId="3059"/>
    <cellStyle name="差_惠炼BOM（20081219）_106" xfId="3060"/>
    <cellStyle name="Input 2 7" xfId="3061"/>
    <cellStyle name="差_惠炼BOM（20081219）_111 2" xfId="3062"/>
    <cellStyle name="差_惠炼BOM（20081219）_106 2" xfId="3063"/>
    <cellStyle name="Input 2 7 2" xfId="3064"/>
    <cellStyle name="Input 2 7 3" xfId="3065"/>
    <cellStyle name="差_2013年7月生产计划-103万吨-尾油2.8万吨-对接后-20130627（反冲洗6.27开始）" xfId="3066"/>
    <cellStyle name="差_物料_0908炼油与开氏主要物料结算量" xfId="3067"/>
    <cellStyle name="標準_!PGUESS002" xfId="3068"/>
    <cellStyle name="SAPBEXHLevel2 3 2" xfId="3069"/>
    <cellStyle name="差_惠炼BOM（20081219）_112" xfId="3070"/>
    <cellStyle name="Input 2 8" xfId="3071"/>
    <cellStyle name="适中 9" xfId="3072"/>
    <cellStyle name="SAPBEXHLevel2 3 2 2" xfId="3073"/>
    <cellStyle name="差_惠炼BOM（20081219）_112 2" xfId="3074"/>
    <cellStyle name="Input 2 8 2" xfId="3075"/>
    <cellStyle name="input 25" xfId="3076"/>
    <cellStyle name="input 30" xfId="3077"/>
    <cellStyle name="input 26" xfId="3078"/>
    <cellStyle name="input 28" xfId="3079"/>
    <cellStyle name="Input 3" xfId="3080"/>
    <cellStyle name="Input 3 2" xfId="3081"/>
    <cellStyle name="Input 3 2 2" xfId="3082"/>
    <cellStyle name="Input 3 2 2 2" xfId="3083"/>
    <cellStyle name="Input 3 2 3" xfId="3084"/>
    <cellStyle name="Input 3 3" xfId="3085"/>
    <cellStyle name="Input 3 3 2" xfId="3086"/>
    <cellStyle name="SAPBEXHLevel3 7 3" xfId="3087"/>
    <cellStyle name="Input 4 2 2 2" xfId="3088"/>
    <cellStyle name="Input 4 3 2" xfId="3089"/>
    <cellStyle name="SAPBEXexcBad7 2 2" xfId="3090"/>
    <cellStyle name="SAPBEXHLevel3X 2 2 3" xfId="3091"/>
    <cellStyle name="差_惠炼炼油计划201205月度计划-103+1万吨-201203426-尾油不外销-对接后" xfId="3092"/>
    <cellStyle name="Input 5" xfId="3093"/>
    <cellStyle name="SAPBEXexcBad7 2 2 2" xfId="3094"/>
    <cellStyle name="Input 5 2" xfId="3095"/>
    <cellStyle name="SAPBEXexcBad7 2 2 2 2" xfId="3096"/>
    <cellStyle name="Input 5 2 2" xfId="3097"/>
    <cellStyle name="SAPBEXexcBad7 2 2 3" xfId="3098"/>
    <cellStyle name="Input 5 3" xfId="3099"/>
    <cellStyle name="Input 5 3 2" xfId="3100"/>
    <cellStyle name="好_惠炼BOM（20081219）_111" xfId="3101"/>
    <cellStyle name="好_惠炼BOM（20081219）_106" xfId="3102"/>
    <cellStyle name="SAPBEXexcBad7 2 3 2" xfId="3103"/>
    <cellStyle name="Input 6 2" xfId="3104"/>
    <cellStyle name="Input 6 2 2 2" xfId="3105"/>
    <cellStyle name="Input 6 2 3" xfId="3106"/>
    <cellStyle name="Input 6 3" xfId="3107"/>
    <cellStyle name="Input 8 2 3" xfId="3108"/>
    <cellStyle name="SAPBEXaggItemX 5 2 3" xfId="3109"/>
    <cellStyle name="Input 8 3" xfId="3110"/>
    <cellStyle name="Input 8 3 2" xfId="3111"/>
    <cellStyle name="SAPBEXaggItemX 5 3 2" xfId="3112"/>
    <cellStyle name="Input 9 2" xfId="3113"/>
    <cellStyle name="Input 9 2 2" xfId="3114"/>
    <cellStyle name="Input 9 2 3" xfId="3115"/>
    <cellStyle name="SAPBEXfilterDrill 4 2 2" xfId="3116"/>
    <cellStyle name="Input 9 3" xfId="3117"/>
    <cellStyle name="SAPBEXfilterDrill 4 2 2 2" xfId="3118"/>
    <cellStyle name="Input 9 3 2" xfId="3119"/>
    <cellStyle name="Input_~4907560" xfId="3120"/>
    <cellStyle name="Linked Cell" xfId="3121"/>
    <cellStyle name="Linked Cell 2" xfId="3122"/>
    <cellStyle name="注释 10" xfId="3123"/>
    <cellStyle name="好 11" xfId="3124"/>
    <cellStyle name="常规 3" xfId="3125"/>
    <cellStyle name="Millares [0]_laroux" xfId="3126"/>
    <cellStyle name="Moneda_laroux" xfId="3127"/>
    <cellStyle name="Neutral 2" xfId="3128"/>
    <cellStyle name="差_mock生产订单收发货（导入版）_周报2009.9.18" xfId="3129"/>
    <cellStyle name="Neutral 3" xfId="3130"/>
    <cellStyle name="no dec" xfId="3131"/>
    <cellStyle name="No-definido" xfId="3132"/>
    <cellStyle name="SAPBEXaggItemX 2" xfId="3133"/>
    <cellStyle name="Normal 2" xfId="3134"/>
    <cellStyle name="SAPBEXaggItemX 2 2" xfId="3135"/>
    <cellStyle name="Normal 2 2" xfId="3136"/>
    <cellStyle name="差_物料主数据模板_1.9_~4907560" xfId="3137"/>
    <cellStyle name="Normal_ 95自营探井计划" xfId="3138"/>
    <cellStyle name="SAPBEXexcBad9 5 3" xfId="3139"/>
    <cellStyle name="Note 10" xfId="3140"/>
    <cellStyle name="Note 11" xfId="3141"/>
    <cellStyle name="SAPBEXHLevel1 5 3" xfId="3142"/>
    <cellStyle name="SAPBEXresData 7 2" xfId="3143"/>
    <cellStyle name="Total 6 2 2 2" xfId="3144"/>
    <cellStyle name="Note 2" xfId="3145"/>
    <cellStyle name="SAPBEXHLevel1 5 3 2" xfId="3146"/>
    <cellStyle name="SAPBEXresData 7 2 2" xfId="3147"/>
    <cellStyle name="Note 2 2" xfId="3148"/>
    <cellStyle name="Note 2 2 2" xfId="3149"/>
    <cellStyle name="Note 2 2 2 2" xfId="3150"/>
    <cellStyle name="Note 2 2 3" xfId="3151"/>
    <cellStyle name="SAPBEXexcBad8 5 2" xfId="3152"/>
    <cellStyle name="Note 2 3" xfId="3153"/>
    <cellStyle name="Note 2 3 2" xfId="3154"/>
    <cellStyle name="Note 2 3 3" xfId="3155"/>
    <cellStyle name="SAPBEXexcBad8 6 2" xfId="3156"/>
    <cellStyle name="好_还原数据090219_108单元物料平衡表" xfId="3157"/>
    <cellStyle name="Note 2 4" xfId="3158"/>
    <cellStyle name="好_还原数据090219_108单元物料平衡表 2" xfId="3159"/>
    <cellStyle name="Note 2 4 2" xfId="3160"/>
    <cellStyle name="Note 8" xfId="3161"/>
    <cellStyle name="Note 2 4 3" xfId="3162"/>
    <cellStyle name="Note 9" xfId="3163"/>
    <cellStyle name="SAPBEXexcBad8 7 2" xfId="3164"/>
    <cellStyle name="Note 2 5" xfId="3165"/>
    <cellStyle name="SAPBEXresItemX 4 3 2" xfId="3166"/>
    <cellStyle name="Note 2 5 2" xfId="3167"/>
    <cellStyle name="Note 2 5 2 2" xfId="3168"/>
    <cellStyle name="Note 2 5 3" xfId="3169"/>
    <cellStyle name="SAPBEXexcBad8 8 2" xfId="3170"/>
    <cellStyle name="Note 2 6" xfId="3171"/>
    <cellStyle name="SAPBEXaggDataEmph 6" xfId="3172"/>
    <cellStyle name="Note 2 6 2" xfId="3173"/>
    <cellStyle name="好_物料主数据模板_1.9_基础计算表" xfId="3174"/>
    <cellStyle name="Note 2 7" xfId="3175"/>
    <cellStyle name="Note 2 7 2" xfId="3176"/>
    <cellStyle name="好_物料主数据模板_1.9_开氏物料表1月初稿 2" xfId="3177"/>
    <cellStyle name="SAPBEXresData 7 3" xfId="3178"/>
    <cellStyle name="Note 3" xfId="3179"/>
    <cellStyle name="Note 4" xfId="3180"/>
    <cellStyle name="Note 4 2" xfId="3181"/>
    <cellStyle name="Note 4 2 2" xfId="3182"/>
    <cellStyle name="Note 4 3" xfId="3183"/>
    <cellStyle name="Note 5" xfId="3184"/>
    <cellStyle name="SAPBEXexcGood3 6 2" xfId="3185"/>
    <cellStyle name="SAPBEXstdItem 4" xfId="3186"/>
    <cellStyle name="Note 5 2" xfId="3187"/>
    <cellStyle name="SAPBEXexcGood3 6 2 2" xfId="3188"/>
    <cellStyle name="SAPBEXstdItem 4 2" xfId="3189"/>
    <cellStyle name="Note 5 2 2" xfId="3190"/>
    <cellStyle name="SAPBEXstdItem 5" xfId="3191"/>
    <cellStyle name="Note 5 3" xfId="3192"/>
    <cellStyle name="SAPBEXexcCritical4" xfId="3193"/>
    <cellStyle name="SAPBEXundefined 3 2 2" xfId="3194"/>
    <cellStyle name="Note 6" xfId="3195"/>
    <cellStyle name="SAPBEXundefined 3 2 2 2" xfId="3196"/>
    <cellStyle name="检查单元格 14" xfId="3197"/>
    <cellStyle name="Note 6 2" xfId="3198"/>
    <cellStyle name="SAPBEXheaderText 2 2 3" xfId="3199"/>
    <cellStyle name="Note 6 2 2" xfId="3200"/>
    <cellStyle name="检查单元格 15" xfId="3201"/>
    <cellStyle name="Note 6 3" xfId="3202"/>
    <cellStyle name="nr_label" xfId="3203"/>
    <cellStyle name="SAPBEXHLevel0 8 2" xfId="3204"/>
    <cellStyle name="Output" xfId="3205"/>
    <cellStyle name="差_101" xfId="3206"/>
    <cellStyle name="差_惠炼BOM（20081219）_~4907560" xfId="3207"/>
    <cellStyle name="Output 2" xfId="3208"/>
    <cellStyle name="title 10" xfId="3209"/>
    <cellStyle name="差_101 2" xfId="3210"/>
    <cellStyle name="差_惠炼BOM（20081219）_~4907560 2" xfId="3211"/>
    <cellStyle name="Output 2 2" xfId="3212"/>
    <cellStyle name="Output 2 2 2" xfId="3213"/>
    <cellStyle name="Output 2 2 2 2" xfId="3214"/>
    <cellStyle name="Output 2 2 2 2 2" xfId="3215"/>
    <cellStyle name="Output 2 2 2 3" xfId="3216"/>
    <cellStyle name="SAPBEXexcGood2 2 2 2 2" xfId="3217"/>
    <cellStyle name="Output 2 2 3" xfId="3218"/>
    <cellStyle name="Output 2 2 3 2" xfId="3219"/>
    <cellStyle name="Output 2 3" xfId="3220"/>
    <cellStyle name="Output 2 3 2 2 2" xfId="3221"/>
    <cellStyle name="Output 2 3 3" xfId="3222"/>
    <cellStyle name="Percent [2]" xfId="3223"/>
    <cellStyle name="Output 2 3 3 2" xfId="3224"/>
    <cellStyle name="Output 2 4 2" xfId="3225"/>
    <cellStyle name="Output 2 4 2 2" xfId="3226"/>
    <cellStyle name="标题 8" xfId="3227"/>
    <cellStyle name="Output 2 4 2 2 2" xfId="3228"/>
    <cellStyle name="SAPBEXheaderItem 7 3" xfId="3229"/>
    <cellStyle name="SAPBEXHLevel0 3 3" xfId="3230"/>
    <cellStyle name="Output 2 4 2 3" xfId="3231"/>
    <cellStyle name="标题 9" xfId="3232"/>
    <cellStyle name="Output 2 4 3" xfId="3233"/>
    <cellStyle name="Output 2 4 3 2" xfId="3234"/>
    <cellStyle name="SAPBEXresData 5" xfId="3235"/>
    <cellStyle name="Output 2 5" xfId="3236"/>
    <cellStyle name="Output 2 5 2" xfId="3237"/>
    <cellStyle name="好_还原数据090219_103-105单元物料平衡表09010(上报)" xfId="3238"/>
    <cellStyle name="Output 2 5 2 2" xfId="3239"/>
    <cellStyle name="好_开氏物料表1月初稿" xfId="3240"/>
    <cellStyle name="好_还原数据090219_103-105单元物料平衡表09010(上报) 2" xfId="3241"/>
    <cellStyle name="Output 2 5 2 2 2" xfId="3242"/>
    <cellStyle name="Output 2 5 3" xfId="3243"/>
    <cellStyle name="Output 2 5 3 2" xfId="3244"/>
    <cellStyle name="Output 2 6" xfId="3245"/>
    <cellStyle name="Output 2 7" xfId="3246"/>
    <cellStyle name="Output 2 7 2" xfId="3247"/>
    <cellStyle name="汇总 13" xfId="3248"/>
    <cellStyle name="Output 2 7 2 2" xfId="3249"/>
    <cellStyle name="Output 2 8" xfId="3250"/>
    <cellStyle name="Output 2 8 2" xfId="3251"/>
    <cellStyle name="Output 3" xfId="3252"/>
    <cellStyle name="差_副产蒸汽、凝结水消耗_0907炼油与开氏主要物料结算量2 2" xfId="3253"/>
    <cellStyle name="差_102" xfId="3254"/>
    <cellStyle name="差_102 2" xfId="3255"/>
    <cellStyle name="Output 3 2" xfId="3256"/>
    <cellStyle name="Output 3 2 2" xfId="3257"/>
    <cellStyle name="Output 3 2 2 2" xfId="3258"/>
    <cellStyle name="Output 3 2 3" xfId="3259"/>
    <cellStyle name="差_惠炼BOM（20081219）_5 月份物料平衡（107单元）" xfId="3260"/>
    <cellStyle name="Output 3 3" xfId="3261"/>
    <cellStyle name="Output 4" xfId="3262"/>
    <cellStyle name="Output 4 2" xfId="3263"/>
    <cellStyle name="Output 4 2 2" xfId="3264"/>
    <cellStyle name="Output 4 2 2 2" xfId="3265"/>
    <cellStyle name="Output 4 2 3" xfId="3266"/>
    <cellStyle name="Output 4 3" xfId="3267"/>
    <cellStyle name="Output 5 2 2 2" xfId="3268"/>
    <cellStyle name="Output 5 2 3" xfId="3269"/>
    <cellStyle name="差_110 2" xfId="3270"/>
    <cellStyle name="Output 6 2" xfId="3271"/>
    <cellStyle name="Output 6 2 2" xfId="3272"/>
    <cellStyle name="Output 6 2 2 2" xfId="3273"/>
    <cellStyle name="Output 6 2 3" xfId="3274"/>
    <cellStyle name="Output 6 3 2" xfId="3275"/>
    <cellStyle name="计算 6" xfId="3276"/>
    <cellStyle name="差_106 2" xfId="3277"/>
    <cellStyle name="差_111 2" xfId="3278"/>
    <cellStyle name="Output 7 2" xfId="3279"/>
    <cellStyle name="Output 7 2 2" xfId="3280"/>
    <cellStyle name="差_112" xfId="3281"/>
    <cellStyle name="差_还原数据090219_103-105" xfId="3282"/>
    <cellStyle name="差_物料_开氏物料表8月 2" xfId="3283"/>
    <cellStyle name="Output 8" xfId="3284"/>
    <cellStyle name="差_112 2" xfId="3285"/>
    <cellStyle name="差_还原数据090219_103-105 2" xfId="3286"/>
    <cellStyle name="Output 8 2" xfId="3287"/>
    <cellStyle name="Output 8 2 2" xfId="3288"/>
    <cellStyle name="Output 8 3" xfId="3289"/>
    <cellStyle name="差_113" xfId="3290"/>
    <cellStyle name="Output 9" xfId="3291"/>
    <cellStyle name="Output Column Headings" xfId="3292"/>
    <cellStyle name="Output Report Heading" xfId="3293"/>
    <cellStyle name="警告文本 8" xfId="3294"/>
    <cellStyle name="好_还原数据090219_开氏物料表7月 2" xfId="3295"/>
    <cellStyle name="Output Report Title" xfId="3296"/>
    <cellStyle name="SAPBEXHLevel1X 4 3" xfId="3297"/>
    <cellStyle name="Output_2012年6月计划及预计" xfId="3298"/>
    <cellStyle name="差_生产订单收发货-ERP 2" xfId="3299"/>
    <cellStyle name="Percent [0%]" xfId="3300"/>
    <cellStyle name="SAPBEXexcCritical4 7 2 2" xfId="3301"/>
    <cellStyle name="好_惠炼BOM（20081219）_开氏物料表7月" xfId="3302"/>
    <cellStyle name="PRINTFIELD" xfId="3303"/>
    <cellStyle name="s]_x000d__x000a_spooler=yes_x000d__x000a_load=mbtn.exe_x000d__x000a_run=_x000d__x000a_Beep=yes_x000d__x000a_NullPort=None_x000d__x000a_BorderWidth=1_x000d__x000a_CursorBlinkRate=522_x000d__x000a_DoubleClickSpeed=740" xfId="3304"/>
    <cellStyle name="s]_x000d__x000a_spooler=yes_x000d__x000a_load=mbtn.exe_x000d__x000a_run=_x000d__x000a_Beep=yes_x000d__x000a_NullPort=None_x000d__x000a_BorderWidth=1_x000d__x000a_CursorBlinkRate=522_x000d__x000a_DoubleClickSpeed=740 2" xfId="3305"/>
    <cellStyle name="SAPBEXaggItemX 3 2 3" xfId="3306"/>
    <cellStyle name="SAPBEXaggData 2 2" xfId="3307"/>
    <cellStyle name="SAPBEXaggData 2 2 2" xfId="3308"/>
    <cellStyle name="SAPBEXaggData 2 2 2 2" xfId="3309"/>
    <cellStyle name="SAPBEXexcGood2 4 3 2" xfId="3310"/>
    <cellStyle name="SAPBEXaggData 2 2 3" xfId="3311"/>
    <cellStyle name="SAPBEXaggData 2 3 2" xfId="3312"/>
    <cellStyle name="SAPBEXaggDataEmph 3 2 2 2" xfId="3313"/>
    <cellStyle name="SAPBEXaggData 3" xfId="3314"/>
    <cellStyle name="差_副产蒸汽、凝结水消耗_物料平衡8月初稿." xfId="3315"/>
    <cellStyle name="SAPBEXaggData 3 2" xfId="3316"/>
    <cellStyle name="差_副产蒸汽、凝结水消耗_物料平衡8月初稿. 2" xfId="3317"/>
    <cellStyle name="SAPBEXexcGood2 5 3 2" xfId="3318"/>
    <cellStyle name="差 6" xfId="3319"/>
    <cellStyle name="解释性文本 9" xfId="3320"/>
    <cellStyle name="SAPBEXaggData 3 2 3" xfId="3321"/>
    <cellStyle name="SAPBEXaggData 3 3 2" xfId="3322"/>
    <cellStyle name="SAPBEXaggData 4" xfId="3323"/>
    <cellStyle name="SAPBEXaggData 4 2" xfId="3324"/>
    <cellStyle name="SAPBEXaggData 4 2 2 2" xfId="3325"/>
    <cellStyle name="SAPBEXaggData 5" xfId="3326"/>
    <cellStyle name="SAPBEXaggData 5 2" xfId="3327"/>
    <cellStyle name="SAPBEXresDataEmph 3 2 3" xfId="3328"/>
    <cellStyle name="SAPBEXaggData 5 2 2" xfId="3329"/>
    <cellStyle name="SAPBEXaggData 5 2 2 2" xfId="3330"/>
    <cellStyle name="SAPBEXaggData 5 2 3" xfId="3331"/>
    <cellStyle name="SAPBEXaggData 5 3 2" xfId="3332"/>
    <cellStyle name="SAPBEXaggData 6" xfId="3333"/>
    <cellStyle name="SAPBEXaggData 7" xfId="3334"/>
    <cellStyle name="差_mock生产订单收发货（导入版）_0908炼油与开氏主要物料结算量" xfId="3335"/>
    <cellStyle name="SAPBEXaggData 7 2" xfId="3336"/>
    <cellStyle name="SAPBEXresDataEmph 5 2 3" xfId="3337"/>
    <cellStyle name="SAPBEXresDataEmph 7 3" xfId="3338"/>
    <cellStyle name="差_mock生产订单收发货（导入版）_0908炼油与开氏主要物料结算量 2" xfId="3339"/>
    <cellStyle name="SAPBEXaggData 7 2 2" xfId="3340"/>
    <cellStyle name="SAPBEXaggData 7 3" xfId="3341"/>
    <cellStyle name="SAPBEXaggDataEmph" xfId="3342"/>
    <cellStyle name="SAPBEXaggDataEmph 2 2 2" xfId="3343"/>
    <cellStyle name="SAPBEXaggDataEmph 2 2 2 2" xfId="3344"/>
    <cellStyle name="SAPBEXaggDataEmph 2 2 3" xfId="3345"/>
    <cellStyle name="SAPBEXaggDataEmph 2 3 2" xfId="3346"/>
    <cellStyle name="SAPBEXaggDataEmph 4 2" xfId="3347"/>
    <cellStyle name="SAPBEXaggDataEmph 4 2 2" xfId="3348"/>
    <cellStyle name="SAPBEXaggDataEmph 4 2 2 2" xfId="3349"/>
    <cellStyle name="SAPBEXaggDataEmph 4 2 3" xfId="3350"/>
    <cellStyle name="SAPBEXaggDataEmph 4 3" xfId="3351"/>
    <cellStyle name="超级链接" xfId="3352"/>
    <cellStyle name="SAPBEXaggDataEmph 4 3 2" xfId="3353"/>
    <cellStyle name="SAPBEXaggDataEmph 5" xfId="3354"/>
    <cellStyle name="SAPBEXaggDataEmph 5 2" xfId="3355"/>
    <cellStyle name="SAPBEXstdData 7" xfId="3356"/>
    <cellStyle name="SAPBEXaggDataEmph 5 2 2" xfId="3357"/>
    <cellStyle name="SAPBEXresItemX 2 2 3" xfId="3358"/>
    <cellStyle name="SAPBEXchaText 5" xfId="3359"/>
    <cellStyle name="SAPBEXstdData 7 2" xfId="3360"/>
    <cellStyle name="SAPBEXaggDataEmph 5 2 2 2" xfId="3361"/>
    <cellStyle name="SAPBEXstdData 8" xfId="3362"/>
    <cellStyle name="SAPBEXaggDataEmph 5 2 3" xfId="3363"/>
    <cellStyle name="SAPBEXaggDataEmph 5 3" xfId="3364"/>
    <cellStyle name="SAPBEXaggDataEmph 5 3 2" xfId="3365"/>
    <cellStyle name="SAPBEXaggDataEmph 6 2" xfId="3366"/>
    <cellStyle name="Total 2 4" xfId="3367"/>
    <cellStyle name="SAPBEXaggDataEmph 8" xfId="3368"/>
    <cellStyle name="SAPBEXaggDataEmph 8 2" xfId="3369"/>
    <cellStyle name="SAPBEXaggItem 2 2" xfId="3370"/>
    <cellStyle name="SAPBEXexcBad7 3 2 3" xfId="3371"/>
    <cellStyle name="SAPBEXaggItem 2 2 2" xfId="3372"/>
    <cellStyle name="SAPBEXaggItem 3 2" xfId="3373"/>
    <cellStyle name="SAPBEXaggItem 3 2 2" xfId="3374"/>
    <cellStyle name="SAPBEXaggItem 3 2 3" xfId="3375"/>
    <cellStyle name="差_mock生产订单收发货（导入版）_开氏物料表1月初稿 2" xfId="3376"/>
    <cellStyle name="SAPBEXaggItem 4 2" xfId="3377"/>
    <cellStyle name="SAPBEXaggItem 4 2 2" xfId="3378"/>
    <cellStyle name="好_物料主数据模板_1.9_开氏物料表11月初稿 2" xfId="3379"/>
    <cellStyle name="差_还原数据090219_110装置物料平衡表填报表1" xfId="3380"/>
    <cellStyle name="SAPBEXaggItem 4 2 3" xfId="3381"/>
    <cellStyle name="SAPBEXaggItem 5 2" xfId="3382"/>
    <cellStyle name="SAPBEXresDataEmph 2 2" xfId="3383"/>
    <cellStyle name="差_副产蒸汽、凝结水消耗_开氏物料表9月初稿" xfId="3384"/>
    <cellStyle name="SAPBEXaggItem 5 3" xfId="3385"/>
    <cellStyle name="SAPBEXaggItem 8 2" xfId="3386"/>
    <cellStyle name="差_mock生产订单收发货（导入版）_101 2" xfId="3387"/>
    <cellStyle name="SAPBEXresDataEmph 6" xfId="3388"/>
    <cellStyle name="SAPBEXaggItem 9" xfId="3389"/>
    <cellStyle name="差_mock生产订单收发货（导入版）_102" xfId="3390"/>
    <cellStyle name="好_物料主数据模板_1.9_101" xfId="3391"/>
    <cellStyle name="SAPBEXaggItemX 2 2 2" xfId="3392"/>
    <cellStyle name="SAPBEXexcBad7" xfId="3393"/>
    <cellStyle name="好_物料主数据模板_1.9_101 2" xfId="3394"/>
    <cellStyle name="SAPBEXaggItemX 2 2 2 2" xfId="3395"/>
    <cellStyle name="好_物料主数据模板_1.9_102" xfId="3396"/>
    <cellStyle name="SAPBEXaggItemX 2 2 3" xfId="3397"/>
    <cellStyle name="SAPBEXaggItemX 2 3" xfId="3398"/>
    <cellStyle name="SAPBEXchaText 5 3 2" xfId="3399"/>
    <cellStyle name="好_2011年6月份化工三剂需求表（下发）" xfId="3400"/>
    <cellStyle name="SAPBEXaggItemX 3" xfId="3401"/>
    <cellStyle name="SAPBEXHLevel0 4 3 2" xfId="3402"/>
    <cellStyle name="SAPBEXaggItemX 3 2" xfId="3403"/>
    <cellStyle name="SAPBEXaggItemX 3 2 2" xfId="3404"/>
    <cellStyle name="SAPBEXaggItemX 3 2 2 2" xfId="3405"/>
    <cellStyle name="SAPBEXaggItemX 3 3" xfId="3406"/>
    <cellStyle name="SAPBEXaggItemX 3 3 2" xfId="3407"/>
    <cellStyle name="SAPBEXaggItemX 4 2 2 2" xfId="3408"/>
    <cellStyle name="SAPBEXaggItemX 4 2 3" xfId="3409"/>
    <cellStyle name="SAPBEXaggItemX 4 3" xfId="3410"/>
    <cellStyle name="SAPBEXaggItemX 4 3 2" xfId="3411"/>
    <cellStyle name="SAPBEXaggItemX 5" xfId="3412"/>
    <cellStyle name="SAPBEXaggItemX 6 2 2" xfId="3413"/>
    <cellStyle name="SAPBEXaggItemX 7" xfId="3414"/>
    <cellStyle name="SAPBEXaggItemX 7 2" xfId="3415"/>
    <cellStyle name="SAPBEXaggItemX 7 2 2" xfId="3416"/>
    <cellStyle name="SAPBEXaggItemX 7 3" xfId="3417"/>
    <cellStyle name="SAPBEXaggItemX 8" xfId="3418"/>
    <cellStyle name="好_111" xfId="3419"/>
    <cellStyle name="好_106" xfId="3420"/>
    <cellStyle name="SAPBEXaggItemX 8 2" xfId="3421"/>
    <cellStyle name="SAPBEXaggItemX 9" xfId="3422"/>
    <cellStyle name="SAPBEXchaText 3 2" xfId="3423"/>
    <cellStyle name="SAPBEXchaText 3 2 2" xfId="3424"/>
    <cellStyle name="SAPBEXchaText 3 2 2 2" xfId="3425"/>
    <cellStyle name="SAPBEXchaText 6 2" xfId="3426"/>
    <cellStyle name="SAPBEXchaText 3 2 3" xfId="3427"/>
    <cellStyle name="SAPBEXchaText 3 3" xfId="3428"/>
    <cellStyle name="SAPBEXchaText 3 3 2" xfId="3429"/>
    <cellStyle name="SAPBEXchaText 4" xfId="3430"/>
    <cellStyle name="SAPBEXchaText 4 2" xfId="3431"/>
    <cellStyle name="SAPBEXchaText 4 2 2" xfId="3432"/>
    <cellStyle name="SAPBEXchaText 4 2 2 2" xfId="3433"/>
    <cellStyle name="好_还原数据090219_开氏物料表1月初稿 2" xfId="3434"/>
    <cellStyle name="差_MES-ERP编码对应_物料平衡8月初稿." xfId="3435"/>
    <cellStyle name="SAPBEXchaText 4 2 3" xfId="3436"/>
    <cellStyle name="SAPBEXchaText 5 2" xfId="3437"/>
    <cellStyle name="SAPBEXstdData 7 2 2" xfId="3438"/>
    <cellStyle name="SAPBEXchaText 5 2 2 2" xfId="3439"/>
    <cellStyle name="SAPBEXexcBad9 5 2 2 2" xfId="3440"/>
    <cellStyle name="SAPBEXchaText 5 2 3" xfId="3441"/>
    <cellStyle name="SAPBEXchaText 5 3" xfId="3442"/>
    <cellStyle name="好_物料平衡表-实际0904-1_fangting物料平衡填报表2009.9.30" xfId="3443"/>
    <cellStyle name="SAPBEXchaText 7" xfId="3444"/>
    <cellStyle name="好_物料平衡表-实际0904-1_fangting物料平衡填报表2009.9.30 2" xfId="3445"/>
    <cellStyle name="好_生产订单收发货-ERP_0907炼油与开氏主要物料结算量2" xfId="3446"/>
    <cellStyle name="SAPBEXchaText 7 2" xfId="3447"/>
    <cellStyle name="好_生产订单收发货-ERP_0907炼油与开氏主要物料结算量2 2" xfId="3448"/>
    <cellStyle name="SAPBEXchaText 7 2 2" xfId="3449"/>
    <cellStyle name="SAPBEXchaText 7 3" xfId="3450"/>
    <cellStyle name="SAPBEXchaText 8" xfId="3451"/>
    <cellStyle name="SAPBEXexcBad7 2" xfId="3452"/>
    <cellStyle name="SAPBEXexcBad7 3" xfId="3453"/>
    <cellStyle name="SAPBEXexcBad7 3 2 2" xfId="3454"/>
    <cellStyle name="SAPBEXexcBad7 3 3 2" xfId="3455"/>
    <cellStyle name="SAPBEXexcBad7 4" xfId="3456"/>
    <cellStyle name="差_惠炼BOM（20081219）_107装置物料平衡填报表2009(1).7.31" xfId="3457"/>
    <cellStyle name="SAPBEXexcBad7 4 2" xfId="3458"/>
    <cellStyle name="SAPBEXresItem 9" xfId="3459"/>
    <cellStyle name="SAPBEXtitle" xfId="3460"/>
    <cellStyle name="输入 14" xfId="3461"/>
    <cellStyle name="差_惠炼BOM（20081219）_107装置物料平衡填报表2009(1).7.31 2" xfId="3462"/>
    <cellStyle name="SAPBEXexcBad7 4 2 2" xfId="3463"/>
    <cellStyle name="SAPBEXexcBad7 4 2 2 2" xfId="3464"/>
    <cellStyle name="输入 15" xfId="3465"/>
    <cellStyle name="SAPBEXexcBad7 4 2 3" xfId="3466"/>
    <cellStyle name="SAPBEXexcBad7 4 3 2" xfId="3467"/>
    <cellStyle name="SAPBEXexcBad7 5" xfId="3468"/>
    <cellStyle name="输入 8" xfId="3469"/>
    <cellStyle name="SAPBEXexcBad7 5 2" xfId="3470"/>
    <cellStyle name="SAPBEXexcBad7 5 2 2" xfId="3471"/>
    <cellStyle name="SAPBEXexcBad7 5 2 2 2" xfId="3472"/>
    <cellStyle name="SAPBEXexcBad7 6" xfId="3473"/>
    <cellStyle name="SAPBEXexcBad7 7" xfId="3474"/>
    <cellStyle name="SAPBEXexcBad7 7 2 2" xfId="3475"/>
    <cellStyle name="SAPBEXexcBad7 8" xfId="3476"/>
    <cellStyle name="SAPBEXexcBad7 8 2" xfId="3477"/>
    <cellStyle name="差_惠炼BOM（20081219）_汇总 2" xfId="3478"/>
    <cellStyle name="SAPBEXexcBad7 9" xfId="3479"/>
    <cellStyle name="SAPBEXexcBad8" xfId="3480"/>
    <cellStyle name="SAPBEXexcBad8 2" xfId="3481"/>
    <cellStyle name="SAPBEXexcBad8 2 2" xfId="3482"/>
    <cellStyle name="SAPBEXHLevel3X 3 2 3" xfId="3483"/>
    <cellStyle name="SAPBEXexcBad8 2 2 2" xfId="3484"/>
    <cellStyle name="SAPBEXexcBad8 2 2 2 2" xfId="3485"/>
    <cellStyle name="SAPBEXexcBad8 2 2 3" xfId="3486"/>
    <cellStyle name="SAPBEXexcBad8 2 3" xfId="3487"/>
    <cellStyle name="SAPBEXexcBad8 2 3 2" xfId="3488"/>
    <cellStyle name="差_物料主数据模板_1.9_109装置物料平衡填报表2009(1).7.31" xfId="3489"/>
    <cellStyle name="差_物料_开氏物料表11月初稿" xfId="3490"/>
    <cellStyle name="SAPBEXexcBad8 3" xfId="3491"/>
    <cellStyle name="SAPBEXexcBad8 4" xfId="3492"/>
    <cellStyle name="SAPBEXexcBad8 4 2" xfId="3493"/>
    <cellStyle name="标题 2 10" xfId="3494"/>
    <cellStyle name="SAPBEXexcBad8 4 2 2" xfId="3495"/>
    <cellStyle name="SAPBEXexcBad8 4 3" xfId="3496"/>
    <cellStyle name="SAPBEXexcBad8 4 3 2" xfId="3497"/>
    <cellStyle name="SAPBEXexcBad8 5" xfId="3498"/>
    <cellStyle name="SAPBEXexcBad8 5 2 2" xfId="3499"/>
    <cellStyle name="SAPBEXexcBad8 5 2 2 2" xfId="3500"/>
    <cellStyle name="SAPBEXexcBad8 5 2 3" xfId="3501"/>
    <cellStyle name="差_MES-ERP编码对应_开氏物料表8月" xfId="3502"/>
    <cellStyle name="SAPBEXexcBad8 5 3" xfId="3503"/>
    <cellStyle name="差_MES-ERP编码对应_开氏物料表8月 2" xfId="3504"/>
    <cellStyle name="SAPBEXexcBad8 5 3 2" xfId="3505"/>
    <cellStyle name="SAPBEXexcBad8 6" xfId="3506"/>
    <cellStyle name="SAPBEXexcBad8 6 2 2" xfId="3507"/>
    <cellStyle name="SAPBEXexcBad8 7" xfId="3508"/>
    <cellStyle name="SAPBEXexcBad8 7 2 2" xfId="3509"/>
    <cellStyle name="SAPBEXexcBad8 7 3" xfId="3510"/>
    <cellStyle name="SAPBEXexcBad8 8" xfId="3511"/>
    <cellStyle name="SAPBEXexcBad9" xfId="3512"/>
    <cellStyle name="SAPBEXexcBad9 2" xfId="3513"/>
    <cellStyle name="SAPBEXexcBad9 2 2" xfId="3514"/>
    <cellStyle name="SAPBEXHLevel3X 4 2 3" xfId="3515"/>
    <cellStyle name="SAPBEXexcBad9 2 2 2" xfId="3516"/>
    <cellStyle name="SAPBEXexcBad9 2 2 2 2" xfId="3517"/>
    <cellStyle name="SAPBEXexcBad9 2 2 3" xfId="3518"/>
    <cellStyle name="SAPBEXexcBad9 2 3 2" xfId="3519"/>
    <cellStyle name="标题 1 2" xfId="3520"/>
    <cellStyle name="SAPBEXexcBad9 3" xfId="3521"/>
    <cellStyle name="SAPBEXexcBad9 3 2 2" xfId="3522"/>
    <cellStyle name="SAPBEXexcBad9 3 2 2 2" xfId="3523"/>
    <cellStyle name="SAPBEXexcBad9 3 2 3" xfId="3524"/>
    <cellStyle name="SAPBEXexcBad9 3 3" xfId="3525"/>
    <cellStyle name="SAPBEXexcBad9 4" xfId="3526"/>
    <cellStyle name="SAPBEXexcBad9 4 2 2" xfId="3527"/>
    <cellStyle name="SAPBEXheaderText 6" xfId="3528"/>
    <cellStyle name="好_mock生产订单收发货（导入版）_周计划" xfId="3529"/>
    <cellStyle name="SAPBEXexcBad9 4 2 2 2" xfId="3530"/>
    <cellStyle name="SAPBEXheaderText 6 2" xfId="3531"/>
    <cellStyle name="SAPBEXexcBad9 6" xfId="3532"/>
    <cellStyle name="SAPBEXexcBad9 6 2" xfId="3533"/>
    <cellStyle name="SAPBEXexcBad9 7" xfId="3534"/>
    <cellStyle name="SAPBEXexcBad9 7 2" xfId="3535"/>
    <cellStyle name="差_mock生产订单收发货（导入版）_开氏物料表8月" xfId="3536"/>
    <cellStyle name="SAPBEXexcBad9 7 2 2" xfId="3537"/>
    <cellStyle name="差_mock生产订单收发货（导入版）_开氏物料表8月 2" xfId="3538"/>
    <cellStyle name="Style 1" xfId="3539"/>
    <cellStyle name="SAPBEXexcBad9 7 3" xfId="3540"/>
    <cellStyle name="差_2013年5月生产计划-104.5万吨-尾油2.1万吨-20130423" xfId="3541"/>
    <cellStyle name="SAPBEXstdItem 5 2 2" xfId="3542"/>
    <cellStyle name="SAPBEXexcCritical4 2 2" xfId="3543"/>
    <cellStyle name="SAPBEXexcCritical4 2 2 3" xfId="3544"/>
    <cellStyle name="SAPBEXstdItem 5 2 3" xfId="3545"/>
    <cellStyle name="SAPBEXexcCritical4 2 3" xfId="3546"/>
    <cellStyle name="SAPBEXexcCritical4 2 3 2" xfId="3547"/>
    <cellStyle name="SAPBEXstdItem 5 3" xfId="3548"/>
    <cellStyle name="SAPBEXexcCritical4 3" xfId="3549"/>
    <cellStyle name="SAPBEXexcGood1 2 2 2 2" xfId="3550"/>
    <cellStyle name="SAPBEXstdItem 5 3 2" xfId="3551"/>
    <cellStyle name="SAPBEXexcCritical4 3 2" xfId="3552"/>
    <cellStyle name="SAPBEXexcCritical4 3 2 3" xfId="3553"/>
    <cellStyle name="SAPBEXstdData 4 2 2" xfId="3554"/>
    <cellStyle name="差_物料主数据模板_1.9_开氏物料表12月初稿 2" xfId="3555"/>
    <cellStyle name="SAPBEXexcCritical4 3 3" xfId="3556"/>
    <cellStyle name="SAPBEXstdData 4 2 2 2" xfId="3557"/>
    <cellStyle name="SAPBEXexcCritical4 3 3 2" xfId="3558"/>
    <cellStyle name="SAPBEXexcCritical4 4" xfId="3559"/>
    <cellStyle name="SAPBEXexcCritical4 4 2 3" xfId="3560"/>
    <cellStyle name="SAPBEXstdData 4 3 2" xfId="3561"/>
    <cellStyle name="SAPBEXexcCritical4 4 3" xfId="3562"/>
    <cellStyle name="SAPBEXexcCritical4 4 3 2" xfId="3563"/>
    <cellStyle name="SAPBEXexcCritical4 5 2 2" xfId="3564"/>
    <cellStyle name="SAPBEXexcCritical4 5 2 2 2" xfId="3565"/>
    <cellStyle name="SAPBEXexcCritical4 5 2 3" xfId="3566"/>
    <cellStyle name="SAPBEXexcCritical4 5 3 2" xfId="3567"/>
    <cellStyle name="SAPBEXexcCritical4 6 2 2" xfId="3568"/>
    <cellStyle name="SAPBEXexcCritical4 7 2" xfId="3569"/>
    <cellStyle name="SAPBEXexcCritical4 7 3" xfId="3570"/>
    <cellStyle name="SAPBEXexcCritical4 8 2" xfId="3571"/>
    <cellStyle name="SAPBEXstdItem 6" xfId="3572"/>
    <cellStyle name="SAPBEXexcCritical5" xfId="3573"/>
    <cellStyle name="SAPBEXexcCritical5 2 2 2" xfId="3574"/>
    <cellStyle name="SAPBEXundefined 3 3 2" xfId="3575"/>
    <cellStyle name="SAPBEXexcGood3 7 3" xfId="3576"/>
    <cellStyle name="SAPBEXexcCritical5 2 2 2 2" xfId="3577"/>
    <cellStyle name="SAPBEXexcCritical5 2 2 3" xfId="3578"/>
    <cellStyle name="好_物料主数据模板_1.9" xfId="3579"/>
    <cellStyle name="SAPBEXexcCritical5 3 2 2" xfId="3580"/>
    <cellStyle name="SAPBEXundefined 4 3 2" xfId="3581"/>
    <cellStyle name="SAPBEXexcCritical5 3 2 3" xfId="3582"/>
    <cellStyle name="SAPBEXexcCritical5 4 2 2" xfId="3583"/>
    <cellStyle name="SAPBEXundefined 5 3 2" xfId="3584"/>
    <cellStyle name="SAPBEXexcCritical5 5 2 2" xfId="3585"/>
    <cellStyle name="SAPBEXexcCritical5 5 2 2 2" xfId="3586"/>
    <cellStyle name="SAPBEXexcCritical5 5 2 3" xfId="3587"/>
    <cellStyle name="SAPBEXexcCritical5 5 3 2" xfId="3588"/>
    <cellStyle name="SAPBEXexcCritical5 6 2" xfId="3589"/>
    <cellStyle name="SAPBEXundefined 7 3" xfId="3590"/>
    <cellStyle name="SAPBEXexcCritical5 6 2 2" xfId="3591"/>
    <cellStyle name="SAPBEXexcCritical5 7 2" xfId="3592"/>
    <cellStyle name="SAPBEXresItem 2 2" xfId="3593"/>
    <cellStyle name="SAPBEXexcCritical5 7 2 2" xfId="3594"/>
    <cellStyle name="SAPBEXresItem 2 2 2" xfId="3595"/>
    <cellStyle name="SAPBEXexcCritical5 7 3" xfId="3596"/>
    <cellStyle name="SAPBEXresItem 2 3" xfId="3597"/>
    <cellStyle name="SAPBEXexcCritical6 2 2 2 2" xfId="3598"/>
    <cellStyle name="差_开氏物料表7月" xfId="3599"/>
    <cellStyle name="SAPBEXexcCritical6 2 3" xfId="3600"/>
    <cellStyle name="差_开氏物料表7月 2" xfId="3601"/>
    <cellStyle name="SAPBEXexcCritical6 2 3 2" xfId="3602"/>
    <cellStyle name="好_MES-ERP编码对应_111" xfId="3603"/>
    <cellStyle name="SAPBEXstdItem 7 3" xfId="3604"/>
    <cellStyle name="SAPBEXexcCritical6 3" xfId="3605"/>
    <cellStyle name="SAPBEXexcCritical6 3 2" xfId="3606"/>
    <cellStyle name="SAPBEXexcCritical6 3 2 2" xfId="3607"/>
    <cellStyle name="SAPBEXexcCritical6 3 2 2 2" xfId="3608"/>
    <cellStyle name="SAPBEXexcCritical6 3 2 3" xfId="3609"/>
    <cellStyle name="SAPBEXheaderText 5 2" xfId="3610"/>
    <cellStyle name="SAPBEXstdData 6 2 2" xfId="3611"/>
    <cellStyle name="差_生产订单收发货-ERP_开氏物料表8月 2" xfId="3612"/>
    <cellStyle name="SAPBEXexcCritical6 3 3" xfId="3613"/>
    <cellStyle name="SAPBEXexcCritical6 4 2 2 2" xfId="3614"/>
    <cellStyle name="SAPBEXexcCritical6 5 2 2" xfId="3615"/>
    <cellStyle name="SAPBEXexcCritical6 5 2 2 2" xfId="3616"/>
    <cellStyle name="SAPBEXexcCritical6 5 3" xfId="3617"/>
    <cellStyle name="好_Sheet1" xfId="3618"/>
    <cellStyle name="SAPBEXexcCritical6 5 3 2" xfId="3619"/>
    <cellStyle name="SAPBEXstdItemX 3" xfId="3620"/>
    <cellStyle name="SAPBEXexcCritical6 6 2" xfId="3621"/>
    <cellStyle name="SAPBEXstdItemX 3 2" xfId="3622"/>
    <cellStyle name="SAPBEXexcCritical6 6 2 2" xfId="3623"/>
    <cellStyle name="SAPBEXexcCritical6 7" xfId="3624"/>
    <cellStyle name="SAPBEXexcCritical6 7 3" xfId="3625"/>
    <cellStyle name="差 3" xfId="3626"/>
    <cellStyle name="解释性文本 6" xfId="3627"/>
    <cellStyle name="SAPBEXexcGood1" xfId="3628"/>
    <cellStyle name="SAPBEXstdItem 2 2 2 2" xfId="3629"/>
    <cellStyle name="SAPBEXexcGood1 2 2 2" xfId="3630"/>
    <cellStyle name="好_公司2012年03月份化工三剂需求计划" xfId="3631"/>
    <cellStyle name="SAPBEXexcGood1 2 2 3" xfId="3632"/>
    <cellStyle name="SAPBEXexcGood1 2 3" xfId="3633"/>
    <cellStyle name="SAPBEXHLevel1X 2 2 2" xfId="3634"/>
    <cellStyle name="SAPBEXexcGood1 2 3 2" xfId="3635"/>
    <cellStyle name="SAPBEXHLevel1X 2 2 2 2" xfId="3636"/>
    <cellStyle name="SAPBEXexcGood1 3" xfId="3637"/>
    <cellStyle name="SAPBEXexcGood1 3 2" xfId="3638"/>
    <cellStyle name="SAPBEXexcGood1 3 2 2" xfId="3639"/>
    <cellStyle name="SAPBEXexcGood1 3 2 2 2" xfId="3640"/>
    <cellStyle name="SAPBEXexcGood1 3 3" xfId="3641"/>
    <cellStyle name="SAPBEXHLevel1X 2 3 2" xfId="3642"/>
    <cellStyle name="SAPBEXHLevel0X 6" xfId="3643"/>
    <cellStyle name="SAPBEXexcGood1 3 3 2" xfId="3644"/>
    <cellStyle name="SAPBEXexcGood1 4" xfId="3645"/>
    <cellStyle name="SAPBEXexcGood1 4 2 2" xfId="3646"/>
    <cellStyle name="差_副产蒸汽、凝结水消耗_111" xfId="3647"/>
    <cellStyle name="SAPBEXexcGood1 4 3 2" xfId="3648"/>
    <cellStyle name="SAPBEXexcGood1 5" xfId="3649"/>
    <cellStyle name="SAPBEXHLevel2X 3 3" xfId="3650"/>
    <cellStyle name="SAPBEXexcGood1 5 2 3" xfId="3651"/>
    <cellStyle name="SAPBEXHLevel2X 4 2" xfId="3652"/>
    <cellStyle name="SAPBEXexcGood1 5 3 2" xfId="3653"/>
    <cellStyle name="SAPBEXexcGood1 7" xfId="3654"/>
    <cellStyle name="SAPBEXexcGood1 7 2 2" xfId="3655"/>
    <cellStyle name="SAPBEXexcGood1 8" xfId="3656"/>
    <cellStyle name="SAPBEXexcGood1 9" xfId="3657"/>
    <cellStyle name="SAPBEXexcGood2 3" xfId="3658"/>
    <cellStyle name="SAPBEXexcGood2 3 3" xfId="3659"/>
    <cellStyle name="SAPBEXHLevel1X 3 3 2" xfId="3660"/>
    <cellStyle name="SAPBEXexcGood2 3 3 2" xfId="3661"/>
    <cellStyle name="SAPBEXexcGood2 4 2 2" xfId="3662"/>
    <cellStyle name="SAPBEXexcGood2 4 2 2 2" xfId="3663"/>
    <cellStyle name="输入 5" xfId="3664"/>
    <cellStyle name="SAPBEXexcGood2 4 3" xfId="3665"/>
    <cellStyle name="SAPBEXexcGood2 5" xfId="3666"/>
    <cellStyle name="SAPBEXexcGood2 5 2" xfId="3667"/>
    <cellStyle name="SAPBEXexcGood2 5 2 2" xfId="3668"/>
    <cellStyle name="SAPBEXexcGood2 5 2 2 2" xfId="3669"/>
    <cellStyle name="SAPBEXexcGood2 5 2 3" xfId="3670"/>
    <cellStyle name="SAPBEXexcGood2 5 3" xfId="3671"/>
    <cellStyle name="SAPBEXexcGood2 6" xfId="3672"/>
    <cellStyle name="SAPBEXexcGood2 6 2" xfId="3673"/>
    <cellStyle name="SAPBEXexcGood2 7" xfId="3674"/>
    <cellStyle name="SAPBEXexcGood2 7 2" xfId="3675"/>
    <cellStyle name="SAPBEXexcGood2 7 2 2" xfId="3676"/>
    <cellStyle name="SAPBEXundefined 2 3 2" xfId="3677"/>
    <cellStyle name="SAPBEXexcGood2 7 3" xfId="3678"/>
    <cellStyle name="SAPBEXexcGood2 8" xfId="3679"/>
    <cellStyle name="SAPBEXexcGood2 8 2" xfId="3680"/>
    <cellStyle name="SAPBEXexcGood3 2 2" xfId="3681"/>
    <cellStyle name="SAPBEXexcGood3 2 2 2" xfId="3682"/>
    <cellStyle name="差_汇总" xfId="3683"/>
    <cellStyle name="SAPBEXexcGood3 2 2 2 2" xfId="3684"/>
    <cellStyle name="适中 12" xfId="3685"/>
    <cellStyle name="SAPBEXexcGood3 3 2 2" xfId="3686"/>
    <cellStyle name="SAPBEXexcGood3 3 2 2 2" xfId="3687"/>
    <cellStyle name="SAPBEXexcGood3 3 3" xfId="3688"/>
    <cellStyle name="SAPBEXHLevel1X 4 3 2" xfId="3689"/>
    <cellStyle name="SAPBEXexcGood3 4" xfId="3690"/>
    <cellStyle name="SAPBEXexcGood3 5" xfId="3691"/>
    <cellStyle name="SAPBEXexcGood3 5 2" xfId="3692"/>
    <cellStyle name="SAPBEXexcGood3 5 2 2" xfId="3693"/>
    <cellStyle name="SAPBEXexcGood3 5 2 2 2" xfId="3694"/>
    <cellStyle name="SAPBEXexcGood3 5 2 3" xfId="3695"/>
    <cellStyle name="SAPBEXexcGood3 7" xfId="3696"/>
    <cellStyle name="SAPBEXexcGood3 7 2" xfId="3697"/>
    <cellStyle name="SAPBEXexcGood3 7 2 2" xfId="3698"/>
    <cellStyle name="差_mock生产订单收发货（导入版）_103-105 2" xfId="3699"/>
    <cellStyle name="SAPBEXexcGood3 9" xfId="3700"/>
    <cellStyle name="SAPBEXfilterDrill" xfId="3701"/>
    <cellStyle name="SAPBEXfilterDrill 2" xfId="3702"/>
    <cellStyle name="差_mock生产订单收发货（导入版）_114 2" xfId="3703"/>
    <cellStyle name="SAPBEXfilterDrill 3" xfId="3704"/>
    <cellStyle name="SAPBEXfilterDrill 3 2" xfId="3705"/>
    <cellStyle name="SAPBEXfilterDrill 3 2 2" xfId="3706"/>
    <cellStyle name="SAPBEXfilterDrill 3 2 2 2" xfId="3707"/>
    <cellStyle name="SAPBEXfilterDrill 3 2 3" xfId="3708"/>
    <cellStyle name="SAPBEXfilterDrill 3 3" xfId="3709"/>
    <cellStyle name="SAPBEXfilterDrill 3 3 2" xfId="3710"/>
    <cellStyle name="SAPBEXfilterDrill 4" xfId="3711"/>
    <cellStyle name="SAPBEXfilterDrill 4 2 3" xfId="3712"/>
    <cellStyle name="SAPBEXfilterDrill 4 3 2" xfId="3713"/>
    <cellStyle name="SAPBEXresDataEmph 3 2" xfId="3714"/>
    <cellStyle name="差_mock生产订单收发货（导入版）_107装置物料平衡填报表2009(1).7.31 2" xfId="3715"/>
    <cellStyle name="SAPBEXfilterDrill 5 2 3" xfId="3716"/>
    <cellStyle name="SAPBEXfilterDrill 6" xfId="3717"/>
    <cellStyle name="SAPBEXfilterDrill 6 2" xfId="3718"/>
    <cellStyle name="SAPBEXHLevel0X 2 2" xfId="3719"/>
    <cellStyle name="SAPBEXfilterDrill 7" xfId="3720"/>
    <cellStyle name="SAPBEXHLevel0X 2 2 2" xfId="3721"/>
    <cellStyle name="SAPBEXfilterDrill 7 2" xfId="3722"/>
    <cellStyle name="SAPBEXHLevel0X 2 2 3" xfId="3723"/>
    <cellStyle name="SAPBEXfilterDrill 7 3" xfId="3724"/>
    <cellStyle name="SAPBEXHLevel0X 2 3" xfId="3725"/>
    <cellStyle name="SAPBEXfilterDrill 8" xfId="3726"/>
    <cellStyle name="SAPBEXHLevel0X 2 3 2" xfId="3727"/>
    <cellStyle name="SAPBEXfilterDrill 8 2" xfId="3728"/>
    <cellStyle name="SAPBEXfilterItem 4" xfId="3729"/>
    <cellStyle name="标题 4 10" xfId="3730"/>
    <cellStyle name="SAPBEXfilterText" xfId="3731"/>
    <cellStyle name="SAPBEXfilterText 2" xfId="3732"/>
    <cellStyle name="SAPBEXformats 2" xfId="3733"/>
    <cellStyle name="SAPBEXformats 2 2" xfId="3734"/>
    <cellStyle name="SAPBEXformats 2 2 2" xfId="3735"/>
    <cellStyle name="Total 5" xfId="3736"/>
    <cellStyle name="SAPBEXformats 2 2 2 2" xfId="3737"/>
    <cellStyle name="Total 5 2" xfId="3738"/>
    <cellStyle name="SAPBEXformats 2 2 3" xfId="3739"/>
    <cellStyle name="Total 6" xfId="3740"/>
    <cellStyle name="SAPBEXHLevel2 5 2" xfId="3741"/>
    <cellStyle name="SAPBEXformats 2 3" xfId="3742"/>
    <cellStyle name="SAPBEXHLevel2 5 2 2" xfId="3743"/>
    <cellStyle name="SAPBEXformats 2 3 2" xfId="3744"/>
    <cellStyle name="SAPBEXformats 3" xfId="3745"/>
    <cellStyle name="SAPBEXformats 3 2" xfId="3746"/>
    <cellStyle name="SAPBEXformats 3 2 3" xfId="3747"/>
    <cellStyle name="SAPBEXHLevel2 6 2" xfId="3748"/>
    <cellStyle name="SAPBEXformats 3 3" xfId="3749"/>
    <cellStyle name="SAPBEXHLevel2 6 2 2" xfId="3750"/>
    <cellStyle name="SAPBEXformats 3 3 2" xfId="3751"/>
    <cellStyle name="标题 2 6" xfId="3752"/>
    <cellStyle name="SAPBEXformats 4 2 2" xfId="3753"/>
    <cellStyle name="SAPBEXformats 4 2 2 2" xfId="3754"/>
    <cellStyle name="SAPBEXHLevel2 7 2" xfId="3755"/>
    <cellStyle name="SAPBEXformats 4 3" xfId="3756"/>
    <cellStyle name="SAPBEXHLevel2 7 2 2" xfId="3757"/>
    <cellStyle name="标题 3 6" xfId="3758"/>
    <cellStyle name="常规_Book2" xfId="3759"/>
    <cellStyle name="SAPBEXformats 4 3 2" xfId="3760"/>
    <cellStyle name="SAPBEXformats 5" xfId="3761"/>
    <cellStyle name="SAPBEXformats 5 2 2 2" xfId="3762"/>
    <cellStyle name="SAPBEXformats 5 3 2" xfId="3763"/>
    <cellStyle name="SAPBEXformats 6" xfId="3764"/>
    <cellStyle name="SAPBEXresItemX 9" xfId="3765"/>
    <cellStyle name="SAPBEXformats 6 2 2" xfId="3766"/>
    <cellStyle name="SAPBEXformats 7" xfId="3767"/>
    <cellStyle name="隨後的超連結 2" xfId="3768"/>
    <cellStyle name="SAPBEXformats 7 2 2" xfId="3769"/>
    <cellStyle name="差_物料主数据模板_1.9_开氏物料表11月初稿" xfId="3770"/>
    <cellStyle name="SAPBEXformats 7 3" xfId="3771"/>
    <cellStyle name="SAPBEXformats 8" xfId="3772"/>
    <cellStyle name="SAPBEXformats 8 2" xfId="3773"/>
    <cellStyle name="SAPBEXheaderItem 2 2 2 2" xfId="3774"/>
    <cellStyle name="SAPBEXheaderItem 2 2 3" xfId="3775"/>
    <cellStyle name="SAPBEXheaderItem 2 3 2" xfId="3776"/>
    <cellStyle name="千位分隔 2 2" xfId="3777"/>
    <cellStyle name="好_还原数据090219_开氏物料表11月初稿 2" xfId="3778"/>
    <cellStyle name="SAPBEXheaderItem 3 2 2" xfId="3779"/>
    <cellStyle name="差_到港原油采购成本预算表-2012年4月(20120327)" xfId="3780"/>
    <cellStyle name="千位分隔 3 2" xfId="3781"/>
    <cellStyle name="SAPBEXheaderItem 3 3 2" xfId="3782"/>
    <cellStyle name="SAPBEXheaderItem 4" xfId="3783"/>
    <cellStyle name="SAPBEXresDataEmph 5 3 2" xfId="3784"/>
    <cellStyle name="SAPBEXresDataEmph 8 2" xfId="3785"/>
    <cellStyle name="SAPBEXheaderItem 5" xfId="3786"/>
    <cellStyle name="SAPBEXheaderItem 5 2" xfId="3787"/>
    <cellStyle name="SAPBEXheaderItem 5 2 2" xfId="3788"/>
    <cellStyle name="title 8" xfId="3789"/>
    <cellStyle name="SAPBEXheaderItem 5 2 2 2" xfId="3790"/>
    <cellStyle name="SAPBEXheaderItem 5 2 3" xfId="3791"/>
    <cellStyle name="SAPBEXheaderItem 5 3" xfId="3792"/>
    <cellStyle name="SAPBEXheaderItem 5 3 2" xfId="3793"/>
    <cellStyle name="SAPBEXheaderItem 6" xfId="3794"/>
    <cellStyle name="SAPBEXHLevel0 2" xfId="3795"/>
    <cellStyle name="SAPBEXheaderItem 6 2" xfId="3796"/>
    <cellStyle name="SAPBEXHLevel0 2 2" xfId="3797"/>
    <cellStyle name="SAPBEXheaderItem 6 2 2" xfId="3798"/>
    <cellStyle name="SAPBEXHLevel0 2 2 2" xfId="3799"/>
    <cellStyle name="差_还原数据090219_114 2" xfId="3800"/>
    <cellStyle name="SAPBEXheaderItem 7" xfId="3801"/>
    <cellStyle name="SAPBEXHLevel0 3" xfId="3802"/>
    <cellStyle name="好_还原数据090219_fangting物料平衡填报表2009.9.30" xfId="3803"/>
    <cellStyle name="SAPBEXheaderItem 7 2" xfId="3804"/>
    <cellStyle name="SAPBEXHLevel0 3 2" xfId="3805"/>
    <cellStyle name="好_还原数据090219_fangting物料平衡填报表2009.9.30 2" xfId="3806"/>
    <cellStyle name="SAPBEXheaderItem 7 2 2" xfId="3807"/>
    <cellStyle name="SAPBEXHLevel0 3 2 2" xfId="3808"/>
    <cellStyle name="SAPBEXheaderItem 8" xfId="3809"/>
    <cellStyle name="SAPBEXHLevel0 4" xfId="3810"/>
    <cellStyle name="好_还原数据090219_开氏物料表12月初稿" xfId="3811"/>
    <cellStyle name="SAPBEXheaderItem 8 2" xfId="3812"/>
    <cellStyle name="SAPBEXHLevel0 4 2" xfId="3813"/>
    <cellStyle name="差_物料_开氏物料表1月初稿" xfId="3814"/>
    <cellStyle name="差_fangting物料平衡填报表2009.9.30" xfId="3815"/>
    <cellStyle name="差_还原数据090219_开氏物料表9月初稿" xfId="3816"/>
    <cellStyle name="SAPBEXheaderItem 9" xfId="3817"/>
    <cellStyle name="SAPBEXHLevel0 5" xfId="3818"/>
    <cellStyle name="SAPBEXheaderText 2 2 2" xfId="3819"/>
    <cellStyle name="SAPBEXheaderText 2 2 2 2" xfId="3820"/>
    <cellStyle name="好_惠炼BOM（20081219）_开氏物料表8月" xfId="3821"/>
    <cellStyle name="SAPBEXheaderText 2 3" xfId="3822"/>
    <cellStyle name="好_惠炼BOM（20081219）_开氏物料表8月 2" xfId="3823"/>
    <cellStyle name="SAPBEXheaderText 2 3 2" xfId="3824"/>
    <cellStyle name="SAPBEXheaderText 3" xfId="3825"/>
    <cellStyle name="SAPBEXheaderText 3 2" xfId="3826"/>
    <cellStyle name="SAPBEXheaderText 3 2 2" xfId="3827"/>
    <cellStyle name="SAPBEXheaderText 3 2 2 2" xfId="3828"/>
    <cellStyle name="SAPBEXheaderText 3 2 3" xfId="3829"/>
    <cellStyle name="Total 10" xfId="3830"/>
    <cellStyle name="差_还原数据090219_109装置物料平衡填报表2009(1).7.31 2" xfId="3831"/>
    <cellStyle name="好_mock生产订单收发货（导入版）_103-105单元物料平衡表09010(上报) 2" xfId="3832"/>
    <cellStyle name="SAPBEXheaderText 3 3" xfId="3833"/>
    <cellStyle name="SAPBEXheaderText 4" xfId="3834"/>
    <cellStyle name="SAPBEXheaderText 4 2" xfId="3835"/>
    <cellStyle name="SAPBEXheaderText 4 2 3" xfId="3836"/>
    <cellStyle name="SAPBEXheaderText 4 3" xfId="3837"/>
    <cellStyle name="SAPBEXheaderText 4 3 2" xfId="3838"/>
    <cellStyle name="SAPBEXheaderText 5" xfId="3839"/>
    <cellStyle name="SAPBEXheaderText 5 2 3" xfId="3840"/>
    <cellStyle name="SAPBEXheaderText 5 3" xfId="3841"/>
    <cellStyle name="SAPBEXheaderText 5 3 2" xfId="3842"/>
    <cellStyle name="SAPBEXheaderText 7 2 2" xfId="3843"/>
    <cellStyle name="SAPBEXheaderText 7 3" xfId="3844"/>
    <cellStyle name="差_物料平衡表-实际0904-1_物料平衡7月初稿3. 2" xfId="3845"/>
    <cellStyle name="SAPBEXheaderText 8" xfId="3846"/>
    <cellStyle name="SAPBEXheaderText 8 2" xfId="3847"/>
    <cellStyle name="SAPBEXHLevel0" xfId="3848"/>
    <cellStyle name="SAPBEXHLevel0 2 3" xfId="3849"/>
    <cellStyle name="差_MES-ERP编码对应_10月统计（111）平衡" xfId="3850"/>
    <cellStyle name="SAPBEXHLevel0 2 3 2" xfId="3851"/>
    <cellStyle name="SAPBEXHLevel0 3 2 2 2" xfId="3852"/>
    <cellStyle name="好_物料主数据模板_1.9_110" xfId="3853"/>
    <cellStyle name="好_还原数据090219_开氏物料表12月初稿 2" xfId="3854"/>
    <cellStyle name="SAPBEXHLevel0 4 2 2" xfId="3855"/>
    <cellStyle name="后继超链接" xfId="3856"/>
    <cellStyle name="好_物料主数据模板_1.9_110 2" xfId="3857"/>
    <cellStyle name="SAPBEXHLevel0 4 2 2 2" xfId="3858"/>
    <cellStyle name="好_物料主数据模板_1.9_111" xfId="3859"/>
    <cellStyle name="好_物料主数据模板_1.9_106" xfId="3860"/>
    <cellStyle name="好_104单元（0910）" xfId="3861"/>
    <cellStyle name="SAPBEXHLevel0 4 2 3" xfId="3862"/>
    <cellStyle name="SAPBEXHLevel0 4 3" xfId="3863"/>
    <cellStyle name="差_物料_开氏物料表1月初稿 2" xfId="3864"/>
    <cellStyle name="差_fangting物料平衡填报表2009.9.30 2" xfId="3865"/>
    <cellStyle name="差_还原数据090219_开氏物料表9月初稿 2" xfId="3866"/>
    <cellStyle name="SAPBEXHLevel0 5 2" xfId="3867"/>
    <cellStyle name="好_惠炼BOM（20081219）_103-105" xfId="3868"/>
    <cellStyle name="SAPBEXHLevel0 5 2 2" xfId="3869"/>
    <cellStyle name="好_惠炼BOM（20081219）_103-105 2" xfId="3870"/>
    <cellStyle name="SAPBEXHLevel0 5 2 2 2" xfId="3871"/>
    <cellStyle name="SAPBEXHLevel0 5 3" xfId="3872"/>
    <cellStyle name="好_还原数据090219_汇总 2" xfId="3873"/>
    <cellStyle name="SAPBEXHLevel0 6" xfId="3874"/>
    <cellStyle name="SAPBEXHLevel0 6 2" xfId="3875"/>
    <cellStyle name="SAPBEXHLevel0 6 2 2" xfId="3876"/>
    <cellStyle name="好_物料平衡表-实际0904-1 2" xfId="3877"/>
    <cellStyle name="SAPBEXHLevel0 8" xfId="3878"/>
    <cellStyle name="SAPBEXHLevel0X" xfId="3879"/>
    <cellStyle name="SAPBEXHLevel0X 2" xfId="3880"/>
    <cellStyle name="SAPBEXHLevel0X 3" xfId="3881"/>
    <cellStyle name="SAPBEXHLevel0X 4 2 2" xfId="3882"/>
    <cellStyle name="SAPBEXHLevel0X 4 2 2 2" xfId="3883"/>
    <cellStyle name="SAPBEXHLevel0X 4 2 3" xfId="3884"/>
    <cellStyle name="SAPBEXHLevel0X 4 3" xfId="3885"/>
    <cellStyle name="SAPBEXHLevel0X 4 3 2" xfId="3886"/>
    <cellStyle name="差_还原数据090219_开氏物料表7月" xfId="3887"/>
    <cellStyle name="SAPBEXHLevel0X 5 2" xfId="3888"/>
    <cellStyle name="差_还原数据090219_开氏物料表7月 2" xfId="3889"/>
    <cellStyle name="SAPBEXHLevel0X 5 2 2" xfId="3890"/>
    <cellStyle name="SAPBEXHLevel0X 5 2 3" xfId="3891"/>
    <cellStyle name="SAPBEXHLevel0X 6 2" xfId="3892"/>
    <cellStyle name="SAPBEXHLevel0X 6 2 2" xfId="3893"/>
    <cellStyle name="SAPBEXHLevel0X 7 2" xfId="3894"/>
    <cellStyle name="SAPBEXHLevel0X 7 2 2" xfId="3895"/>
    <cellStyle name="SAPBEXHLevel0X 7 3" xfId="3896"/>
    <cellStyle name="SAPBEXHLevel1" xfId="3897"/>
    <cellStyle name="好_副产蒸汽、凝结水消耗_物料平衡8月初稿." xfId="3898"/>
    <cellStyle name="SAPBEXHLevel1 2" xfId="3899"/>
    <cellStyle name="好_副产蒸汽、凝结水消耗_物料平衡8月初稿. 2" xfId="3900"/>
    <cellStyle name="SAPBEXHLevel1 2 2" xfId="3901"/>
    <cellStyle name="差_mock生产订单收发货（导入版）_周计划表20091112" xfId="3902"/>
    <cellStyle name="SAPBEXHLevel1 2 2 2" xfId="3903"/>
    <cellStyle name="SAPBEXresItem 5 2 3" xfId="3904"/>
    <cellStyle name="SAPBEXHLevel1 2 2 2 2" xfId="3905"/>
    <cellStyle name="SAPBEXHLevel1 2 2 3" xfId="3906"/>
    <cellStyle name="SAPBEXHLevel1 2 3" xfId="3907"/>
    <cellStyle name="SAPBEXresData 4 2" xfId="3908"/>
    <cellStyle name="SAPBEXHLevel1 2 3 2" xfId="3909"/>
    <cellStyle name="SAPBEXresData 4 2 2" xfId="3910"/>
    <cellStyle name="SAPBEXHLevel1 3 3 2" xfId="3911"/>
    <cellStyle name="SAPBEXresData 5 2 2" xfId="3912"/>
    <cellStyle name="好_生产订单收发货-ERP_开氏物料表12月初稿 2" xfId="3913"/>
    <cellStyle name="差_MES-ERP编码对应_0907炼油与开氏主要物料结算量2" xfId="3914"/>
    <cellStyle name="SAPBEXHLevel1 4" xfId="3915"/>
    <cellStyle name="差_MES-ERP编码对应_0907炼油与开氏主要物料结算量2 2" xfId="3916"/>
    <cellStyle name="SAPBEXHLevel1 4 2" xfId="3917"/>
    <cellStyle name="SAPBEXHLevel1 4 2 2 2" xfId="3918"/>
    <cellStyle name="SAPBEXHLevel1 4 2 3" xfId="3919"/>
    <cellStyle name="SAPBEXHLevel1 4 3" xfId="3920"/>
    <cellStyle name="SAPBEXresData 6 2" xfId="3921"/>
    <cellStyle name="SAPBEXHLevel1 4 3 2" xfId="3922"/>
    <cellStyle name="SAPBEXresData 6 2 2" xfId="3923"/>
    <cellStyle name="SAPBEXHLevel1 5" xfId="3924"/>
    <cellStyle name="SAPBEXHLevel1 5 2" xfId="3925"/>
    <cellStyle name="SAPBEXHLevel1 5 2 2" xfId="3926"/>
    <cellStyle name="SAPBEXHLevel1 5 2 2 2" xfId="3927"/>
    <cellStyle name="SAPBEXHLevel1 5 2 3" xfId="3928"/>
    <cellStyle name="SAPBEXHLevel1 6" xfId="3929"/>
    <cellStyle name="SAPBEXHLevel1 7" xfId="3930"/>
    <cellStyle name="SAPBEXHLevel1 7 2" xfId="3931"/>
    <cellStyle name="SAPBEXHLevel1 7 3" xfId="3932"/>
    <cellStyle name="SAPBEXHLevel1 8 2" xfId="3933"/>
    <cellStyle name="SAPBEXHLevel1X" xfId="3934"/>
    <cellStyle name="差_~4907560" xfId="3935"/>
    <cellStyle name="SAPBEXHLevel1X 2" xfId="3936"/>
    <cellStyle name="差_~4907560 2" xfId="3937"/>
    <cellStyle name="SAPBEXHLevel1X 2 2" xfId="3938"/>
    <cellStyle name="SAPBEXHLevel1X 2 2 3" xfId="3939"/>
    <cellStyle name="SAPBEXHLevel1X 2 3" xfId="3940"/>
    <cellStyle name="SAPBEXHLevel1X 3" xfId="3941"/>
    <cellStyle name="SAPBEXHLevel1X 3 2" xfId="3942"/>
    <cellStyle name="SAPBEXHLevel1X 3 2 3" xfId="3943"/>
    <cellStyle name="SAPBEXHLevel1X 3 3" xfId="3944"/>
    <cellStyle name="SAPBEXHLevel1X 4 2 3" xfId="3945"/>
    <cellStyle name="SAPBEXHLevel1X 5 2" xfId="3946"/>
    <cellStyle name="SAPBEXHLevel1X 5 2 2" xfId="3947"/>
    <cellStyle name="SAPBEXHLevel1X 5 2 2 2" xfId="3948"/>
    <cellStyle name="SAPBEXHLevel1X 5 2 3" xfId="3949"/>
    <cellStyle name="差_MES-ERP编码对应_10月统计（111）平衡 2" xfId="3950"/>
    <cellStyle name="SAPBEXHLevel1X 5 3" xfId="3951"/>
    <cellStyle name="SAPBEXHLevel1X 5 3 2" xfId="3952"/>
    <cellStyle name="SAPBEXHLevel1X 6" xfId="3953"/>
    <cellStyle name="SAPBEXHLevel1X 6 2" xfId="3954"/>
    <cellStyle name="SAPBEXHLevel1X 6 2 2" xfId="3955"/>
    <cellStyle name="SAPBEXHLevel1X 7" xfId="3956"/>
    <cellStyle name="SAPBEXHLevel1X 7 2" xfId="3957"/>
    <cellStyle name="SAPBEXHLevel1X 7 2 2" xfId="3958"/>
    <cellStyle name="SAPBEXHLevel1X 7 3" xfId="3959"/>
    <cellStyle name="SAPBEXHLevel1X 8" xfId="3960"/>
    <cellStyle name="SAPBEXHLevel1X 8 2" xfId="3961"/>
    <cellStyle name="SAPBEXHLevel2" xfId="3962"/>
    <cellStyle name="SAPBEXstdItem 4 2 2" xfId="3963"/>
    <cellStyle name="SAPBEXHLevel2 2" xfId="3964"/>
    <cellStyle name="SAPBEXstdItem 4 2 2 2" xfId="3965"/>
    <cellStyle name="SAPBEXHLevel2 2 2" xfId="3966"/>
    <cellStyle name="好_开氏物料表9月初稿 2" xfId="3967"/>
    <cellStyle name="SAPBEXHLevel2 2 2 3" xfId="3968"/>
    <cellStyle name="差_副产蒸汽、凝结水消耗" xfId="3969"/>
    <cellStyle name="SAPBEXHLevel2 2 3" xfId="3970"/>
    <cellStyle name="SAPBEXstdDataEmph 2 2" xfId="3971"/>
    <cellStyle name="SAPBEXHLevel2 3" xfId="3972"/>
    <cellStyle name="SAPBEXHLevel2 3 2 2 2" xfId="3973"/>
    <cellStyle name="SAPBEXHLevel2 3 2 3" xfId="3974"/>
    <cellStyle name="差_惠炼BOM（20081219）_113" xfId="3975"/>
    <cellStyle name="差_0908炼油与开氏主要物料结算量" xfId="3976"/>
    <cellStyle name="差_物料主数据模板_1.9_103-105 2" xfId="3977"/>
    <cellStyle name="SAPBEXHLevel2 3 3" xfId="3978"/>
    <cellStyle name="SAPBEXstdDataEmph 3 2" xfId="3979"/>
    <cellStyle name="差_惠炼BOM（20081219）_113 2" xfId="3980"/>
    <cellStyle name="SAPBEXstdData 2 3" xfId="3981"/>
    <cellStyle name="差_0908炼油与开氏主要物料结算量 2" xfId="3982"/>
    <cellStyle name="SAPBEXHLevel2 3 3 2" xfId="3983"/>
    <cellStyle name="SAPBEXstdDataEmph 3 2 2" xfId="3984"/>
    <cellStyle name="SAPBEXHLevel2 4" xfId="3985"/>
    <cellStyle name="SAPBEXHLevel2 4 2" xfId="3986"/>
    <cellStyle name="SAPBEXHLevel2 4 2 2" xfId="3987"/>
    <cellStyle name="SAPBEXHLevel2 4 2 2 2" xfId="3988"/>
    <cellStyle name="SAPBEXHLevel2 4 2 3" xfId="3989"/>
    <cellStyle name="SAPBEXHLevel2 4 3 2" xfId="3990"/>
    <cellStyle name="SAPBEXstdDataEmph 4 2 2" xfId="3991"/>
    <cellStyle name="SAPBEXHLevel2 5" xfId="3992"/>
    <cellStyle name="SAPBEXHLevel2 5 2 2 2" xfId="3993"/>
    <cellStyle name="差_开氏物料表9月初稿 2" xfId="3994"/>
    <cellStyle name="SAPBEXHLevel2 5 3" xfId="3995"/>
    <cellStyle name="SAPBEXstdDataEmph 5 2" xfId="3996"/>
    <cellStyle name="SAPBEXHLevel2 5 3 2" xfId="3997"/>
    <cellStyle name="SAPBEXstdDataEmph 5 2 2" xfId="3998"/>
    <cellStyle name="SAPBEXHLevel2 6" xfId="3999"/>
    <cellStyle name="输出 2" xfId="4000"/>
    <cellStyle name="差_物料平衡表-实际0904-1_开氏物料表12月初稿 2" xfId="4001"/>
    <cellStyle name="SAPBEXHLevel2X 2 2 2" xfId="4002"/>
    <cellStyle name="SAPBEXHLevel2X 2 2 2 2" xfId="4003"/>
    <cellStyle name="输出 3" xfId="4004"/>
    <cellStyle name="好_物料主数据模板_1.9_5 月份物料平衡（107单元） 2" xfId="4005"/>
    <cellStyle name="SAPBEXHLevel2X 2 2 3" xfId="4006"/>
    <cellStyle name="SAPBEXHLevel2X 2 3" xfId="4007"/>
    <cellStyle name="SAPBEXHLevel2X 2 3 2" xfId="4008"/>
    <cellStyle name="差_还原数据090219_周计划" xfId="4009"/>
    <cellStyle name="SAPBEXHLevel2X 3 3 2" xfId="4010"/>
    <cellStyle name="SAPBEXHLevel2X 4 2 2" xfId="4011"/>
    <cellStyle name="SAPBEXHLevel2X 4 2 2 2" xfId="4012"/>
    <cellStyle name="SAPBEXHLevel2X 4 2 3" xfId="4013"/>
    <cellStyle name="SAPBEXHLevel2X 4 3" xfId="4014"/>
    <cellStyle name="SAPBEXHLevel2X 4 3 2" xfId="4015"/>
    <cellStyle name="SAPBEXHLevel2X 5 2" xfId="4016"/>
    <cellStyle name="SAPBEXHLevel2X 5 2 2" xfId="4017"/>
    <cellStyle name="SAPBEXHLevel2X 5 2 3" xfId="4018"/>
    <cellStyle name="SAPBEXundefined 8 2" xfId="4019"/>
    <cellStyle name="SAPBEXHLevel2X 5 3" xfId="4020"/>
    <cellStyle name="好_物料平衡表-实际0904-1_~4907560" xfId="4021"/>
    <cellStyle name="SAPBEXHLevel2X 6 2" xfId="4022"/>
    <cellStyle name="好_物料平衡表-实际0904-1_~4907560 2" xfId="4023"/>
    <cellStyle name="SAPBEXHLevel2X 6 2 2" xfId="4024"/>
    <cellStyle name="SAPBEXHLevel2X 7 2" xfId="4025"/>
    <cellStyle name="好_惠炼BOM（20081219）_109装置物料平衡填报表2009(1).7.31" xfId="4026"/>
    <cellStyle name="SAPBEXHLevel2X 7 2 2" xfId="4027"/>
    <cellStyle name="SAPBEXHLevel2X 8" xfId="4028"/>
    <cellStyle name="SAPBEXHLevel2X 8 2" xfId="4029"/>
    <cellStyle name="SAPBEXHLevel3" xfId="4030"/>
    <cellStyle name="SAPBEXstdItem 4 2 3" xfId="4031"/>
    <cellStyle name="SAPBEXHLevel3 2" xfId="4032"/>
    <cellStyle name="SAPBEXHLevel3 2 2" xfId="4033"/>
    <cellStyle name="差_还原数据090219_Sheet1" xfId="4034"/>
    <cellStyle name="SAPBEXHLevel3 2 2 2" xfId="4035"/>
    <cellStyle name="SAPBEXHLevel3 2 2 2 2" xfId="4036"/>
    <cellStyle name="好_惠炼BOM（20081219）_开氏物料表12月初稿" xfId="4037"/>
    <cellStyle name="SAPBEXHLevel3 2 2 3" xfId="4038"/>
    <cellStyle name="SAPBEXHLevel3 3" xfId="4039"/>
    <cellStyle name="simpletitle" xfId="4040"/>
    <cellStyle name="SAPBEXHLevel3 3 3" xfId="4041"/>
    <cellStyle name="SAPBEXHLevel3 4" xfId="4042"/>
    <cellStyle name="SAPBEXHLevel3 4 2 3" xfId="4043"/>
    <cellStyle name="差_MES-ERP编码对应_基础计算表" xfId="4044"/>
    <cellStyle name="差_周报2009.9.18" xfId="4045"/>
    <cellStyle name="SAPBEXHLevel3 5" xfId="4046"/>
    <cellStyle name="SAPBEXHLevel3 5 2" xfId="4047"/>
    <cellStyle name="SAPBEXHLevel3 5 2 2" xfId="4048"/>
    <cellStyle name="SAPBEXHLevel3 5 2 3" xfId="4049"/>
    <cellStyle name="SAPBEXHLevel3 5 3" xfId="4050"/>
    <cellStyle name="SAPBEXHLevel3 6" xfId="4051"/>
    <cellStyle name="SAPBEXHLevel3 7" xfId="4052"/>
    <cellStyle name="SAPBEXHLevel3 7 2" xfId="4053"/>
    <cellStyle name="SAPBEXHLevel3 7 2 2" xfId="4054"/>
    <cellStyle name="SAPBEXHLevel3 8" xfId="4055"/>
    <cellStyle name="好_周计划表20091230" xfId="4056"/>
    <cellStyle name="SAPBEXHLevel3 8 2" xfId="4057"/>
    <cellStyle name="SAPBEXHLevel3X" xfId="4058"/>
    <cellStyle name="SAPBEXHLevel3X 2" xfId="4059"/>
    <cellStyle name="差_物料平衡表-实际0904-1_开氏物料表8月" xfId="4060"/>
    <cellStyle name="SAPBEXHLevel3X 2 2" xfId="4061"/>
    <cellStyle name="SAPBEXHLevel3X 3" xfId="4062"/>
    <cellStyle name="SAPBEXHLevel3X 3 2" xfId="4063"/>
    <cellStyle name="SAPBEXHLevel3X 3 2 2" xfId="4064"/>
    <cellStyle name="好_惠炼BOM（20081219）_Sheet1" xfId="4065"/>
    <cellStyle name="SAPBEXHLevel3X 3 2 2 2" xfId="4066"/>
    <cellStyle name="SAPBEXHLevel3X 3 3" xfId="4067"/>
    <cellStyle name="SAPBEXHLevel3X 3 3 2" xfId="4068"/>
    <cellStyle name="差_物料_基础计算表" xfId="4069"/>
    <cellStyle name="SAPBEXHLevel3X 4 2 2 2" xfId="4070"/>
    <cellStyle name="好_mock生产订单收发货（导入版）_fangting物料平衡填报表2009.9.30 2" xfId="4071"/>
    <cellStyle name="SAPBEXHLevel3X 4 3 2" xfId="4072"/>
    <cellStyle name="SAPBEXHLevel3X 5" xfId="4073"/>
    <cellStyle name="SAPBEXHLevel3X 5 2" xfId="4074"/>
    <cellStyle name="SAPBEXHLevel3X 5 2 2" xfId="4075"/>
    <cellStyle name="SAPBEXHLevel3X 5 2 3" xfId="4076"/>
    <cellStyle name="SAPBEXHLevel3X 5 3" xfId="4077"/>
    <cellStyle name="SAPBEXHLevel3X 5 3 2" xfId="4078"/>
    <cellStyle name="SAPBEXHLevel3X 6 2 2" xfId="4079"/>
    <cellStyle name="检查单元格 11" xfId="4080"/>
    <cellStyle name="SAPBEXHLevel3X 7 2" xfId="4081"/>
    <cellStyle name="差_MES-ERP编码对应_开氏物料表9月初稿" xfId="4082"/>
    <cellStyle name="SAPBEXHLevel3X 7 2 2" xfId="4083"/>
    <cellStyle name="差_MES-ERP编码对应_开氏物料表9月初稿 2" xfId="4084"/>
    <cellStyle name="SAPBEXstdData 2 2 2" xfId="4085"/>
    <cellStyle name="SAPBEXHLevel3X 8" xfId="4086"/>
    <cellStyle name="SAPBEXstdData 2 2 2 2" xfId="4087"/>
    <cellStyle name="SAPBEXHLevel3X 8 2" xfId="4088"/>
    <cellStyle name="SAPBEXresData" xfId="4089"/>
    <cellStyle name="SAPBEXresData 2" xfId="4090"/>
    <cellStyle name="SAPBEXresData 2 2" xfId="4091"/>
    <cellStyle name="SAPBEXresData 2 2 3" xfId="4092"/>
    <cellStyle name="SAPBEXresData 3" xfId="4093"/>
    <cellStyle name="SAPBEXresData 3 2" xfId="4094"/>
    <cellStyle name="SAPBEXresData 3 2 2" xfId="4095"/>
    <cellStyle name="SAPBEXresData 3 2 2 2" xfId="4096"/>
    <cellStyle name="SAPBEXresData 3 2 3" xfId="4097"/>
    <cellStyle name="SAPBEXresData 3 3" xfId="4098"/>
    <cellStyle name="SAPBEXresData 3 3 2" xfId="4099"/>
    <cellStyle name="SAPBEXresData 4" xfId="4100"/>
    <cellStyle name="SAPBEXresData 4 2 2 2" xfId="4101"/>
    <cellStyle name="SAPBEXresData 4 3" xfId="4102"/>
    <cellStyle name="SAPBEXresData 4 3 2" xfId="4103"/>
    <cellStyle name="SAPBEXresData 5 2 2 2" xfId="4104"/>
    <cellStyle name="SAPBEXresData 5 2 3" xfId="4105"/>
    <cellStyle name="SAPBEXresData 5 3 2" xfId="4106"/>
    <cellStyle name="SAPBEXresData 8" xfId="4107"/>
    <cellStyle name="Total 6 2 3" xfId="4108"/>
    <cellStyle name="SAPBEXresData 8 2" xfId="4109"/>
    <cellStyle name="好_物料平衡表-实际0904-1_开氏物料表9月初稿 2" xfId="4110"/>
    <cellStyle name="SAPBEXresData 9" xfId="4111"/>
    <cellStyle name="SAPBEXresDataEmph" xfId="4112"/>
    <cellStyle name="SAPBEXresDataEmph 2" xfId="4113"/>
    <cellStyle name="SAPBEXresDataEmph 2 2 2 2" xfId="4114"/>
    <cellStyle name="SAPBEXresDataEmph 2 3" xfId="4115"/>
    <cellStyle name="SAPBEXresDataEmph 3" xfId="4116"/>
    <cellStyle name="SAPBEXundefined 5 2 2 2" xfId="4117"/>
    <cellStyle name="差_mock生产订单收发货（导入版）_107装置物料平衡填报表2009(1).7.31" xfId="4118"/>
    <cellStyle name="SAPBEXresDataEmph 3 2 2" xfId="4119"/>
    <cellStyle name="SAPBEXresDataEmph 3 2 2 2" xfId="4120"/>
    <cellStyle name="Total 2 8" xfId="4121"/>
    <cellStyle name="SAPBEXresDataEmph 3 3" xfId="4122"/>
    <cellStyle name="SAPBEXresDataEmph 4" xfId="4123"/>
    <cellStyle name="SAPBEXresDataEmph 4 3" xfId="4124"/>
    <cellStyle name="SAPBEXresDataEmph 4 3 2" xfId="4125"/>
    <cellStyle name="SAPBEXresDataEmph 5" xfId="4126"/>
    <cellStyle name="SAPBEXresDataEmph 5 2" xfId="4127"/>
    <cellStyle name="SAPBEXresDataEmph 7" xfId="4128"/>
    <cellStyle name="SAPBEXresDataEmph 5 2 2 2" xfId="4129"/>
    <cellStyle name="SAPBEXresDataEmph 7 2 2" xfId="4130"/>
    <cellStyle name="SAPBEXresDataEmph 5 3" xfId="4131"/>
    <cellStyle name="SAPBEXresDataEmph 8" xfId="4132"/>
    <cellStyle name="SAPBEXresDataEmph 6 2" xfId="4133"/>
    <cellStyle name="SAPBEXresDataEmph 6 2 2" xfId="4134"/>
    <cellStyle name="SAPBEXresItem" xfId="4135"/>
    <cellStyle name="SAPBEXresItem 2 2 3" xfId="4136"/>
    <cellStyle name="差_物料主数据模板_1.9_5 月份物料平衡（107单元）" xfId="4137"/>
    <cellStyle name="SAPBEXresItem 2 3 2" xfId="4138"/>
    <cellStyle name="好_还原数据090219_101 2" xfId="4139"/>
    <cellStyle name="SAPBEXresItem 3 2 2 2" xfId="4140"/>
    <cellStyle name="好_还原数据090219_102" xfId="4141"/>
    <cellStyle name="SAPBEXresItem 3 2 3" xfId="4142"/>
    <cellStyle name="差_mock生产订单收发货（导入版）_109装置物料平衡填报表2009(1).7.31" xfId="4143"/>
    <cellStyle name="SAPBEXresItem 4 2" xfId="4144"/>
    <cellStyle name="差_mock生产订单收发货（导入版）_109装置物料平衡填报表2009(1).7.31 2" xfId="4145"/>
    <cellStyle name="SAPBEXresItem 4 2 2" xfId="4146"/>
    <cellStyle name="SAPBEXresItem 5 2" xfId="4147"/>
    <cellStyle name="SAPBEXresItem 5 2 2" xfId="4148"/>
    <cellStyle name="SAPBEXresItem 5 2 2 2" xfId="4149"/>
    <cellStyle name="差_惠炼BOM（20081219）_基础计算表" xfId="4150"/>
    <cellStyle name="SAPBEXresItem 5 3" xfId="4151"/>
    <cellStyle name="SAPBEXresItem 7 3" xfId="4152"/>
    <cellStyle name="SAPBEXresItem 5 3 2" xfId="4153"/>
    <cellStyle name="SAPBEXresItem 6 2" xfId="4154"/>
    <cellStyle name="SAPBEXstdData" xfId="4155"/>
    <cellStyle name="SAPBEXresItem 6 2 2" xfId="4156"/>
    <cellStyle name="SAPBEXstdData 2" xfId="4157"/>
    <cellStyle name="SAPBEXresItem 8" xfId="4158"/>
    <cellStyle name="SAPBEXresItem 8 2" xfId="4159"/>
    <cellStyle name="好_物料主数据模板_1.9_开氏物料表8月 2" xfId="4160"/>
    <cellStyle name="SAPBEXresItemX" xfId="4161"/>
    <cellStyle name="SAPBEXresItemX 2 2" xfId="4162"/>
    <cellStyle name="SAPBEXstdData 6" xfId="4163"/>
    <cellStyle name="SAPBEXresItemX 2 2 2" xfId="4164"/>
    <cellStyle name="SAPBEXstdData 6 2" xfId="4165"/>
    <cellStyle name="差_生产订单收发货-ERP_开氏物料表8月" xfId="4166"/>
    <cellStyle name="SAPBEXresItemX 2 2 2 2" xfId="4167"/>
    <cellStyle name="SAPBEXresItemX 2 3" xfId="4168"/>
    <cellStyle name="差_副产蒸汽、凝结水消耗_基础计算表" xfId="4169"/>
    <cellStyle name="SAPBEXresItemX 2 3 2" xfId="4170"/>
    <cellStyle name="SAPBEXresItemX 3 2" xfId="4171"/>
    <cellStyle name="SAPBEXresItemX 3 2 2" xfId="4172"/>
    <cellStyle name="SAPBEXresItemX 3 2 2 2" xfId="4173"/>
    <cellStyle name="SAPBEXundefined" xfId="4174"/>
    <cellStyle name="SAPBEXresItemX 4 3" xfId="4175"/>
    <cellStyle name="差_2013年11月生产计划-100万吨-20131017" xfId="4176"/>
    <cellStyle name="SAPBEXresItemX 5 2" xfId="4177"/>
    <cellStyle name="SAPBEXresItemX 5 2 2" xfId="4178"/>
    <cellStyle name="SAPBEXresItemX 5 2 2 2" xfId="4179"/>
    <cellStyle name="SAPBEXresItemX 5 2 3" xfId="4180"/>
    <cellStyle name="SAPBEXresItemX 5 3" xfId="4181"/>
    <cellStyle name="差_2012年12月生产计划-100万吨-20121122修改" xfId="4182"/>
    <cellStyle name="SAPBEXresItemX 5 3 2" xfId="4183"/>
    <cellStyle name="SAPBEXresItemX 6" xfId="4184"/>
    <cellStyle name="xj" xfId="4185"/>
    <cellStyle name="SAPBEXresItemX 6 2 2" xfId="4186"/>
    <cellStyle name="差_还原数据090219_~4907560" xfId="4187"/>
    <cellStyle name="SAPBEXresItemX 7" xfId="4188"/>
    <cellStyle name="差_还原数据090219_~4907560 2" xfId="4189"/>
    <cellStyle name="SAPBEXresItemX 7 2" xfId="4190"/>
    <cellStyle name="SAPBEXresItemX 7 2 2" xfId="4191"/>
    <cellStyle name="SAPBEXresItemX 7 3" xfId="4192"/>
    <cellStyle name="SAPBEXresItemX 8" xfId="4193"/>
    <cellStyle name="SAPBEXresItemX 8 2" xfId="4194"/>
    <cellStyle name="SAPBEXstdData 2 2" xfId="4195"/>
    <cellStyle name="SAPBEXstdData 2 2 3" xfId="4196"/>
    <cellStyle name="SAPBEXstdData 3 2 2 2" xfId="4197"/>
    <cellStyle name="百分比 4" xfId="4198"/>
    <cellStyle name="SAPBEXstdData 3 2 3" xfId="4199"/>
    <cellStyle name="SAPBEXstdDataEmph 3 3 2" xfId="4200"/>
    <cellStyle name="差_惠炼BOM（20081219）_114 2" xfId="4201"/>
    <cellStyle name="SAPBEXstdData 3 3" xfId="4202"/>
    <cellStyle name="SAPBEXstdData 4 2" xfId="4203"/>
    <cellStyle name="SAPBEXstdData 4 2 3" xfId="4204"/>
    <cellStyle name="SAPBEXstdData 4 3" xfId="4205"/>
    <cellStyle name="SAPBEXstdData 5" xfId="4206"/>
    <cellStyle name="SAPBEXstdData 5 2" xfId="4207"/>
    <cellStyle name="SAPBEXstdData 5 2 3" xfId="4208"/>
    <cellStyle name="SAPBEXstdData 5 3" xfId="4209"/>
    <cellStyle name="SAPBEXstdData 8 2" xfId="4210"/>
    <cellStyle name="SAPBEXstdDataEmph" xfId="4211"/>
    <cellStyle name="SAPBEXstdDataEmph 2" xfId="4212"/>
    <cellStyle name="SAPBEXstdDataEmph 2 3" xfId="4213"/>
    <cellStyle name="差_物料主数据模板_1.9_103-105" xfId="4214"/>
    <cellStyle name="SAPBEXstdDataEmph 3" xfId="4215"/>
    <cellStyle name="SAPBEXstdDataEmph 3 2 3" xfId="4216"/>
    <cellStyle name="SAPBEXstdDataEmph 3 3" xfId="4217"/>
    <cellStyle name="SAPBEXstdDataEmph 4 3" xfId="4218"/>
    <cellStyle name="好_生产订单收发货-ERP_开氏物料表11月初稿" xfId="4219"/>
    <cellStyle name="SAPBEXstdDataEmph 5 2 2 2" xfId="4220"/>
    <cellStyle name="SAPBEXstdDataEmph 5 2 3" xfId="4221"/>
    <cellStyle name="SAPBEXstdDataEmph 5 3" xfId="4222"/>
    <cellStyle name="SAPBEXstdDataEmph 5 3 2" xfId="4223"/>
    <cellStyle name="SAPBEXstdItem" xfId="4224"/>
    <cellStyle name="SAPBEXstdItem 2" xfId="4225"/>
    <cellStyle name="SAPBEXstdItem 2 2" xfId="4226"/>
    <cellStyle name="SAPBEXstdItem 2 2 2" xfId="4227"/>
    <cellStyle name="SAPBEXstdItem 2 2 3" xfId="4228"/>
    <cellStyle name="SAPBEXstdItem 2 3" xfId="4229"/>
    <cellStyle name="SAPBEXstdItem 3" xfId="4230"/>
    <cellStyle name="SAPBEXstdItem 3 2" xfId="4231"/>
    <cellStyle name="SAPBEXstdItem 3 2 2 2" xfId="4232"/>
    <cellStyle name="SAPBEXstdItem 3 2 3" xfId="4233"/>
    <cellStyle name="SAPBEXstdItem 3 3" xfId="4234"/>
    <cellStyle name="百分比 2" xfId="4235"/>
    <cellStyle name="SAPBEXstdItem 4 3 2" xfId="4236"/>
    <cellStyle name="SAPBEXstdItem 8 2" xfId="4237"/>
    <cellStyle name="差_MES-ERP编码对应_开氏物料表1月初稿" xfId="4238"/>
    <cellStyle name="SAPBEXstdItemX" xfId="4239"/>
    <cellStyle name="SAPBEXstdItemX 2" xfId="4240"/>
    <cellStyle name="SAPBEXstdItemX 2 2" xfId="4241"/>
    <cellStyle name="SAPBEXstdItemX 2 3 2" xfId="4242"/>
    <cellStyle name="Total 8" xfId="4243"/>
    <cellStyle name="SAPBEXstdItemX 3 2 2" xfId="4244"/>
    <cellStyle name="好_2012年12月生产计划-100万吨-20121122修改" xfId="4245"/>
    <cellStyle name="Total 9" xfId="4246"/>
    <cellStyle name="SAPBEXstdItemX 3 2 3" xfId="4247"/>
    <cellStyle name="SAPBEXstdItemX 4" xfId="4248"/>
    <cellStyle name="SAPBEXstdItemX 4 2" xfId="4249"/>
    <cellStyle name="SAPBEXstdItemX 4 2 2" xfId="4250"/>
    <cellStyle name="SAPBEXstdItemX 4 2 3" xfId="4251"/>
    <cellStyle name="SAPBEXstdItemX 4 3" xfId="4252"/>
    <cellStyle name="SAPBEXstdItemX 5" xfId="4253"/>
    <cellStyle name="SAPBEXstdItemX 5 2" xfId="4254"/>
    <cellStyle name="SAPBEXstdItemX 5 2 2" xfId="4255"/>
    <cellStyle name="标题 2 9" xfId="4256"/>
    <cellStyle name="SAPBEXundefined 3" xfId="4257"/>
    <cellStyle name="SAPBEXstdItemX 5 2 2 2" xfId="4258"/>
    <cellStyle name="SAPBEXstdItemX 5 3" xfId="4259"/>
    <cellStyle name="SAPBEXstdItemX 5 3 2" xfId="4260"/>
    <cellStyle name="标题 3 9" xfId="4261"/>
    <cellStyle name="SAPBEXstdItemX 7" xfId="4262"/>
    <cellStyle name="SAPBEXstdItemX 7 2" xfId="4263"/>
    <cellStyle name="SAPBEXstdItemX 7 2 2" xfId="4264"/>
    <cellStyle name="SAPBEXstdItemX 7 3" xfId="4265"/>
    <cellStyle name="SAPBEXundefined 2" xfId="4266"/>
    <cellStyle name="好_2013年5月生产计划-104.5万吨-尾油2.1万吨-20130423" xfId="4267"/>
    <cellStyle name="SAPBEXundefined 2 2 3" xfId="4268"/>
    <cellStyle name="SAPBEXundefined 3 2" xfId="4269"/>
    <cellStyle name="SAPBEXundefined 4" xfId="4270"/>
    <cellStyle name="SAPBEXundefined 5 2" xfId="4271"/>
    <cellStyle name="差_103-105单元物料平衡表09010(上报)" xfId="4272"/>
    <cellStyle name="SAPBEXundefined 5 2 2" xfId="4273"/>
    <cellStyle name="差_103-105单元物料平衡表09010(上报) 2" xfId="4274"/>
    <cellStyle name="SAPBEXundefined 6" xfId="4275"/>
    <cellStyle name="SAPBEXundefined 6 2" xfId="4276"/>
    <cellStyle name="SAPBEXundefined 7" xfId="4277"/>
    <cellStyle name="SAPBEXundefined 7 2" xfId="4278"/>
    <cellStyle name="好_开氏物料销售记录" xfId="4279"/>
    <cellStyle name="SAPBEXundefined 7 2 2" xfId="4280"/>
    <cellStyle name="SAPBEXundefined 9" xfId="4281"/>
    <cellStyle name="Title" xfId="4282"/>
    <cellStyle name="section" xfId="4283"/>
    <cellStyle name="Special" xfId="4284"/>
    <cellStyle name="Title 2" xfId="4285"/>
    <cellStyle name="title 6" xfId="4286"/>
    <cellStyle name="title 7" xfId="4287"/>
    <cellStyle name="Total" xfId="4288"/>
    <cellStyle name="Total 2" xfId="4289"/>
    <cellStyle name="Total 2 2" xfId="4290"/>
    <cellStyle name="强调文字颜色 2 12" xfId="4291"/>
    <cellStyle name="Total 2 2 2" xfId="4292"/>
    <cellStyle name="Total 2 2 2 2" xfId="4293"/>
    <cellStyle name="Total 2 2 2 2 2" xfId="4294"/>
    <cellStyle name="好_物料_开氏物料表12月初稿" xfId="4295"/>
    <cellStyle name="Total 2 2 2 3" xfId="4296"/>
    <cellStyle name="Total 2 2 3 2" xfId="4297"/>
    <cellStyle name="Total 2 3" xfId="4298"/>
    <cellStyle name="Total 2 3 2" xfId="4299"/>
    <cellStyle name="Total 2 3 2 2 2" xfId="4300"/>
    <cellStyle name="Total 2 3 2 3" xfId="4301"/>
    <cellStyle name="Total 2 3 3" xfId="4302"/>
    <cellStyle name="Total 2 3 3 2" xfId="4303"/>
    <cellStyle name="Total 2 4 2 2 2" xfId="4304"/>
    <cellStyle name="Total 2 4 3" xfId="4305"/>
    <cellStyle name="Total 2 4 3 2" xfId="4306"/>
    <cellStyle name="Total 2 5" xfId="4307"/>
    <cellStyle name="Total 2 5 2" xfId="4308"/>
    <cellStyle name="Total 2 5 2 2" xfId="4309"/>
    <cellStyle name="Total 2 5 2 3" xfId="4310"/>
    <cellStyle name="Total 2 6" xfId="4311"/>
    <cellStyle name="Total 2 6 2" xfId="4312"/>
    <cellStyle name="差_mock生产订单收发货（导入版）_开氏物料表11月初稿" xfId="4313"/>
    <cellStyle name="Total 2 6 2 2" xfId="4314"/>
    <cellStyle name="差_mock生产订单收发货（导入版）_开氏物料表11月初稿 2" xfId="4315"/>
    <cellStyle name="Total 2 7" xfId="4316"/>
    <cellStyle name="差_2013年2月生产计划-93万吨-对接后20130125" xfId="4317"/>
    <cellStyle name="强调文字颜色 3 12" xfId="4318"/>
    <cellStyle name="好_物料主数据模板_1.9_0908炼油与开氏主要物料结算量" xfId="4319"/>
    <cellStyle name="Total 2 7 2" xfId="4320"/>
    <cellStyle name="强调文字颜色 3 13" xfId="4321"/>
    <cellStyle name="Total 2 7 3" xfId="4322"/>
    <cellStyle name="Total 2 8 2" xfId="4323"/>
    <cellStyle name="Total 3" xfId="4324"/>
    <cellStyle name="Total 3 3 2" xfId="4325"/>
    <cellStyle name="Total 4 2" xfId="4326"/>
    <cellStyle name="差_MES-ERP编码对应_fangting物料平衡填报表2009.9.30 2" xfId="4327"/>
    <cellStyle name="Total 4 2 3" xfId="4328"/>
    <cellStyle name="Total 4 3 2" xfId="4329"/>
    <cellStyle name="Total 5 2 2" xfId="4330"/>
    <cellStyle name="Total 5 2 2 2" xfId="4331"/>
    <cellStyle name="Total 5 3" xfId="4332"/>
    <cellStyle name="Total 5 3 2" xfId="4333"/>
    <cellStyle name="Total 6 3" xfId="4334"/>
    <cellStyle name="Total 7" xfId="4335"/>
    <cellStyle name="好_物料主数据模板_1.9_物料平衡8月初稿." xfId="4336"/>
    <cellStyle name="Total 7 2" xfId="4337"/>
    <cellStyle name="好_物料主数据模板_1.9_物料平衡8月初稿. 2" xfId="4338"/>
    <cellStyle name="Total 7 2 2" xfId="4339"/>
    <cellStyle name="Total 9 2" xfId="4340"/>
    <cellStyle name="好_还原数据090219_开氏物料表9月初稿" xfId="4341"/>
    <cellStyle name="Warning Text" xfId="4342"/>
    <cellStyle name="输出 8" xfId="4343"/>
    <cellStyle name="好_还原数据090219_开氏物料表9月初稿 2" xfId="4344"/>
    <cellStyle name="Warning Text 2" xfId="4345"/>
    <cellStyle name="パーセント_laroux" xfId="4346"/>
    <cellStyle name="好_副产蒸汽、凝结水消耗_开氏物料表12月初稿" xfId="4347"/>
    <cellStyle name="蒅_x000c_睨_x0017__x000d_帼?I羸_x0007__x0007__x0001__x0001_" xfId="4348"/>
    <cellStyle name="标题 1 10" xfId="4349"/>
    <cellStyle name="标题 1 11" xfId="4350"/>
    <cellStyle name="好_MES-ERP编码对应_0907炼油与开氏主要物料结算量2 2" xfId="4351"/>
    <cellStyle name="标题 1 14" xfId="4352"/>
    <cellStyle name="标题 1 15" xfId="4353"/>
    <cellStyle name="标题 1 5" xfId="4354"/>
    <cellStyle name="标题 1 6" xfId="4355"/>
    <cellStyle name="标题 1 7" xfId="4356"/>
    <cellStyle name="标题 1 8" xfId="4357"/>
    <cellStyle name="标题 13" xfId="4358"/>
    <cellStyle name="标题 14" xfId="4359"/>
    <cellStyle name="标题 2 12" xfId="4360"/>
    <cellStyle name="标题 2 13" xfId="4361"/>
    <cellStyle name="标题 2 14" xfId="4362"/>
    <cellStyle name="标题 2 15" xfId="4363"/>
    <cellStyle name="标题 2 5" xfId="4364"/>
    <cellStyle name="标题 2 8" xfId="4365"/>
    <cellStyle name="标题 3 12" xfId="4366"/>
    <cellStyle name="标题 3 13" xfId="4367"/>
    <cellStyle name="常规_总公司报表" xfId="4368"/>
    <cellStyle name="标题 3 14" xfId="4369"/>
    <cellStyle name="标题 3 15" xfId="4370"/>
    <cellStyle name="标题 3 5" xfId="4371"/>
    <cellStyle name="好_还原数据090219_114 2" xfId="4372"/>
    <cellStyle name="差_副产蒸汽、凝结水消耗_物料平衡7月初稿3." xfId="4373"/>
    <cellStyle name="标题 3 7" xfId="4374"/>
    <cellStyle name="标题 3 8" xfId="4375"/>
    <cellStyle name="标题 4 11" xfId="4376"/>
    <cellStyle name="标题 4 12" xfId="4377"/>
    <cellStyle name="标题 4 13" xfId="4378"/>
    <cellStyle name="标题 4 14" xfId="4379"/>
    <cellStyle name="标题 4 15" xfId="4380"/>
    <cellStyle name="标题 4 4" xfId="4381"/>
    <cellStyle name="标题 5" xfId="4382"/>
    <cellStyle name="标题 6" xfId="4383"/>
    <cellStyle name="标题 7" xfId="4384"/>
    <cellStyle name="差 12" xfId="4385"/>
    <cellStyle name="差 15" xfId="4386"/>
    <cellStyle name="差 8" xfId="4387"/>
    <cellStyle name="差 9" xfId="4388"/>
    <cellStyle name="差_0907炼油与开氏主要物料结算量2" xfId="4389"/>
    <cellStyle name="差_0907炼油与开氏主要物料结算量2 2" xfId="4390"/>
    <cellStyle name="差_103-105单元物料平衡表09011(上报)" xfId="4391"/>
    <cellStyle name="好_MES-ERP编码对应_开氏物料表1月初稿" xfId="4392"/>
    <cellStyle name="差_107装置物料平衡填报表2009(1).7.31" xfId="4393"/>
    <cellStyle name="差_108单元物料平衡表" xfId="4394"/>
    <cellStyle name="好_MES-ERP编码对应_开氏物料表1月初稿 2" xfId="4395"/>
    <cellStyle name="差_107装置物料平衡填报表2009(1).7.31 2" xfId="4396"/>
    <cellStyle name="差_108单元物料平衡表 2" xfId="4397"/>
    <cellStyle name="差_109装置物料平衡填报表2009(1).7.31" xfId="4398"/>
    <cellStyle name="好_物料主数据模板_1.9_107装置物料平衡填报表2009(1).7.31" xfId="4399"/>
    <cellStyle name="差_10月统计（111）平衡" xfId="4400"/>
    <cellStyle name="好_物料主数据模板_1.9_107装置物料平衡填报表2009(1).7.31 2" xfId="4401"/>
    <cellStyle name="差_10月统计（111）平衡 2" xfId="4402"/>
    <cellStyle name="差_110装置物料平衡表填报表1" xfId="4403"/>
    <cellStyle name="差_114" xfId="4404"/>
    <cellStyle name="差_114 2" xfId="4405"/>
    <cellStyle name="差_201011" xfId="4406"/>
    <cellStyle name="差_201011 2" xfId="4407"/>
    <cellStyle name="差_201104流程" xfId="4408"/>
    <cellStyle name="差_201105" xfId="4409"/>
    <cellStyle name="差_201107流程" xfId="4410"/>
    <cellStyle name="差_201109计划" xfId="4411"/>
    <cellStyle name="好_物料平衡表-实际0904-1_开氏物料表11月初稿" xfId="4412"/>
    <cellStyle name="差_201204生产计划" xfId="4413"/>
    <cellStyle name="差_2012年11月生产计划-99万吨-尾油2.0-20121025与炼化部讨论修改" xfId="4414"/>
    <cellStyle name="差_2013年1月生产计划-102万吨-20121225" xfId="4415"/>
    <cellStyle name="差_惠炼BOM（20081219）_周报2009.9.18" xfId="4416"/>
    <cellStyle name="差_2013年5月生产计划-104.5万吨-尾油2.1万吨-20130426" xfId="4417"/>
    <cellStyle name="差_2013年6月生产计划-100万吨-尾油2.1万吨-20130526-与炼销部对接后-不接受TX" xfId="4418"/>
    <cellStyle name="差_2013年8月生产计划-103万吨-20130715（本月反冲洗1次）" xfId="4419"/>
    <cellStyle name="差_5 月份物料平衡（107单元）" xfId="4420"/>
    <cellStyle name="差_5 月份物料平衡（107单元） 2" xfId="4421"/>
    <cellStyle name="普通-14固井质量" xfId="4422"/>
    <cellStyle name="差_7月份计划" xfId="4423"/>
    <cellStyle name="差_liucheng" xfId="4424"/>
    <cellStyle name="差_MES-ERP编码对应" xfId="4425"/>
    <cellStyle name="差_MES-ERP编码对应 2" xfId="4426"/>
    <cellStyle name="差_MES-ERP编码对应_~4907560" xfId="4427"/>
    <cellStyle name="差_MES-ERP编码对应_~4907560 2" xfId="4428"/>
    <cellStyle name="差_MES-ERP编码对应_0908炼油与开氏主要物料结算量" xfId="4429"/>
    <cellStyle name="好_物料_0908炼油与开氏主要物料结算量 2" xfId="4430"/>
    <cellStyle name="差_MES-ERP编码对应_开氏物料表12月初稿" xfId="4431"/>
    <cellStyle name="差_MES-ERP编码对应_开氏物料表12月初稿 2" xfId="4432"/>
    <cellStyle name="差_MES-ERP编码对应_物料平衡7月初稿3." xfId="4433"/>
    <cellStyle name="差_MES-ERP编码对应_物料平衡7月初稿3. 2" xfId="4434"/>
    <cellStyle name="差_MES-ERP编码对应_物料平衡8月初稿. 2" xfId="4435"/>
    <cellStyle name="差_mock生产订单收发货（导入版） 2" xfId="4436"/>
    <cellStyle name="差_mock生产订单收发货（导入版）_~4907560" xfId="4437"/>
    <cellStyle name="差_mock生产订单收发货（导入版）_~4907560 2" xfId="4438"/>
    <cellStyle name="差_mock生产订单收发货（导入版）_102 2" xfId="4439"/>
    <cellStyle name="差_mock生产订单收发货（导入版）_103-105单元物料平衡表09010(上报)" xfId="4440"/>
    <cellStyle name="差_mock生产订单收发货（导入版）_103-105单元物料平衡表09010(上报) 2" xfId="4441"/>
    <cellStyle name="差_mock生产订单收发货（导入版）_103-105单元物料平衡表09011(上报)" xfId="4442"/>
    <cellStyle name="差_mock生产订单收发货（导入版）_103-105单元物料平衡表09011(上报) 2" xfId="4443"/>
    <cellStyle name="差_物料_0908炼油与开氏主要物料结算量 2" xfId="4444"/>
    <cellStyle name="差_mock生产订单收发货（导入版）_108单元物料平衡表" xfId="4445"/>
    <cellStyle name="差_mock生产订单收发货（导入版）_108单元物料平衡表 2" xfId="4446"/>
    <cellStyle name="差_mock生产订单收发货（导入版）_10月统计（111）平衡" xfId="4447"/>
    <cellStyle name="差_mock生产订单收发货（导入版）_110" xfId="4448"/>
    <cellStyle name="差_mock生产订单收发货（导入版）_110 2" xfId="4449"/>
    <cellStyle name="差_mock生产订单收发货（导入版）_110装置物料平衡表填报表1 2" xfId="4450"/>
    <cellStyle name="差_mock生产订单收发货（导入版）_112 2" xfId="4451"/>
    <cellStyle name="差_mock生产订单收发货（导入版）_113" xfId="4452"/>
    <cellStyle name="差_mock生产订单收发货（导入版）_113 2" xfId="4453"/>
    <cellStyle name="差_mock生产订单收发货（导入版）_114" xfId="4454"/>
    <cellStyle name="差_mock生产订单收发货（导入版）_fangting物料平衡填报表2009.9.30" xfId="4455"/>
    <cellStyle name="差_mock生产订单收发货（导入版）_Sheet1" xfId="4456"/>
    <cellStyle name="差_报表表样" xfId="4457"/>
    <cellStyle name="差_mock生产订单收发货（导入版）_各装置物料平衡表填报表090630 2" xfId="4458"/>
    <cellStyle name="差_mock生产订单收发货（导入版）_汇总" xfId="4459"/>
    <cellStyle name="差_mock生产订单收发货（导入版）_开氏物料表12月初稿" xfId="4460"/>
    <cellStyle name="差_mock生产订单收发货（导入版）_开氏物料表7月" xfId="4461"/>
    <cellStyle name="통화 [0]_BOILER-CO1" xfId="4462"/>
    <cellStyle name="差_mock生产订单收发货（导入版）_开氏物料表7月 2" xfId="4463"/>
    <cellStyle name="差_mock生产订单收发货（导入版）_开氏物料表9月初稿" xfId="4464"/>
    <cellStyle name="差_物料_开氏物料表8月" xfId="4465"/>
    <cellStyle name="差_mock生产订单收发货（导入版）_开氏物料表9月初稿 2" xfId="4466"/>
    <cellStyle name="差_mock生产订单收发货（导入版）_物料平衡7月初稿3." xfId="4467"/>
    <cellStyle name="差_mock生产订单收发货（导入版）_周计划" xfId="4468"/>
    <cellStyle name="差_mock生产订单收发货（导入版）_周计划表20091230" xfId="4469"/>
    <cellStyle name="差_副产蒸汽、凝结水消耗_物料平衡7月初稿3. 2" xfId="4470"/>
    <cellStyle name="差_Sheet1" xfId="4471"/>
    <cellStyle name="差_副产蒸汽、凝结水消耗 2" xfId="4472"/>
    <cellStyle name="差_副产蒸汽、凝结水消耗_~4907560" xfId="4473"/>
    <cellStyle name="差_副产蒸汽、凝结水消耗_0907炼油与开氏主要物料结算量2" xfId="4474"/>
    <cellStyle name="差_副产蒸汽、凝结水消耗_0908炼油与开氏主要物料结算量 2" xfId="4475"/>
    <cellStyle name="差_副产蒸汽、凝结水消耗_10月统计（111）平衡" xfId="4476"/>
    <cellStyle name="差_副产蒸汽、凝结水消耗_111 2" xfId="4477"/>
    <cellStyle name="差_副产蒸汽、凝结水消耗_fangting物料平衡填报表2009.9.30" xfId="4478"/>
    <cellStyle name="差_副产蒸汽、凝结水消耗_开氏物料表11月初稿" xfId="4479"/>
    <cellStyle name="差_副产蒸汽、凝结水消耗_开氏物料表11月初稿 2" xfId="4480"/>
    <cellStyle name="差_副产蒸汽、凝结水消耗_开氏物料表12月初稿 2" xfId="4481"/>
    <cellStyle name="差_副产蒸汽、凝结水消耗_开氏物料表7月 2" xfId="4482"/>
    <cellStyle name="差_副产蒸汽、凝结水消耗_开氏物料表8月" xfId="4483"/>
    <cellStyle name="差_副产蒸汽、凝结水消耗_开氏物料表8月 2" xfId="4484"/>
    <cellStyle name="差_各装置物料平衡表填报表090630 2" xfId="4485"/>
    <cellStyle name="差_公司2011年11月份化工三剂需求计划" xfId="4486"/>
    <cellStyle name="差_公司2011年12月份化工三剂需求计划" xfId="4487"/>
    <cellStyle name="差_公司2011年8月份化工三剂需求计划0716" xfId="4488"/>
    <cellStyle name="差_公司2012年02月份化工三剂需求计划" xfId="4489"/>
    <cellStyle name="差_公司2012年03月份化工三剂需求计划" xfId="4490"/>
    <cellStyle name="差_公司2012年04月份化工三剂需求计划" xfId="4491"/>
    <cellStyle name="差_还原数据090219" xfId="4492"/>
    <cellStyle name="差_还原数据090219_0907炼油与开氏主要物料结算量2" xfId="4493"/>
    <cellStyle name="差_还原数据090219_0907炼油与开氏主要物料结算量2 2" xfId="4494"/>
    <cellStyle name="差_还原数据090219_0908炼油与开氏主要物料结算量" xfId="4495"/>
    <cellStyle name="差_还原数据090219_0908炼油与开氏主要物料结算量 2" xfId="4496"/>
    <cellStyle name="差_还原数据090219_101" xfId="4497"/>
    <cellStyle name="差_还原数据090219_101 2" xfId="4498"/>
    <cellStyle name="差_还原数据090219_102" xfId="4499"/>
    <cellStyle name="差_还原数据090219_102 2" xfId="4500"/>
    <cellStyle name="差_还原数据090219_103-105单元物料平衡表09010(上报)" xfId="4501"/>
    <cellStyle name="差_还原数据090219_103-105单元物料平衡表09011(上报)" xfId="4502"/>
    <cellStyle name="差_还原数据090219_106" xfId="4503"/>
    <cellStyle name="差_还原数据090219_111" xfId="4504"/>
    <cellStyle name="差_还原数据090219_106 2" xfId="4505"/>
    <cellStyle name="差_还原数据090219_111 2" xfId="4506"/>
    <cellStyle name="差_还原数据090219_107装置物料平衡填报表2009(1).7.31" xfId="4507"/>
    <cellStyle name="差_生产订单收发货-ERP_物料平衡7月初稿3." xfId="4508"/>
    <cellStyle name="差_还原数据090219_107装置物料平衡填报表2009(1).7.31 2" xfId="4509"/>
    <cellStyle name="好_物料主数据模板_1.9_开氏物料表12月初稿" xfId="4510"/>
    <cellStyle name="差_还原数据090219_108单元物料平衡表" xfId="4511"/>
    <cellStyle name="好_物料主数据模板_1.9_开氏物料表12月初稿 2" xfId="4512"/>
    <cellStyle name="好_201107流程" xfId="4513"/>
    <cellStyle name="差_还原数据090219_108单元物料平衡表 2" xfId="4514"/>
    <cellStyle name="差_还原数据090219_110装置物料平衡表填报表1 2" xfId="4515"/>
    <cellStyle name="差_还原数据090219_112" xfId="4516"/>
    <cellStyle name="差_还原数据090219_112 2" xfId="4517"/>
    <cellStyle name="差_还原数据090219_113" xfId="4518"/>
    <cellStyle name="差_还原数据090219_113 2" xfId="4519"/>
    <cellStyle name="差_还原数据090219_114" xfId="4520"/>
    <cellStyle name="差_还原数据090219_5 月份物料平衡（107单元）" xfId="4521"/>
    <cellStyle name="差_还原数据090219_5 月份物料平衡（107单元） 2" xfId="4522"/>
    <cellStyle name="差_还原数据090219_fangting物料平衡填报表2009.9.30" xfId="4523"/>
    <cellStyle name="差_还原数据090219_各装置物料平衡表填报表090630 2" xfId="4524"/>
    <cellStyle name="差_还原数据090219_汇总" xfId="4525"/>
    <cellStyle name="差_还原数据090219_汇总 2" xfId="4526"/>
    <cellStyle name="差_还原数据090219_基础计算表" xfId="4527"/>
    <cellStyle name="汇总 8" xfId="4528"/>
    <cellStyle name="差_还原数据090219_开氏物料表12月初稿" xfId="4529"/>
    <cellStyle name="差_还原数据090219_开氏物料表12月初稿 2" xfId="4530"/>
    <cellStyle name="差_还原数据090219_开氏物料表1月初稿" xfId="4531"/>
    <cellStyle name="差_还原数据090219_开氏物料表1月初稿 2" xfId="4532"/>
    <cellStyle name="差_还原数据090219_开氏物料表8月" xfId="4533"/>
    <cellStyle name="差_还原数据090219_开氏物料表8月 2" xfId="4534"/>
    <cellStyle name="差_还原数据090219_物料平衡7月初稿3." xfId="4535"/>
    <cellStyle name="差_还原数据090219_物料平衡7月初稿3. 2" xfId="4536"/>
    <cellStyle name="好_还原数据090219_5 月份物料平衡（107单元）" xfId="4537"/>
    <cellStyle name="差_还原数据090219_物料平衡8月初稿." xfId="4538"/>
    <cellStyle name="好_还原数据090219_5 月份物料平衡（107单元） 2" xfId="4539"/>
    <cellStyle name="差_还原数据090219_物料平衡8月初稿. 2" xfId="4540"/>
    <cellStyle name="差_还原数据090219_周报2009.9.18" xfId="4541"/>
    <cellStyle name="差_还原数据090219_周计划表20091112" xfId="4542"/>
    <cellStyle name="差_还原数据090219_周计划表20091230" xfId="4543"/>
    <cellStyle name="差_化验2012年第四季度试剂计划-2012.9.11" xfId="4544"/>
    <cellStyle name="差_化验2012年第四季度试剂计划-2012.9.11 2" xfId="4545"/>
    <cellStyle name="差_汇总 2" xfId="4546"/>
    <cellStyle name="差_惠炼BOM（20081219）" xfId="4547"/>
    <cellStyle name="差_惠炼BOM（20081219）_109装置物料平衡填报表2009(1).7.31" xfId="4548"/>
    <cellStyle name="差_惠炼BOM（20081219） 2" xfId="4549"/>
    <cellStyle name="差_惠炼BOM（20081219）_0907炼油与开氏主要物料结算量2" xfId="4550"/>
    <cellStyle name="差_惠炼BOM（20081219）_0907炼油与开氏主要物料结算量2 2" xfId="4551"/>
    <cellStyle name="差_惠炼BOM（20081219）_0908炼油与开氏主要物料结算量" xfId="4552"/>
    <cellStyle name="差_惠炼BOM（20081219）_0908炼油与开氏主要物料结算量 2" xfId="4553"/>
    <cellStyle name="差_惠炼BOM（20081219）_103-105" xfId="4554"/>
    <cellStyle name="差_惠炼BOM（20081219）_103-105 2" xfId="4555"/>
    <cellStyle name="差_惠炼BOM（20081219）_103-105单元物料平衡表09011(上报)" xfId="4556"/>
    <cellStyle name="差_惠炼BOM（20081219）_103-105单元物料平衡表09011(上报) 2" xfId="4557"/>
    <cellStyle name="差_惠炼BOM（20081219）_104单元（0910）" xfId="4558"/>
    <cellStyle name="差_惠炼BOM（20081219）_104单元（0910） 2" xfId="4559"/>
    <cellStyle name="差_惠炼BOM（20081219）_108单元物料平衡表 2" xfId="4560"/>
    <cellStyle name="差_惠炼BOM（20081219）_109装置物料平衡填报表2009(1).7.31 2" xfId="4561"/>
    <cellStyle name="差_惠炼BOM（20081219）_10月统计（111）平衡" xfId="4562"/>
    <cellStyle name="差_惠炼BOM（20081219）_10月统计（111）平衡 2" xfId="4563"/>
    <cellStyle name="差_惠炼BOM（20081219）_110装置物料平衡表填报表1" xfId="4564"/>
    <cellStyle name="差_惠炼BOM（20081219）_114" xfId="4565"/>
    <cellStyle name="差_惠炼BOM（20081219）_fangting物料平衡填报表2009.9.30" xfId="4566"/>
    <cellStyle name="差_惠炼BOM（20081219）_fangting物料平衡填报表2009.9.30 2" xfId="4567"/>
    <cellStyle name="差_惠炼BOM（20081219）_各装置物料平衡表填报表090630" xfId="4568"/>
    <cellStyle name="差_惠炼BOM（20081219）_各装置物料平衡表填报表090630 2" xfId="4569"/>
    <cellStyle name="差_惠炼BOM（20081219）_汇总" xfId="4570"/>
    <cellStyle name="差_惠炼BOM（20081219）_开氏物料表11月初稿 2" xfId="4571"/>
    <cellStyle name="差_惠炼BOM（20081219）_开氏物料表1月初稿" xfId="4572"/>
    <cellStyle name="差_惠炼BOM（20081219）_开氏物料表1月初稿 2" xfId="4573"/>
    <cellStyle name="差_物料平衡表-实际0904-1_fangting物料平衡填报表2009.9.30 2" xfId="4574"/>
    <cellStyle name="差_惠炼BOM（20081219）_开氏物料表7月" xfId="4575"/>
    <cellStyle name="差_惠炼BOM（20081219）_开氏物料表7月 2" xfId="4576"/>
    <cellStyle name="差_惠炼BOM（20081219）_开氏物料表9月初稿" xfId="4577"/>
    <cellStyle name="差_惠炼BOM（20081219）_物料平衡8月初稿." xfId="4578"/>
    <cellStyle name="好_惠炼BOM（20081219）_0907炼油与开氏主要物料结算量2" xfId="4579"/>
    <cellStyle name="差_惠炼BOM（20081219）_物料平衡8月初稿. 2" xfId="4580"/>
    <cellStyle name="差_惠炼BOM（20081219）_周计划表20091112" xfId="4581"/>
    <cellStyle name="差_惠炼BOM（20081219）_周计划表20091230" xfId="4582"/>
    <cellStyle name="差_惠炼炼油计划201206月度计划-101万吨-20120525-混苯产0.6万吨-预销售对接后-20120525" xfId="4583"/>
    <cellStyle name="差_惠炼炼油计划201208月度计划-103万吨-20120727（接受TX0.5万吨）" xfId="4584"/>
    <cellStyle name="好_108单元物料平衡表 2" xfId="4585"/>
    <cellStyle name="差_惠炼炼油计划201209月度计划-99+2万吨-20120827（接受TX0.5万吨，尾油2万吨）-内部对接" xfId="4586"/>
    <cellStyle name="差_基础计算表" xfId="4587"/>
    <cellStyle name="好_还原数据090219 2" xfId="4588"/>
    <cellStyle name="差_开氏物料表11月初稿" xfId="4589"/>
    <cellStyle name="差_开氏物料表11月初稿 2" xfId="4590"/>
    <cellStyle name="差_开氏物料表12月初稿 2" xfId="4591"/>
    <cellStyle name="差_开氏物料表1月初稿" xfId="4592"/>
    <cellStyle name="差_开氏物料表1月初稿 2" xfId="4593"/>
    <cellStyle name="差_开氏物料表8月" xfId="4594"/>
    <cellStyle name="差_开氏物料表8月 2" xfId="4595"/>
    <cellStyle name="差_开氏物料销售记录 2" xfId="4596"/>
    <cellStyle name="差_生产订单收发货-ERP_~4907560" xfId="4597"/>
    <cellStyle name="常规 4 2" xfId="4598"/>
    <cellStyle name="差_生产订单收发货-ERP_0907炼油与开氏主要物料结算量2" xfId="4599"/>
    <cellStyle name="差_生产订单收发货-ERP_0907炼油与开氏主要物料结算量2 2" xfId="4600"/>
    <cellStyle name="好_开氏物料表8月" xfId="4601"/>
    <cellStyle name="差_生产订单收发货-ERP_0908炼油与开氏主要物料结算量" xfId="4602"/>
    <cellStyle name="强调文字颜色 5 14" xfId="4603"/>
    <cellStyle name="好_开氏物料表8月 2" xfId="4604"/>
    <cellStyle name="差_生产订单收发货-ERP_0908炼油与开氏主要物料结算量 2" xfId="4605"/>
    <cellStyle name="差_生产订单收发货-ERP_10月统计（111）平衡" xfId="4606"/>
    <cellStyle name="差_生产订单收发货-ERP_10月统计（111）平衡 2" xfId="4607"/>
    <cellStyle name="差_生产订单收发货-ERP_111 2" xfId="4608"/>
    <cellStyle name="差_生产订单收发货-ERP_fangting物料平衡填报表2009.9.30" xfId="4609"/>
    <cellStyle name="差_生产订单收发货-ERP_fangting物料平衡填报表2009.9.30 2" xfId="4610"/>
    <cellStyle name="差_生产订单收发货-ERP_基础计算表" xfId="4611"/>
    <cellStyle name="差_生产订单收发货-ERP_开氏物料表11月初稿" xfId="4612"/>
    <cellStyle name="差_生产订单收发货-ERP_开氏物料表12月初稿" xfId="4613"/>
    <cellStyle name="差_生产订单收发货-ERP_开氏物料表12月初稿 2" xfId="4614"/>
    <cellStyle name="差_生产订单收发货-ERP_开氏物料表1月初稿" xfId="4615"/>
    <cellStyle name="差_生产订单收发货-ERP_开氏物料表7月" xfId="4616"/>
    <cellStyle name="差_生产订单收发货-ERP_开氏物料表7月 2" xfId="4617"/>
    <cellStyle name="差_生产订单收发货-ERP_开氏物料表9月初稿" xfId="4618"/>
    <cellStyle name="差_生产订单收发货-ERP_开氏物料表9月初稿 2" xfId="4619"/>
    <cellStyle name="差_生产订单收发货-ERP_物料平衡7月初稿3. 2" xfId="4620"/>
    <cellStyle name="差_生产订单收发货-ERP_物料平衡8月初稿." xfId="4621"/>
    <cellStyle name="差_生产订单收发货-ERP_物料平衡8月初稿. 2" xfId="4622"/>
    <cellStyle name="差_物料" xfId="4623"/>
    <cellStyle name="差_物料_~4907560" xfId="4624"/>
    <cellStyle name="差_物料_~4907560 2" xfId="4625"/>
    <cellStyle name="差_物料_0907炼油与开氏主要物料结算量2 2" xfId="4626"/>
    <cellStyle name="差_物料_111" xfId="4627"/>
    <cellStyle name="解释性文本 4" xfId="4628"/>
    <cellStyle name="差_物料_111 2" xfId="4629"/>
    <cellStyle name="差_物料_fangting物料平衡填报表2009.9.30" xfId="4630"/>
    <cellStyle name="差_物料_开氏物料表12月初稿 2" xfId="4631"/>
    <cellStyle name="差_物料_开氏物料表7月" xfId="4632"/>
    <cellStyle name="差_物料_开氏物料表7月 2" xfId="4633"/>
    <cellStyle name="差_物料_物料平衡7月初稿3." xfId="4634"/>
    <cellStyle name="差_物料_物料平衡7月初稿3. 2" xfId="4635"/>
    <cellStyle name="差_物料_物料平衡8月初稿." xfId="4636"/>
    <cellStyle name="差_物料_物料平衡8月初稿. 2" xfId="4637"/>
    <cellStyle name="差_物料平衡7月初稿3." xfId="4638"/>
    <cellStyle name="差_物料平衡7月初稿3. 2" xfId="4639"/>
    <cellStyle name="好_还原数据090219_物料平衡7月初稿3. 2" xfId="4640"/>
    <cellStyle name="差_物料平衡8月初稿." xfId="4641"/>
    <cellStyle name="差_物料平衡8月初稿. 2" xfId="4642"/>
    <cellStyle name="差_物料平衡表-实际0904-1" xfId="4643"/>
    <cellStyle name="差_物料平衡表-实际0904-1 2" xfId="4644"/>
    <cellStyle name="差_物料平衡表-实际0904-1_~4907560" xfId="4645"/>
    <cellStyle name="差_物料平衡表-实际0904-1_~4907560 2" xfId="4646"/>
    <cellStyle name="差_物料平衡表-实际0904-1_0907炼油与开氏主要物料结算量2" xfId="4647"/>
    <cellStyle name="差_物料平衡表-实际0904-1_0907炼油与开氏主要物料结算量2 2" xfId="4648"/>
    <cellStyle name="差_物料平衡表-实际0904-1_10月统计（111）平衡" xfId="4649"/>
    <cellStyle name="差_物料平衡表-实际0904-1_111" xfId="4650"/>
    <cellStyle name="差_物料平衡表-实际0904-1_111 2" xfId="4651"/>
    <cellStyle name="差_物料平衡表-实际0904-1_fangting物料平衡填报表2009.9.30" xfId="4652"/>
    <cellStyle name="差_物料平衡表-实际0904-1_基础计算表" xfId="4653"/>
    <cellStyle name="差_物料平衡表-实际0904-1_开氏物料表11月初稿" xfId="4654"/>
    <cellStyle name="差_物料平衡表-实际0904-1_开氏物料表11月初稿 2" xfId="4655"/>
    <cellStyle name="差_物料平衡表-实际0904-1_开氏物料表1月初稿" xfId="4656"/>
    <cellStyle name="差_物料平衡表-实际0904-1_开氏物料表1月初稿 2" xfId="4657"/>
    <cellStyle name="差_物料平衡表-实际0904-1_开氏物料表7月 2" xfId="4658"/>
    <cellStyle name="差_物料平衡表-实际0904-1_开氏物料表9月初稿" xfId="4659"/>
    <cellStyle name="差_物料平衡表-实际0904-1_开氏物料表9月初稿 2" xfId="4660"/>
    <cellStyle name="差_物料平衡表-实际0904-1_物料平衡7月初稿3." xfId="4661"/>
    <cellStyle name="差_物料平衡表-实际0904-1_物料平衡8月初稿." xfId="4662"/>
    <cellStyle name="差_物料主数据模板_1.9" xfId="4663"/>
    <cellStyle name="差_物料主数据模板_1.9 2" xfId="4664"/>
    <cellStyle name="差_物料主数据模板_1.9_0907炼油与开氏主要物料结算量2" xfId="4665"/>
    <cellStyle name="差_物料主数据模板_1.9_0907炼油与开氏主要物料结算量2 2" xfId="4666"/>
    <cellStyle name="差_物料主数据模板_1.9_0908炼油与开氏主要物料结算量" xfId="4667"/>
    <cellStyle name="差_物料主数据模板_1.9_0908炼油与开氏主要物料结算量 2" xfId="4668"/>
    <cellStyle name="好_物料主数据模板_1.9_103-105单元物料平衡表09010(上报)" xfId="4669"/>
    <cellStyle name="差_物料主数据模板_1.9_101" xfId="4670"/>
    <cellStyle name="差_物料主数据模板_1.9_103-105单元物料平衡表09010(上报)" xfId="4671"/>
    <cellStyle name="差_物料主数据模板_1.9_103-105单元物料平衡表09010(上报) 2" xfId="4672"/>
    <cellStyle name="差_物料主数据模板_1.9_103-105单元物料平衡表09011(上报)" xfId="4673"/>
    <cellStyle name="差_物料主数据模板_1.9_103-105单元物料平衡表09011(上报) 2" xfId="4674"/>
    <cellStyle name="差_物料主数据模板_1.9_104单元（0910）" xfId="4675"/>
    <cellStyle name="差_物料主数据模板_1.9_104单元（0910） 2" xfId="4676"/>
    <cellStyle name="强调文字颜色 4 2" xfId="4677"/>
    <cellStyle name="差_物料主数据模板_1.9_111 2" xfId="4678"/>
    <cellStyle name="差_物料主数据模板_1.9_106 2" xfId="4679"/>
    <cellStyle name="差_物料主数据模板_1.9_107装置物料平衡填报表2009(1).7.31" xfId="4680"/>
    <cellStyle name="差_物料主数据模板_1.9_107装置物料平衡填报表2009(1).7.31 2" xfId="4681"/>
    <cellStyle name="差_物料主数据模板_1.9_108单元物料平衡表" xfId="4682"/>
    <cellStyle name="差_物料主数据模板_1.9_108单元物料平衡表 2" xfId="4683"/>
    <cellStyle name="差_物料主数据模板_1.9_10月统计（111）平衡" xfId="4684"/>
    <cellStyle name="差_物料主数据模板_1.9_1-1" xfId="4685"/>
    <cellStyle name="强调文字颜色 3 2" xfId="4686"/>
    <cellStyle name="差_物料主数据模板_1.9_110 2" xfId="4687"/>
    <cellStyle name="差_物料主数据模板_1.9_110装置物料平衡表填报表1" xfId="4688"/>
    <cellStyle name="差_物料主数据模板_1.9_110装置物料平衡表填报表1 2" xfId="4689"/>
    <cellStyle name="强调文字颜色 6 2" xfId="4690"/>
    <cellStyle name="差_物料主数据模板_1.9_113 2" xfId="4691"/>
    <cellStyle name="差_物料主数据模板_1.9_114" xfId="4692"/>
    <cellStyle name="差_物料主数据模板_1.9_114 2" xfId="4693"/>
    <cellStyle name="差_物料主数据模板_1.9_201011" xfId="4694"/>
    <cellStyle name="差_物料主数据模板_1.9_201011 2" xfId="4695"/>
    <cellStyle name="差_物料主数据模板_1.9_5 月份物料平衡（107单元） 2" xfId="4696"/>
    <cellStyle name="差_物料主数据模板_1.9_fangting物料平衡填报表2009.9.30" xfId="4697"/>
    <cellStyle name="差_物料主数据模板_1.9_fangting物料平衡填报表2009.9.30 2" xfId="4698"/>
    <cellStyle name="差_物料主数据模板_1.9_Sheet1" xfId="4699"/>
    <cellStyle name="差_物料主数据模板_1.9_各装置物料平衡表填报表090630" xfId="4700"/>
    <cellStyle name="差_物料主数据模板_1.9_各装置物料平衡表填报表090630 2" xfId="4701"/>
    <cellStyle name="强调文字颜色 1 15" xfId="4702"/>
    <cellStyle name="差_物料主数据模板_1.9_基础计算表" xfId="4703"/>
    <cellStyle name="差_物料主数据模板_1.9_开氏物料表11月初稿 2" xfId="4704"/>
    <cellStyle name="差_物料主数据模板_1.9_开氏物料表12月初稿" xfId="4705"/>
    <cellStyle name="差_物料主数据模板_1.9_开氏物料表1月初稿 2" xfId="4706"/>
    <cellStyle name="差_物料主数据模板_1.9_开氏物料表7月" xfId="4707"/>
    <cellStyle name="差_物料主数据模板_1.9_开氏物料表7月 2" xfId="4708"/>
    <cellStyle name="差_物料主数据模板_1.9_开氏物料表8月" xfId="4709"/>
    <cellStyle name="差_物料主数据模板_1.9_开氏物料表8月 2" xfId="4710"/>
    <cellStyle name="差_物料主数据模板_1.9_开氏物料表9月初稿" xfId="4711"/>
    <cellStyle name="差_物料主数据模板_1.9_开氏物料表9月初稿 2" xfId="4712"/>
    <cellStyle name="差_物料主数据模板_1.9_物料平衡7月初稿3." xfId="4713"/>
    <cellStyle name="差_物料主数据模板_1.9_物料平衡7月初稿3. 2" xfId="4714"/>
    <cellStyle name="差_物料主数据模板_1.9_物料平衡8月初稿." xfId="4715"/>
    <cellStyle name="差_物料主数据模板_1.9_物料平衡8月初稿. 2" xfId="4716"/>
    <cellStyle name="差_物料主数据模板_1.9_周报2009.9.18" xfId="4717"/>
    <cellStyle name="差_物料主数据模板_1.9_周计划" xfId="4718"/>
    <cellStyle name="差_物料主数据模板_1.9_周计划表20091112" xfId="4719"/>
    <cellStyle name="差_物料主数据模板_1.9_周计划表20091230" xfId="4720"/>
    <cellStyle name="差_周计划表20091112" xfId="4721"/>
    <cellStyle name="好_还原数据090219_各装置物料平衡表填报表090630 2" xfId="4722"/>
    <cellStyle name="好 10" xfId="4723"/>
    <cellStyle name="常规 2" xfId="4724"/>
    <cellStyle name="常规 2 2" xfId="4725"/>
    <cellStyle name="常规 2 2 2" xfId="4726"/>
    <cellStyle name="常规 2 3" xfId="4727"/>
    <cellStyle name="常规 2 4" xfId="4728"/>
    <cellStyle name="常规 3 2" xfId="4729"/>
    <cellStyle name="常规 3 3" xfId="4730"/>
    <cellStyle name="常规 3 4" xfId="4731"/>
    <cellStyle name="注释 11" xfId="4732"/>
    <cellStyle name="好 12" xfId="4733"/>
    <cellStyle name="常规 4" xfId="4734"/>
    <cellStyle name="注释 12" xfId="4735"/>
    <cellStyle name="好 13" xfId="4736"/>
    <cellStyle name="常规 5" xfId="4737"/>
    <cellStyle name="常规 5 2" xfId="4738"/>
    <cellStyle name="常规 5 3" xfId="4739"/>
    <cellStyle name="注释 13" xfId="4740"/>
    <cellStyle name="好 14" xfId="4741"/>
    <cellStyle name="常规 6" xfId="4742"/>
    <cellStyle name="常规 6 2" xfId="4743"/>
    <cellStyle name="常规 61" xfId="4744"/>
    <cellStyle name="注释 14" xfId="4745"/>
    <cellStyle name="好 15" xfId="4746"/>
    <cellStyle name="常规 7" xfId="4747"/>
    <cellStyle name="常规 7 2" xfId="4748"/>
    <cellStyle name="注释 15" xfId="4749"/>
    <cellStyle name="常规 8" xfId="4750"/>
    <cellStyle name="常规 9" xfId="4751"/>
    <cellStyle name="常规 9 2 2 2" xfId="4752"/>
    <cellStyle name="常规 9 2 3" xfId="4753"/>
    <cellStyle name="常规 9 3 2" xfId="4754"/>
    <cellStyle name="常规_201204生产计划" xfId="4755"/>
    <cellStyle name="常规_201204生产经营计划说明" xfId="4756"/>
    <cellStyle name="常规_Book1_1" xfId="4757"/>
    <cellStyle name="常规_产销存统计表（2010）" xfId="4758"/>
    <cellStyle name="常规_惠州炼油与中海开氏之间关联交易结算协议附表修改" xfId="4759"/>
    <cellStyle name="普通-08弃井井身" xfId="4760"/>
    <cellStyle name="常规_基础计算表" xfId="4761"/>
    <cellStyle name="常规_炼油分公司会计报表0907" xfId="4762"/>
    <cellStyle name="常规_物料平衡表" xfId="4763"/>
    <cellStyle name="常规_中海开氏试车损益测算表200907" xfId="4764"/>
    <cellStyle name="超级链接 2" xfId="4765"/>
    <cellStyle name="超連結 2" xfId="4766"/>
    <cellStyle name="好_物料主数据模板_1.9_周计划表20091112" xfId="4767"/>
    <cellStyle name="分级显示行_3_2004年总公司生产建设计划-油田服务公司" xfId="4768"/>
    <cellStyle name="分级显示列_1_各种费用空表" xfId="4769"/>
    <cellStyle name="好 2" xfId="4770"/>
    <cellStyle name="好 3" xfId="4771"/>
    <cellStyle name="好 4" xfId="4772"/>
    <cellStyle name="好 5" xfId="4773"/>
    <cellStyle name="好 6" xfId="4774"/>
    <cellStyle name="好 7" xfId="4775"/>
    <cellStyle name="好 8" xfId="4776"/>
    <cellStyle name="好 9" xfId="4777"/>
    <cellStyle name="好_~4907560" xfId="4778"/>
    <cellStyle name="好_~4907560 2" xfId="4779"/>
    <cellStyle name="好_0907炼油与开氏主要物料结算量2" xfId="4780"/>
    <cellStyle name="好_0908炼油与开氏主要物料结算量" xfId="4781"/>
    <cellStyle name="好_0908炼油与开氏主要物料结算量 2" xfId="4782"/>
    <cellStyle name="输入 7" xfId="4783"/>
    <cellStyle name="好_102" xfId="4784"/>
    <cellStyle name="注释 3" xfId="4785"/>
    <cellStyle name="好_102 2" xfId="4786"/>
    <cellStyle name="好_103-105" xfId="4787"/>
    <cellStyle name="好_103-105单元物料平衡表09010(上报)" xfId="4788"/>
    <cellStyle name="好_103-105单元物料平衡表09011(上报)" xfId="4789"/>
    <cellStyle name="好_103-105单元物料平衡表09011(上报) 2" xfId="4790"/>
    <cellStyle name="好_物料主数据模板_1.9_111 2" xfId="4791"/>
    <cellStyle name="好_物料主数据模板_1.9_106 2" xfId="4792"/>
    <cellStyle name="好_104单元（0910） 2" xfId="4793"/>
    <cellStyle name="好_111 2" xfId="4794"/>
    <cellStyle name="好_106 2" xfId="4795"/>
    <cellStyle name="好_物料_开氏物料表7月 2" xfId="4796"/>
    <cellStyle name="好_108单元物料平衡表" xfId="4797"/>
    <cellStyle name="好_10月份综合计划" xfId="4798"/>
    <cellStyle name="好_10月统计（111）平衡" xfId="4799"/>
    <cellStyle name="好_10月统计（111）平衡 2" xfId="4800"/>
    <cellStyle name="好_1-1" xfId="4801"/>
    <cellStyle name="好_110" xfId="4802"/>
    <cellStyle name="好_110 2" xfId="4803"/>
    <cellStyle name="好_110装置物料平衡表填报表1" xfId="4804"/>
    <cellStyle name="好_112" xfId="4805"/>
    <cellStyle name="好_112 2" xfId="4806"/>
    <cellStyle name="好_113" xfId="4807"/>
    <cellStyle name="好_113 2" xfId="4808"/>
    <cellStyle name="好_114" xfId="4809"/>
    <cellStyle name="好_114 2" xfId="4810"/>
    <cellStyle name="好_201011" xfId="4811"/>
    <cellStyle name="好_201103流程" xfId="4812"/>
    <cellStyle name="好_201104流程" xfId="4813"/>
    <cellStyle name="好_惠炼BOM（20081219）_112" xfId="4814"/>
    <cellStyle name="好_201105" xfId="4815"/>
    <cellStyle name="好_201106流程xls" xfId="4816"/>
    <cellStyle name="好_201109计划" xfId="4817"/>
    <cellStyle name="好_2011年7月份化工三剂需求表--技术中心" xfId="4818"/>
    <cellStyle name="好_还原数据090219_103-105 2" xfId="4819"/>
    <cellStyle name="好_201204生产计划" xfId="4820"/>
    <cellStyle name="好_201204生产经营计划说明" xfId="4821"/>
    <cellStyle name="好_2012年10月生产计划-102万吨(柴油方案)-与炼化部对接后修改20120928" xfId="4822"/>
    <cellStyle name="好_2012年11月生产计划-99万吨-尾油2.0-20121025与炼化部讨论修改" xfId="4823"/>
    <cellStyle name="好_2012年6月计划及预计" xfId="4824"/>
    <cellStyle name="好_2013年11月生产计划-100万吨-20131017" xfId="4825"/>
    <cellStyle name="好_2013年2月生产计划-93万吨-对接后20130125" xfId="4826"/>
    <cellStyle name="好_2013年6月生产计划-100万吨-尾油2.1万吨-20130526-与炼销部对接后-不接受TX" xfId="4827"/>
    <cellStyle name="好_2013年7月生产计划-103万吨-尾油2.8万吨-对接后-20130627（反冲洗6.27开始）" xfId="4828"/>
    <cellStyle name="好_2013年8月生产计划-103万吨-20130715（本月反冲洗1次）" xfId="4829"/>
    <cellStyle name="好_5 月份物料平衡（107单元） 2" xfId="4830"/>
    <cellStyle name="好_7月份计划" xfId="4831"/>
    <cellStyle name="好_liucheng" xfId="4832"/>
    <cellStyle name="好_MES-ERP编码对应" xfId="4833"/>
    <cellStyle name="计算 7" xfId="4834"/>
    <cellStyle name="好_MES-ERP编码对应_~4907560 2" xfId="4835"/>
    <cellStyle name="好_MES-ERP编码对应_0907炼油与开氏主要物料结算量2" xfId="4836"/>
    <cellStyle name="好_生产订单收发货-ERP_fangting物料平衡填报表2009.9.30" xfId="4837"/>
    <cellStyle name="好_MES-ERP编码对应_10月统计（111）平衡" xfId="4838"/>
    <cellStyle name="好_生产订单收发货-ERP_fangting物料平衡填报表2009.9.30 2" xfId="4839"/>
    <cellStyle name="好_MES-ERP编码对应_10月统计（111）平衡 2" xfId="4840"/>
    <cellStyle name="好_MES-ERP编码对应_111 2" xfId="4841"/>
    <cellStyle name="好_MES-ERP编码对应_fangting物料平衡填报表2009.9.30" xfId="4842"/>
    <cellStyle name="好_MES-ERP编码对应_fangting物料平衡填报表2009.9.30 2" xfId="4843"/>
    <cellStyle name="好_MES-ERP编码对应_基础计算表" xfId="4844"/>
    <cellStyle name="好_MES-ERP编码对应_开氏物料表12月初稿 2" xfId="4845"/>
    <cellStyle name="好_MES-ERP编码对应_开氏物料表7月" xfId="4846"/>
    <cellStyle name="好_MES-ERP编码对应_开氏物料表7月 2" xfId="4847"/>
    <cellStyle name="好_MES-ERP编码对应_开氏物料表8月 2" xfId="4848"/>
    <cellStyle name="好_物料主数据模板_1.9_201011" xfId="4849"/>
    <cellStyle name="好_MES-ERP编码对应_开氏物料表9月初稿" xfId="4850"/>
    <cellStyle name="好_物料主数据模板_1.9_201011 2" xfId="4851"/>
    <cellStyle name="好_MES-ERP编码对应_开氏物料表9月初稿 2" xfId="4852"/>
    <cellStyle name="好_MES-ERP编码对应_物料平衡7月初稿3." xfId="4853"/>
    <cellStyle name="好_MES-ERP编码对应_物料平衡7月初稿3. 2" xfId="4854"/>
    <cellStyle name="好_MES-ERP编码对应_物料平衡8月初稿." xfId="4855"/>
    <cellStyle name="好_物料主数据模板_1.9_~4907560" xfId="4856"/>
    <cellStyle name="好_MES-ERP编码对应_物料平衡8月初稿. 2" xfId="4857"/>
    <cellStyle name="好_mock生产订单收发货（导入版）_~4907560" xfId="4858"/>
    <cellStyle name="好_mock生产订单收发货（导入版）_~4907560 2" xfId="4859"/>
    <cellStyle name="好_mock生产订单收发货（导入版）_0907炼油与开氏主要物料结算量2" xfId="4860"/>
    <cellStyle name="好_mock生产订单收发货（导入版）_0908炼油与开氏主要物料结算量 2" xfId="4861"/>
    <cellStyle name="好_mock生产订单收发货（导入版）_101 2" xfId="4862"/>
    <cellStyle name="好_mock生产订单收发货（导入版）_103-105" xfId="4863"/>
    <cellStyle name="好_mock生产订单收发货（导入版）_103-105 2" xfId="4864"/>
    <cellStyle name="好_mock生产订单收发货（导入版）_103-105单元物料平衡表09010(上报)" xfId="4865"/>
    <cellStyle name="好_mock生产订单收发货（导入版）_103-105单元物料平衡表09011(上报)" xfId="4866"/>
    <cellStyle name="好_mock生产订单收发货（导入版）_103-105单元物料平衡表09011(上报) 2" xfId="4867"/>
    <cellStyle name="链接单元格 12" xfId="4868"/>
    <cellStyle name="好_mock生产订单收发货（导入版）_104单元（0910）" xfId="4869"/>
    <cellStyle name="好_mock生产订单收发货（导入版）_104单元（0910） 2" xfId="4870"/>
    <cellStyle name="好_mock生产订单收发货（导入版）_111" xfId="4871"/>
    <cellStyle name="好_mock生产订单收发货（导入版）_106" xfId="4872"/>
    <cellStyle name="好_mock生产订单收发货（导入版）_111 2" xfId="4873"/>
    <cellStyle name="好_mock生产订单收发货（导入版）_106 2" xfId="4874"/>
    <cellStyle name="好_mock生产订单收发货（导入版）_107装置物料平衡填报表2009(1).7.31" xfId="4875"/>
    <cellStyle name="好_mock生产订单收发货（导入版）_107装置物料平衡填报表2009(1).7.31 2" xfId="4876"/>
    <cellStyle name="适中 11" xfId="4877"/>
    <cellStyle name="好_mock生产订单收发货（导入版）_109装置物料平衡填报表2009(1).7.31" xfId="4878"/>
    <cellStyle name="好_mock生产订单收发货（导入版）_109装置物料平衡填报表2009(1).7.31 2" xfId="4879"/>
    <cellStyle name="好_mock生产订单收发货（导入版）_10月统计（111）平衡" xfId="4880"/>
    <cellStyle name="好_mock生产订单收发货（导入版）_10月统计（111）平衡 2" xfId="4881"/>
    <cellStyle name="好_mock生产订单收发货（导入版）_110" xfId="4882"/>
    <cellStyle name="好_mock生产订单收发货（导入版）_110 2" xfId="4883"/>
    <cellStyle name="好_mock生产订单收发货（导入版）_110装置物料平衡表填报表1" xfId="4884"/>
    <cellStyle name="好_mock生产订单收发货（导入版）_110装置物料平衡表填报表1 2" xfId="4885"/>
    <cellStyle name="好_mock生产订单收发货（导入版）_112" xfId="4886"/>
    <cellStyle name="好_mock生产订单收发货（导入版）_112 2" xfId="4887"/>
    <cellStyle name="好_mock生产订单收发货（导入版）_113" xfId="4888"/>
    <cellStyle name="好_mock生产订单收发货（导入版）_113 2" xfId="4889"/>
    <cellStyle name="好_mock生产订单收发货（导入版）_114" xfId="4890"/>
    <cellStyle name="好_mock生产订单收发货（导入版）_114 2" xfId="4891"/>
    <cellStyle name="好_mock生产订单收发货（导入版）_5 月份物料平衡（107单元）" xfId="4892"/>
    <cellStyle name="好_mock生产订单收发货（导入版）_5 月份物料平衡（107单元） 2" xfId="4893"/>
    <cellStyle name="好_mock生产订单收发货（导入版）_Sheet1" xfId="4894"/>
    <cellStyle name="好_mock生产订单收发货（导入版）_各装置物料平衡表填报表090630" xfId="4895"/>
    <cellStyle name="好_mock生产订单收发货（导入版）_各装置物料平衡表填报表090630 2" xfId="4896"/>
    <cellStyle name="好_mock生产订单收发货（导入版）_汇总" xfId="4897"/>
    <cellStyle name="好_mock生产订单收发货（导入版）_汇总 2" xfId="4898"/>
    <cellStyle name="好_mock生产订单收发货（导入版）_基础计算表" xfId="4899"/>
    <cellStyle name="好_mock生产订单收发货（导入版）_开氏物料表11月初稿" xfId="4900"/>
    <cellStyle name="好_mock生产订单收发货（导入版）_开氏物料表11月初稿 2" xfId="4901"/>
    <cellStyle name="好_mock生产订单收发货（导入版）_开氏物料表12月初稿" xfId="4902"/>
    <cellStyle name="好_mock生产订单收发货（导入版）_开氏物料表12月初稿 2" xfId="4903"/>
    <cellStyle name="好_mock生产订单收发货（导入版）_开氏物料表1月初稿 2" xfId="4904"/>
    <cellStyle name="好_mock生产订单收发货（导入版）_开氏物料表7月" xfId="4905"/>
    <cellStyle name="好_mock生产订单收发货（导入版）_开氏物料表7月 2" xfId="4906"/>
    <cellStyle name="好_mock生产订单收发货（导入版）_开氏物料表9月初稿" xfId="4907"/>
    <cellStyle name="好_mock生产订单收发货（导入版）_开氏物料表9月初稿 2" xfId="4908"/>
    <cellStyle name="好_mock生产订单收发货（导入版）_物料平衡7月初稿3. 2" xfId="4909"/>
    <cellStyle name="好_mock生产订单收发货（导入版）_物料平衡8月初稿." xfId="4910"/>
    <cellStyle name="好_mock生产订单收发货（导入版）_物料平衡8月初稿. 2" xfId="4911"/>
    <cellStyle name="好_mock生产订单收发货（导入版）_周报2009.9.18" xfId="4912"/>
    <cellStyle name="好_mock生产订单收发货（导入版）_周计划表20091230" xfId="4913"/>
    <cellStyle name="好_报表表样" xfId="4914"/>
    <cellStyle name="好_到港原油采购成本预算表-2012年4月(20120327)" xfId="4915"/>
    <cellStyle name="普通-03锚泊定位" xfId="4916"/>
    <cellStyle name="好_副产蒸汽、凝结水消耗_~4907560" xfId="4917"/>
    <cellStyle name="好_副产蒸汽、凝结水消耗_~4907560 2" xfId="4918"/>
    <cellStyle name="好_副产蒸汽、凝结水消耗_0908炼油与开氏主要物料结算量" xfId="4919"/>
    <cellStyle name="好_副产蒸汽、凝结水消耗_10月统计（111）平衡" xfId="4920"/>
    <cellStyle name="强调文字颜色 3 10" xfId="4921"/>
    <cellStyle name="好_副产蒸汽、凝结水消耗_10月统计（111）平衡 2" xfId="4922"/>
    <cellStyle name="好_副产蒸汽、凝结水消耗_111" xfId="4923"/>
    <cellStyle name="好_副产蒸汽、凝结水消耗_111 2" xfId="4924"/>
    <cellStyle name="好_副产蒸汽、凝结水消耗_fangting物料平衡填报表2009.9.30" xfId="4925"/>
    <cellStyle name="好_副产蒸汽、凝结水消耗_fangting物料平衡填报表2009.9.30 2" xfId="4926"/>
    <cellStyle name="好_副产蒸汽、凝结水消耗_基础计算表" xfId="4927"/>
    <cellStyle name="好_副产蒸汽、凝结水消耗_开氏物料表11月初稿" xfId="4928"/>
    <cellStyle name="好_副产蒸汽、凝结水消耗_开氏物料表11月初稿 2" xfId="4929"/>
    <cellStyle name="好_副产蒸汽、凝结水消耗_开氏物料表12月初稿 2" xfId="4930"/>
    <cellStyle name="好_副产蒸汽、凝结水消耗_开氏物料表7月" xfId="4931"/>
    <cellStyle name="好_副产蒸汽、凝结水消耗_开氏物料表7月 2" xfId="4932"/>
    <cellStyle name="好_副产蒸汽、凝结水消耗_开氏物料表9月初稿" xfId="4933"/>
    <cellStyle name="好_副产蒸汽、凝结水消耗_开氏物料表9月初稿 2" xfId="4934"/>
    <cellStyle name="好_副产蒸汽、凝结水消耗_物料平衡7月初稿3." xfId="4935"/>
    <cellStyle name="好_副产蒸汽、凝结水消耗_物料平衡7月初稿3. 2" xfId="4936"/>
    <cellStyle name="好_各装置物料平衡表填报表090630" xfId="4937"/>
    <cellStyle name="好_各装置物料平衡表填报表090630 2" xfId="4938"/>
    <cellStyle name="好_公司2011年11月份化工三剂需求计划" xfId="4939"/>
    <cellStyle name="好_还原数据090219_开氏物料表8月" xfId="4940"/>
    <cellStyle name="好_公司2011年8月份化工三剂需求计划0716" xfId="4941"/>
    <cellStyle name="好_公司2011年9月份化工三剂需求计划0816" xfId="4942"/>
    <cellStyle name="好_公司2012年02月份化工三剂需求计划" xfId="4943"/>
    <cellStyle name="好_公司2012年04月份化工三剂需求计划" xfId="4944"/>
    <cellStyle name="好_还原数据090219" xfId="4945"/>
    <cellStyle name="好_还原数据090219_~4907560" xfId="4946"/>
    <cellStyle name="好_还原数据090219_0907炼油与开氏主要物料结算量2" xfId="4947"/>
    <cellStyle name="好_还原数据090219_0907炼油与开氏主要物料结算量2 2" xfId="4948"/>
    <cellStyle name="好_生产订单收发货-ERP_开氏物料表11月初稿 2" xfId="4949"/>
    <cellStyle name="好_还原数据090219_0908炼油与开氏主要物料结算量" xfId="4950"/>
    <cellStyle name="好_还原数据090219_0908炼油与开氏主要物料结算量 2" xfId="4951"/>
    <cellStyle name="好_还原数据090219_102 2" xfId="4952"/>
    <cellStyle name="好_还原数据090219_103-105" xfId="4953"/>
    <cellStyle name="好_还原数据090219_103-105单元物料平衡表09011(上报) 2" xfId="4954"/>
    <cellStyle name="好_还原数据090219_104单元（0910） 2" xfId="4955"/>
    <cellStyle name="好_还原数据090219_111" xfId="4956"/>
    <cellStyle name="好_还原数据090219_106" xfId="4957"/>
    <cellStyle name="好_还原数据090219_111 2" xfId="4958"/>
    <cellStyle name="好_还原数据090219_106 2" xfId="4959"/>
    <cellStyle name="好_惠炼BOM（20081219）_fangting物料平衡填报表2009.9.30 2" xfId="4960"/>
    <cellStyle name="好_还原数据090219_107装置物料平衡填报表2009(1).7.31" xfId="4961"/>
    <cellStyle name="好_还原数据090219_107装置物料平衡填报表2009(1).7.31 2" xfId="4962"/>
    <cellStyle name="好_还原数据090219_109装置物料平衡填报表2009(1).7.31" xfId="4963"/>
    <cellStyle name="好_还原数据090219_109装置物料平衡填报表2009(1).7.31 2" xfId="4964"/>
    <cellStyle name="好_还原数据090219_10月统计（111）平衡" xfId="4965"/>
    <cellStyle name="好_还原数据090219_10月统计（111）平衡 2" xfId="4966"/>
    <cellStyle name="好_还原数据090219_110 2" xfId="4967"/>
    <cellStyle name="好_还原数据090219_110装置物料平衡表填报表1" xfId="4968"/>
    <cellStyle name="好_还原数据090219_112" xfId="4969"/>
    <cellStyle name="好_还原数据090219_112 2" xfId="4970"/>
    <cellStyle name="好_还原数据090219_113" xfId="4971"/>
    <cellStyle name="好_还原数据090219_114" xfId="4972"/>
    <cellStyle name="好_还原数据090219_Sheet1" xfId="4973"/>
    <cellStyle name="好_还原数据090219_开氏物料表7月" xfId="4974"/>
    <cellStyle name="好_惠炼BOM（20081219）_开氏物料表7月 2" xfId="4975"/>
    <cellStyle name="好_还原数据090219_物料平衡7月初稿3." xfId="4976"/>
    <cellStyle name="好_还原数据090219_物料平衡8月初稿." xfId="4977"/>
    <cellStyle name="好_还原数据090219_物料平衡8月初稿. 2" xfId="4978"/>
    <cellStyle name="好_还原数据090219_周报2009.9.18" xfId="4979"/>
    <cellStyle name="好_还原数据090219_周计划" xfId="4980"/>
    <cellStyle name="好_还原数据090219_周计划表20091112" xfId="4981"/>
    <cellStyle name="好_还原数据090219_周计划表20091230" xfId="4982"/>
    <cellStyle name="好_化验2012年第四季度试剂计划-2012.9.11" xfId="4983"/>
    <cellStyle name="好_化验2012年第四季度试剂计划-2012.9.11 2" xfId="4984"/>
    <cellStyle name="好_汇总 2" xfId="4985"/>
    <cellStyle name="好_惠炼BOM（20081219）" xfId="4986"/>
    <cellStyle name="好_惠炼BOM（20081219）_~4907560" xfId="4987"/>
    <cellStyle name="好_惠炼BOM（20081219）_~4907560 2" xfId="4988"/>
    <cellStyle name="好_惠炼BOM（20081219）_0907炼油与开氏主要物料结算量2 2" xfId="4989"/>
    <cellStyle name="好_惠炼BOM（20081219）_101" xfId="4990"/>
    <cellStyle name="好_惠炼BOM（20081219）_101 2" xfId="4991"/>
    <cellStyle name="好_惠炼BOM（20081219）_102" xfId="4992"/>
    <cellStyle name="好_惠炼BOM（20081219）_102 2" xfId="4993"/>
    <cellStyle name="好_惠炼BOM（20081219）_103-105单元物料平衡表09010(上报)" xfId="4994"/>
    <cellStyle name="好_惠炼BOM（20081219）_103-105单元物料平衡表09010(上报) 2" xfId="4995"/>
    <cellStyle name="好_惠炼BOM（20081219）_103-105单元物料平衡表09011(上报)" xfId="4996"/>
    <cellStyle name="好_惠炼BOM（20081219）_103-105单元物料平衡表09011(上报) 2" xfId="4997"/>
    <cellStyle name="好_惠炼BOM（20081219）_104单元（0910）" xfId="4998"/>
    <cellStyle name="好_惠炼BOM（20081219）_104单元（0910） 2" xfId="4999"/>
    <cellStyle name="好_惠炼BOM（20081219）_111 2" xfId="5000"/>
    <cellStyle name="好_惠炼BOM（20081219）_106 2" xfId="5001"/>
    <cellStyle name="好_惠炼BOM（20081219）_107装置物料平衡填报表2009(1).7.31 2" xfId="5002"/>
    <cellStyle name="好_惠炼BOM（20081219）_108单元物料平衡表" xfId="5003"/>
    <cellStyle name="好_惠炼BOM（20081219）_108单元物料平衡表 2" xfId="5004"/>
    <cellStyle name="好_惠炼BOM（20081219）_109装置物料平衡填报表2009(1).7.31 2" xfId="5005"/>
    <cellStyle name="好_惠炼BOM（20081219）_10月统计（111）平衡" xfId="5006"/>
    <cellStyle name="好_惠炼BOM（20081219）_10月统计（111）平衡 2" xfId="5007"/>
    <cellStyle name="好_惠炼BOM（20081219）_110" xfId="5008"/>
    <cellStyle name="好_惠炼BOM（20081219）_110 2" xfId="5009"/>
    <cellStyle name="好_惠炼BOM（20081219）_110装置物料平衡表填报表1" xfId="5010"/>
    <cellStyle name="好_惠炼BOM（20081219）_110装置物料平衡表填报表1 2" xfId="5011"/>
    <cellStyle name="好_惠炼BOM（20081219）_113" xfId="5012"/>
    <cellStyle name="好_惠炼BOM（20081219）_113 2" xfId="5013"/>
    <cellStyle name="好_惠炼BOM（20081219）_114" xfId="5014"/>
    <cellStyle name="好_惠炼BOM（20081219）_114 2" xfId="5015"/>
    <cellStyle name="好_惠炼BOM（20081219）_5 月份物料平衡（107单元）" xfId="5016"/>
    <cellStyle name="好_惠炼BOM（20081219）_5 月份物料平衡（107单元） 2" xfId="5017"/>
    <cellStyle name="好_惠炼BOM（20081219）_fangting物料平衡填报表2009.9.30" xfId="5018"/>
    <cellStyle name="好_惠炼BOM（20081219）_各装置物料平衡表填报表090630 2" xfId="5019"/>
    <cellStyle name="好_惠炼BOM（20081219）_汇总" xfId="5020"/>
    <cellStyle name="好_惠炼BOM（20081219）_汇总 2" xfId="5021"/>
    <cellStyle name="好_惠炼BOM（20081219）_基础计算表" xfId="5022"/>
    <cellStyle name="好_惠炼BOM（20081219）_开氏物料表1月初稿" xfId="5023"/>
    <cellStyle name="好_惠炼BOM（20081219）_开氏物料表1月初稿 2" xfId="5024"/>
    <cellStyle name="好_惠炼BOM（20081219）_开氏物料表9月初稿" xfId="5025"/>
    <cellStyle name="好_惠炼BOM（20081219）_开氏物料表9月初稿 2" xfId="5026"/>
    <cellStyle name="好_惠炼BOM（20081219）_物料平衡7月初稿3." xfId="5027"/>
    <cellStyle name="好_惠炼BOM（20081219）_物料平衡7月初稿3. 2" xfId="5028"/>
    <cellStyle name="好_惠炼BOM（20081219）_物料平衡8月初稿." xfId="5029"/>
    <cellStyle name="好_惠炼BOM（20081219）_周报2009.9.18" xfId="5030"/>
    <cellStyle name="好_惠炼BOM（20081219）_周计划" xfId="5031"/>
    <cellStyle name="小计" xfId="5032"/>
    <cellStyle name="好_惠炼炼油计划201205月度计划-103+1万吨-201203426-尾油不外销-对接后" xfId="5033"/>
    <cellStyle name="好_惠炼炼油计划201206月度计划-101万吨-20120525-混苯产0.6万吨-预销售对接后-20120525" xfId="5034"/>
    <cellStyle name="好_惠炼炼油计划201208月度计划-103万吨-20120727（接受TX0.5万吨）" xfId="5035"/>
    <cellStyle name="好_基础计算表" xfId="5036"/>
    <cellStyle name="链接单元格 4" xfId="5037"/>
    <cellStyle name="好_开氏物料表11月初稿" xfId="5038"/>
    <cellStyle name="好_开氏物料表11月初稿 2" xfId="5039"/>
    <cellStyle name="好_开氏物料表12月初稿" xfId="5040"/>
    <cellStyle name="好_开氏物料表12月初稿 2" xfId="5041"/>
    <cellStyle name="好_开氏物料表1月初稿 2" xfId="5042"/>
    <cellStyle name="好_开氏物料表7月" xfId="5043"/>
    <cellStyle name="强调文字颜色 4 14" xfId="5044"/>
    <cellStyle name="好_开氏物料表7月 2" xfId="5045"/>
    <cellStyle name="好_开氏物料表9月初稿" xfId="5046"/>
    <cellStyle name="好_开氏物料销售记录 2" xfId="5047"/>
    <cellStyle name="好_生产订单收发货-ERP" xfId="5048"/>
    <cellStyle name="好_生产订单收发货-ERP 2" xfId="5049"/>
    <cellStyle name="好_生产订单收发货-ERP_~4907560" xfId="5050"/>
    <cellStyle name="好_生产订单收发货-ERP_0908炼油与开氏主要物料结算量" xfId="5051"/>
    <cellStyle name="好_生产订单收发货-ERP_0908炼油与开氏主要物料结算量 2" xfId="5052"/>
    <cellStyle name="好_生产订单收发货-ERP_10月统计（111）平衡" xfId="5053"/>
    <cellStyle name="好_生产订单收发货-ERP_10月统计（111）平衡 2" xfId="5054"/>
    <cellStyle name="好_生产订单收发货-ERP_基础计算表" xfId="5055"/>
    <cellStyle name="好_生产订单收发货-ERP_开氏物料表12月初稿" xfId="5056"/>
    <cellStyle name="好_生产订单收发货-ERP_开氏物料表1月初稿" xfId="5057"/>
    <cellStyle name="好_生产订单收发货-ERP_开氏物料表7月" xfId="5058"/>
    <cellStyle name="好_生产订单收发货-ERP_开氏物料表8月" xfId="5059"/>
    <cellStyle name="好_生产订单收发货-ERP_开氏物料表8月 2" xfId="5060"/>
    <cellStyle name="好_生产订单收发货-ERP_物料平衡7月初稿3." xfId="5061"/>
    <cellStyle name="好_生产订单收发货-ERP_物料平衡8月初稿." xfId="5062"/>
    <cellStyle name="好_生产订单收发货-ERP_物料平衡8月初稿. 2" xfId="5063"/>
    <cellStyle name="好_物料_~4907560" xfId="5064"/>
    <cellStyle name="好_物料_~4907560 2" xfId="5065"/>
    <cellStyle name="好_物料_0907炼油与开氏主要物料结算量2" xfId="5066"/>
    <cellStyle name="好_物料_0907炼油与开氏主要物料结算量2 2" xfId="5067"/>
    <cellStyle name="好_物料_0908炼油与开氏主要物料结算量" xfId="5068"/>
    <cellStyle name="好_物料_10月统计（111）平衡" xfId="5069"/>
    <cellStyle name="普通-04井口装置" xfId="5070"/>
    <cellStyle name="好_物料_10月统计（111）平衡 2" xfId="5071"/>
    <cellStyle name="好_物料_111" xfId="5072"/>
    <cellStyle name="好_物料_111 2" xfId="5073"/>
    <cellStyle name="好_物料_fangting物料平衡填报表2009.9.30" xfId="5074"/>
    <cellStyle name="好_物料_fangting物料平衡填报表2009.9.30 2" xfId="5075"/>
    <cellStyle name="好_物料_基础计算表" xfId="5076"/>
    <cellStyle name="好_物料_开氏物料表12月初稿 2" xfId="5077"/>
    <cellStyle name="好_物料_开氏物料表1月初稿" xfId="5078"/>
    <cellStyle name="好_物料_开氏物料表1月初稿 2" xfId="5079"/>
    <cellStyle name="好_物料_开氏物料表7月" xfId="5080"/>
    <cellStyle name="好_物料_开氏物料表8月" xfId="5081"/>
    <cellStyle name="好_物料_开氏物料表8月 2" xfId="5082"/>
    <cellStyle name="好_物料_开氏物料表9月初稿" xfId="5083"/>
    <cellStyle name="好_物料_开氏物料表9月初稿 2" xfId="5084"/>
    <cellStyle name="好_物料_物料平衡7月初稿3." xfId="5085"/>
    <cellStyle name="好_物料_物料平衡7月初稿3. 2" xfId="5086"/>
    <cellStyle name="好_物料_物料平衡8月初稿." xfId="5087"/>
    <cellStyle name="好_物料_物料平衡8月初稿. 2" xfId="5088"/>
    <cellStyle name="好_物料平衡7月初稿3." xfId="5089"/>
    <cellStyle name="好_物料平衡7月初稿3. 2" xfId="5090"/>
    <cellStyle name="好_物料平衡8月初稿." xfId="5091"/>
    <cellStyle name="好_物料平衡8月初稿. 2" xfId="5092"/>
    <cellStyle name="好_物料平衡表-实际0904-1" xfId="5093"/>
    <cellStyle name="好_物料平衡表-实际0904-1_0907炼油与开氏主要物料结算量2" xfId="5094"/>
    <cellStyle name="解释性文本 15" xfId="5095"/>
    <cellStyle name="好_物料平衡表-实际0904-1_0907炼油与开氏主要物料结算量2 2" xfId="5096"/>
    <cellStyle name="好_物料平衡表-实际0904-1_基础计算表" xfId="5097"/>
    <cellStyle name="好_物料平衡表-实际0904-1_开氏物料表11月初稿 2" xfId="5098"/>
    <cellStyle name="好_物料平衡表-实际0904-1_开氏物料表12月初稿" xfId="5099"/>
    <cellStyle name="好_物料平衡表-实际0904-1_开氏物料表12月初稿 2" xfId="5100"/>
    <cellStyle name="好_物料平衡表-实际0904-1_开氏物料表1月初稿" xfId="5101"/>
    <cellStyle name="好_物料平衡表-实际0904-1_开氏物料表1月初稿 2" xfId="5102"/>
    <cellStyle name="强调文字颜色 4 12" xfId="5103"/>
    <cellStyle name="好_物料平衡表-实际0904-1_开氏物料表7月" xfId="5104"/>
    <cellStyle name="好_物料平衡表-实际0904-1_开氏物料表7月 2" xfId="5105"/>
    <cellStyle name="好_物料平衡表-实际0904-1_开氏物料表8月" xfId="5106"/>
    <cellStyle name="好_物料平衡表-实际0904-1_开氏物料表9月初稿" xfId="5107"/>
    <cellStyle name="好_物料平衡表-实际0904-1_物料平衡7月初稿3." xfId="5108"/>
    <cellStyle name="好_物料平衡表-实际0904-1_物料平衡7月初稿3. 2" xfId="5109"/>
    <cellStyle name="好_物料平衡表-实际0904-1_物料平衡8月初稿." xfId="5110"/>
    <cellStyle name="好_物料平衡表-实际0904-1_物料平衡8月初稿. 2" xfId="5111"/>
    <cellStyle name="好_物料主数据模板_1.9_~4907560 2" xfId="5112"/>
    <cellStyle name="好_物料主数据模板_1.9_0907炼油与开氏主要物料结算量2" xfId="5113"/>
    <cellStyle name="好_物料主数据模板_1.9_0907炼油与开氏主要物料结算量2 2" xfId="5114"/>
    <cellStyle name="好_物料主数据模板_1.9_103-105" xfId="5115"/>
    <cellStyle name="好_物料主数据模板_1.9_104单元（0910）" xfId="5116"/>
    <cellStyle name="好_物料主数据模板_1.9_104单元（0910） 2" xfId="5117"/>
    <cellStyle name="好_物料主数据模板_1.9_108单元物料平衡表" xfId="5118"/>
    <cellStyle name="好_物料主数据模板_1.9_109装置物料平衡填报表2009(1).7.31" xfId="5119"/>
    <cellStyle name="好_物料主数据模板_1.9_10月统计（111）平衡" xfId="5120"/>
    <cellStyle name="好_物料主数据模板_1.9_10月统计（111）平衡 2" xfId="5121"/>
    <cellStyle name="好_物料主数据模板_1.9_110装置物料平衡表填报表1" xfId="5122"/>
    <cellStyle name="好_物料主数据模板_1.9_110装置物料平衡表填报表1 2" xfId="5123"/>
    <cellStyle name="好_物料主数据模板_1.9_112" xfId="5124"/>
    <cellStyle name="好_物料主数据模板_1.9_113" xfId="5125"/>
    <cellStyle name="好_物料主数据模板_1.9_113 2" xfId="5126"/>
    <cellStyle name="好_物料主数据模板_1.9_114" xfId="5127"/>
    <cellStyle name="好_物料主数据模板_1.9_114 2" xfId="5128"/>
    <cellStyle name="好_物料主数据模板_1.9_5 月份物料平衡（107单元）" xfId="5129"/>
    <cellStyle name="好_物料主数据模板_1.9_7月份计划" xfId="5130"/>
    <cellStyle name="好_物料主数据模板_1.9_fangting物料平衡填报表2009.9.30" xfId="5131"/>
    <cellStyle name="好_物料主数据模板_1.9_fangting物料平衡填报表2009.9.30 2" xfId="5132"/>
    <cellStyle name="好_物料主数据模板_1.9_各装置物料平衡表填报表090630" xfId="5133"/>
    <cellStyle name="好_物料主数据模板_1.9_各装置物料平衡表填报表090630 2" xfId="5134"/>
    <cellStyle name="好_物料主数据模板_1.9_汇总" xfId="5135"/>
    <cellStyle name="好_物料主数据模板_1.9_汇总 2" xfId="5136"/>
    <cellStyle name="好_物料主数据模板_1.9_开氏物料表11月初稿" xfId="5137"/>
    <cellStyle name="好_物料主数据模板_1.9_开氏物料表1月初稿" xfId="5138"/>
    <cellStyle name="好_物料主数据模板_1.9_开氏物料表7月" xfId="5139"/>
    <cellStyle name="好_物料主数据模板_1.9_开氏物料表7月 2" xfId="5140"/>
    <cellStyle name="好_物料主数据模板_1.9_开氏物料表8月" xfId="5141"/>
    <cellStyle name="好_物料主数据模板_1.9_开氏物料表9月初稿" xfId="5142"/>
    <cellStyle name="好_物料主数据模板_1.9_物料平衡7月初稿3." xfId="5143"/>
    <cellStyle name="好_物料主数据模板_1.9_物料平衡7月初稿3. 2" xfId="5144"/>
    <cellStyle name="好_物料主数据模板_1.9_周计划" xfId="5145"/>
    <cellStyle name="好_物料主数据模板_1.9_周计划表20091230" xfId="5146"/>
    <cellStyle name="好_周报2009.9.18" xfId="5147"/>
    <cellStyle name="好_周计划" xfId="5148"/>
    <cellStyle name="好_周计划表20091112" xfId="5149"/>
    <cellStyle name="桁区切り [0.00]_１１月価格表" xfId="5150"/>
    <cellStyle name="桁区切り_１１月価格表" xfId="5151"/>
    <cellStyle name="后继超级链接" xfId="5152"/>
    <cellStyle name="后继超级链接 2" xfId="5153"/>
    <cellStyle name="后继超链接 2" xfId="5154"/>
    <cellStyle name="汇总 10" xfId="5155"/>
    <cellStyle name="汇总 11" xfId="5156"/>
    <cellStyle name="汇总 12" xfId="5157"/>
    <cellStyle name="汇总 3" xfId="5158"/>
    <cellStyle name="汇总 4" xfId="5159"/>
    <cellStyle name="汇总 5" xfId="5160"/>
    <cellStyle name="汇总 6" xfId="5161"/>
    <cellStyle name="汇总 7" xfId="5162"/>
    <cellStyle name="汇总 9" xfId="5163"/>
    <cellStyle name="计算 12" xfId="5164"/>
    <cellStyle name="计算 14" xfId="5165"/>
    <cellStyle name="计算 15" xfId="5166"/>
    <cellStyle name="计算 2" xfId="5167"/>
    <cellStyle name="计算 3" xfId="5168"/>
    <cellStyle name="计算 4" xfId="5169"/>
    <cellStyle name="计算 5" xfId="5170"/>
    <cellStyle name="计算 8" xfId="5171"/>
    <cellStyle name="计算 9" xfId="5172"/>
    <cellStyle name="检查单元格 10" xfId="5173"/>
    <cellStyle name="检查单元格 13" xfId="5174"/>
    <cellStyle name="检查单元格 3" xfId="5175"/>
    <cellStyle name="检查单元格 4" xfId="5176"/>
    <cellStyle name="检查单元格 5" xfId="5177"/>
    <cellStyle name="检查单元格 6" xfId="5178"/>
    <cellStyle name="检查单元格 7" xfId="5179"/>
    <cellStyle name="检查单元格 8" xfId="5180"/>
    <cellStyle name="检查单元格 9" xfId="5181"/>
    <cellStyle name="解释性文本 10" xfId="5182"/>
    <cellStyle name="解释性文本 13" xfId="5183"/>
    <cellStyle name="解释性文本 14" xfId="5184"/>
    <cellStyle name="解释性文本 2" xfId="5185"/>
    <cellStyle name="解释性文本 3" xfId="5186"/>
    <cellStyle name="解释性文本 5" xfId="5187"/>
    <cellStyle name="警告文本 10" xfId="5188"/>
    <cellStyle name="警告文本 11" xfId="5189"/>
    <cellStyle name="警告文本 12" xfId="5190"/>
    <cellStyle name="警告文本 13" xfId="5191"/>
    <cellStyle name="警告文本 14" xfId="5192"/>
    <cellStyle name="警告文本 2" xfId="5193"/>
    <cellStyle name="警告文本 5" xfId="5194"/>
    <cellStyle name="警告文本 6" xfId="5195"/>
    <cellStyle name="警告文本 9" xfId="5196"/>
    <cellStyle name="链接单元格 13" xfId="5197"/>
    <cellStyle name="链接单元格 14" xfId="5198"/>
    <cellStyle name="链接单元格 15" xfId="5199"/>
    <cellStyle name="链接单元格 2" xfId="5200"/>
    <cellStyle name="链接单元格 3" xfId="5201"/>
    <cellStyle name="链接单元格 5" xfId="5202"/>
    <cellStyle name="链接单元格 6" xfId="5203"/>
    <cellStyle name="链接单元格 7" xfId="5204"/>
    <cellStyle name="链接单元格 8" xfId="5205"/>
    <cellStyle name="链接单元格 9" xfId="5206"/>
    <cellStyle name="输入 13" xfId="5207"/>
    <cellStyle name="霓付 [0]_97MBO" xfId="5208"/>
    <cellStyle name="霓付_97MBO" xfId="5209"/>
    <cellStyle name="烹拳_97MBO" xfId="5210"/>
    <cellStyle name="普通_ SZ36-1" xfId="5211"/>
    <cellStyle name="普通-00井史封面" xfId="5212"/>
    <cellStyle name="普通-00井史目录" xfId="5213"/>
    <cellStyle name="普通-02井况数据" xfId="5214"/>
    <cellStyle name="普通-06地层描述" xfId="5215"/>
    <cellStyle name="普通-07钻井井身" xfId="5216"/>
    <cellStyle name="普通-09钻具组合" xfId="5217"/>
    <cellStyle name="普通-12套管记录" xfId="5218"/>
    <cellStyle name="普通-13固井水泥" xfId="5219"/>
    <cellStyle name="千位[0]_ 4(6)漏失试验" xfId="5220"/>
    <cellStyle name="千位_ 4(6)漏失试验" xfId="5221"/>
    <cellStyle name="千位分隔_芳烃装置管理报表" xfId="5222"/>
    <cellStyle name="千位分隔_中海开氏试车损益测算表200907" xfId="5223"/>
    <cellStyle name="钎霖_laroux" xfId="5224"/>
    <cellStyle name="强调文字颜色 1 10" xfId="5225"/>
    <cellStyle name="强调文字颜色 1 11" xfId="5226"/>
    <cellStyle name="强调文字颜色 1 12" xfId="5227"/>
    <cellStyle name="强调文字颜色 1 13" xfId="5228"/>
    <cellStyle name="强调文字颜色 1 14" xfId="5229"/>
    <cellStyle name="强调文字颜色 1 2" xfId="5230"/>
    <cellStyle name="强调文字颜色 1 3" xfId="5231"/>
    <cellStyle name="强调文字颜色 1 4" xfId="5232"/>
    <cellStyle name="强调文字颜色 1 6" xfId="5233"/>
    <cellStyle name="强调文字颜色 1 7" xfId="5234"/>
    <cellStyle name="强调文字颜色 1 8" xfId="5235"/>
    <cellStyle name="强调文字颜色 1 9" xfId="5236"/>
    <cellStyle name="强调文字颜色 2 10" xfId="5237"/>
    <cellStyle name="强调文字颜色 2 11" xfId="5238"/>
    <cellStyle name="强调文字颜色 2 14" xfId="5239"/>
    <cellStyle name="强调文字颜色 2 15" xfId="5240"/>
    <cellStyle name="强调文字颜色 2 2" xfId="5241"/>
    <cellStyle name="强调文字颜色 2 3" xfId="5242"/>
    <cellStyle name="强调文字颜色 2 5" xfId="5243"/>
    <cellStyle name="强调文字颜色 2 6" xfId="5244"/>
    <cellStyle name="强调文字颜色 2 9" xfId="5245"/>
    <cellStyle name="强调文字颜色 3 11" xfId="5246"/>
    <cellStyle name="强调文字颜色 3 15" xfId="5247"/>
    <cellStyle name="强调文字颜色 3 3" xfId="5248"/>
    <cellStyle name="强调文字颜色 3 6" xfId="5249"/>
    <cellStyle name="强调文字颜色 4 10" xfId="5250"/>
    <cellStyle name="强调文字颜色 4 11" xfId="5251"/>
    <cellStyle name="强调文字颜色 4 13" xfId="5252"/>
    <cellStyle name="强调文字颜色 4 15" xfId="5253"/>
    <cellStyle name="强调文字颜色 4 3" xfId="5254"/>
    <cellStyle name="强调文字颜色 4 7" xfId="5255"/>
    <cellStyle name="输入 10" xfId="5256"/>
    <cellStyle name="强调文字颜色 4 8" xfId="5257"/>
    <cellStyle name="输入 11" xfId="5258"/>
    <cellStyle name="强调文字颜色 4 9" xfId="5259"/>
    <cellStyle name="强调文字颜色 5 12" xfId="5260"/>
    <cellStyle name="强调文字颜色 5 13" xfId="5261"/>
    <cellStyle name="强调文字颜色 5 15" xfId="5262"/>
    <cellStyle name="强调文字颜色 5 4" xfId="5263"/>
    <cellStyle name="强调文字颜色 5 5" xfId="5264"/>
    <cellStyle name="强调文字颜色 5 8" xfId="5265"/>
    <cellStyle name="强调文字颜色 5 9" xfId="5266"/>
    <cellStyle name="强调文字颜色 6 10" xfId="5267"/>
    <cellStyle name="强调文字颜色 6 12" xfId="5268"/>
    <cellStyle name="强调文字颜色 6 13" xfId="5269"/>
    <cellStyle name="强调文字颜色 6 14" xfId="5270"/>
    <cellStyle name="强调文字颜色 6 15" xfId="5271"/>
    <cellStyle name="强调文字颜色 6 3" xfId="5272"/>
    <cellStyle name="强调文字颜色 6 4" xfId="5273"/>
    <cellStyle name="强调文字颜色 6 5" xfId="5274"/>
    <cellStyle name="强调文字颜色 6 7" xfId="5275"/>
    <cellStyle name="强调文字颜色 6 8" xfId="5276"/>
    <cellStyle name="强调文字颜色 6 9" xfId="5277"/>
    <cellStyle name="适中 10" xfId="5278"/>
    <cellStyle name="适中 2" xfId="5279"/>
    <cellStyle name="适中 3" xfId="5280"/>
    <cellStyle name="适中 4" xfId="5281"/>
    <cellStyle name="适中 5" xfId="5282"/>
    <cellStyle name="适中 6" xfId="5283"/>
    <cellStyle name="适中 7" xfId="5284"/>
    <cellStyle name="适中 8" xfId="5285"/>
    <cellStyle name="输出 10" xfId="5286"/>
    <cellStyle name="输出 11" xfId="5287"/>
    <cellStyle name="输出 12" xfId="5288"/>
    <cellStyle name="输出 15" xfId="5289"/>
    <cellStyle name="输出 4" xfId="5290"/>
    <cellStyle name="输出 5" xfId="5291"/>
    <cellStyle name="输出 6" xfId="5292"/>
    <cellStyle name="输入 2" xfId="5293"/>
    <cellStyle name="输入 3" xfId="5294"/>
    <cellStyle name="通貨_１１月価格表" xfId="5295"/>
    <cellStyle name="样式 1" xfId="5296"/>
    <cellStyle name="样式 1 2" xfId="5297"/>
    <cellStyle name="样式 1 2 2" xfId="5298"/>
    <cellStyle name="样式 1 3" xfId="5299"/>
    <cellStyle name="样式 1 4" xfId="5300"/>
    <cellStyle name="样式 1_10月份综合计划" xfId="5301"/>
    <cellStyle name="样式 4" xfId="5302"/>
    <cellStyle name="一般_11" xfId="5303"/>
    <cellStyle name="注释 2" xfId="5304"/>
    <cellStyle name="注释 4" xfId="5305"/>
    <cellStyle name="注释 5" xfId="5306"/>
    <cellStyle name="注释 6" xfId="5307"/>
    <cellStyle name="注释 9" xfId="5308"/>
    <cellStyle name="资产" xfId="5309"/>
    <cellStyle name="资产 2" xfId="5310"/>
    <cellStyle name="资产 3" xfId="5311"/>
    <cellStyle name="资产 4" xfId="5312"/>
    <cellStyle name="资产 5" xfId="5313"/>
    <cellStyle name="콤마 [0]_BOILER-CO1" xfId="5314"/>
    <cellStyle name="콤마_BOILER-CO1" xfId="5315"/>
    <cellStyle name="통화_BOILER-CO1" xfId="5316"/>
    <cellStyle name="표준_0N-HANDLING " xfId="5317"/>
    <cellStyle name="常规_0908炼油与开氏主要物料结算量 2" xfId="531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>
      <xdr:nvSpPr>
        <xdr:cNvPr id="2248" name="Line 1"/>
        <xdr:cNvSpPr>
          <a:spLocks noChangeShapeType="1"/>
        </xdr:cNvSpPr>
      </xdr:nvSpPr>
      <xdr:spPr>
        <a:xfrm>
          <a:off x="0" y="523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>
      <xdr:nvSpPr>
        <xdr:cNvPr id="2249" name="Line 2"/>
        <xdr:cNvSpPr>
          <a:spLocks noChangeShapeType="1"/>
        </xdr:cNvSpPr>
      </xdr:nvSpPr>
      <xdr:spPr>
        <a:xfrm>
          <a:off x="0" y="523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>
      <xdr:nvSpPr>
        <xdr:cNvPr id="2" name="Line 1"/>
        <xdr:cNvSpPr/>
      </xdr:nvSpPr>
      <xdr:spPr>
        <a:xfrm>
          <a:off x="0" y="314325"/>
          <a:ext cx="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>
      <xdr:nvSpPr>
        <xdr:cNvPr id="3" name="Line 2"/>
        <xdr:cNvSpPr/>
      </xdr:nvSpPr>
      <xdr:spPr>
        <a:xfrm>
          <a:off x="0" y="314325"/>
          <a:ext cx="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indexed="60"/>
    <pageSetUpPr fitToPage="1"/>
  </sheetPr>
  <dimension ref="A1:E73"/>
  <sheetViews>
    <sheetView workbookViewId="0">
      <selection activeCell="A2" sqref="A2"/>
    </sheetView>
  </sheetViews>
  <sheetFormatPr defaultColWidth="9" defaultRowHeight="14.25" outlineLevelCol="4"/>
  <cols>
    <col min="1" max="1" width="40.5" customWidth="1"/>
    <col min="2" max="2" width="12.1666666666667" customWidth="1"/>
    <col min="3" max="3" width="24.5" customWidth="1"/>
    <col min="4" max="4" width="8.125" customWidth="1"/>
    <col min="5" max="5" width="12.375" customWidth="1"/>
  </cols>
  <sheetData>
    <row r="1" ht="22.5" customHeight="1" spans="1:4">
      <c r="A1" s="717" t="s">
        <v>0</v>
      </c>
      <c r="B1" s="717"/>
      <c r="C1" s="717"/>
      <c r="D1" s="717"/>
    </row>
    <row r="2" ht="18" customHeight="1" spans="2:2">
      <c r="B2" s="718" t="s">
        <v>1</v>
      </c>
    </row>
    <row r="3" s="538" customFormat="1" ht="33.75" customHeight="1" spans="1:3">
      <c r="A3" s="719" t="s">
        <v>2</v>
      </c>
      <c r="B3" s="720" t="str">
        <f>B2&amp;"预测"</f>
        <v>8月预测</v>
      </c>
      <c r="C3" s="720" t="s">
        <v>3</v>
      </c>
    </row>
    <row r="4" s="515" customFormat="1" ht="15" customHeight="1" spans="1:5">
      <c r="A4" s="721" t="s">
        <v>4</v>
      </c>
      <c r="B4" s="722">
        <f>B6+B8</f>
        <v>91494.7819358655</v>
      </c>
      <c r="C4" s="723" t="s">
        <v>5</v>
      </c>
      <c r="E4" s="724"/>
    </row>
    <row r="5" s="515" customFormat="1" ht="15" customHeight="1" spans="1:5">
      <c r="A5" s="725" t="s">
        <v>6</v>
      </c>
      <c r="B5" s="726">
        <f>B6+B8</f>
        <v>91494.7819358655</v>
      </c>
      <c r="C5" s="727"/>
      <c r="E5" s="724"/>
    </row>
    <row r="6" s="515" customFormat="1" ht="15" customHeight="1" spans="1:5">
      <c r="A6" s="725" t="s">
        <v>7</v>
      </c>
      <c r="B6" s="726">
        <f>销售收入!G20</f>
        <v>90919.0143216812</v>
      </c>
      <c r="C6" s="727"/>
      <c r="E6" s="724"/>
    </row>
    <row r="7" s="515" customFormat="1" ht="15" hidden="1" customHeight="1" spans="1:5">
      <c r="A7" s="725"/>
      <c r="B7" s="726"/>
      <c r="C7" s="727"/>
      <c r="E7" s="724"/>
    </row>
    <row r="8" s="515" customFormat="1" ht="15" customHeight="1" spans="1:5">
      <c r="A8" s="725" t="s">
        <v>8</v>
      </c>
      <c r="B8" s="726">
        <f>-(生产经营!F26+生产经营!F27+生产经营!F28)</f>
        <v>575.767614184327</v>
      </c>
      <c r="C8" s="727"/>
      <c r="E8" s="724"/>
    </row>
    <row r="9" s="515" customFormat="1" ht="15" hidden="1" customHeight="1" spans="1:5">
      <c r="A9" s="725" t="s">
        <v>9</v>
      </c>
      <c r="B9" s="726"/>
      <c r="C9" s="727"/>
      <c r="E9" s="724"/>
    </row>
    <row r="10" s="515" customFormat="1" ht="15" hidden="1" customHeight="1" spans="1:5">
      <c r="A10" s="725" t="s">
        <v>10</v>
      </c>
      <c r="B10" s="726"/>
      <c r="C10" s="727"/>
      <c r="E10" s="724"/>
    </row>
    <row r="11" s="515" customFormat="1" ht="15" hidden="1" customHeight="1" spans="1:5">
      <c r="A11" s="725" t="s">
        <v>11</v>
      </c>
      <c r="B11" s="726"/>
      <c r="C11" s="727"/>
      <c r="E11" s="724"/>
    </row>
    <row r="12" s="515" customFormat="1" ht="15" customHeight="1" spans="1:5">
      <c r="A12" s="721" t="s">
        <v>12</v>
      </c>
      <c r="B12" s="728">
        <f>B13+B24+B25+B26+B27</f>
        <v>91522.8030697421</v>
      </c>
      <c r="C12" s="727"/>
      <c r="E12" s="724"/>
    </row>
    <row r="13" s="515" customFormat="1" ht="15" customHeight="1" spans="1:5">
      <c r="A13" s="725" t="s">
        <v>13</v>
      </c>
      <c r="B13" s="726">
        <f>B14+B16</f>
        <v>89973.8285215008</v>
      </c>
      <c r="C13" s="727"/>
      <c r="E13" s="724"/>
    </row>
    <row r="14" s="515" customFormat="1" ht="15" customHeight="1" spans="1:5">
      <c r="A14" s="725" t="s">
        <v>14</v>
      </c>
      <c r="B14" s="726">
        <f>生产经营!F59</f>
        <v>89398.0609073165</v>
      </c>
      <c r="C14" s="727"/>
      <c r="D14" s="729"/>
      <c r="E14" s="724"/>
    </row>
    <row r="15" s="515" customFormat="1" ht="15" hidden="1" customHeight="1" spans="1:5">
      <c r="A15" s="725"/>
      <c r="B15" s="726"/>
      <c r="C15" s="727"/>
      <c r="E15" s="724"/>
    </row>
    <row r="16" s="515" customFormat="1" ht="15" customHeight="1" spans="1:5">
      <c r="A16" s="725" t="s">
        <v>15</v>
      </c>
      <c r="B16" s="726">
        <f>B8</f>
        <v>575.767614184327</v>
      </c>
      <c r="C16" s="727"/>
      <c r="E16" s="724"/>
    </row>
    <row r="17" s="515" customFormat="1" ht="15" hidden="1" customHeight="1" spans="1:5">
      <c r="A17" s="725" t="s">
        <v>16</v>
      </c>
      <c r="B17" s="726"/>
      <c r="C17" s="727"/>
      <c r="E17" s="724"/>
    </row>
    <row r="18" s="515" customFormat="1" ht="15" hidden="1" customHeight="1" spans="1:5">
      <c r="A18" s="725" t="s">
        <v>17</v>
      </c>
      <c r="B18" s="726"/>
      <c r="C18" s="727"/>
      <c r="E18" s="724"/>
    </row>
    <row r="19" s="515" customFormat="1" ht="15" hidden="1" customHeight="1" spans="1:5">
      <c r="A19" s="725" t="s">
        <v>18</v>
      </c>
      <c r="B19" s="726"/>
      <c r="C19" s="727"/>
      <c r="E19" s="724"/>
    </row>
    <row r="20" s="515" customFormat="1" ht="15" hidden="1" customHeight="1" spans="1:5">
      <c r="A20" s="725" t="s">
        <v>19</v>
      </c>
      <c r="B20" s="726"/>
      <c r="C20" s="727"/>
      <c r="E20" s="724"/>
    </row>
    <row r="21" s="515" customFormat="1" ht="15" hidden="1" customHeight="1" spans="1:5">
      <c r="A21" s="725" t="s">
        <v>20</v>
      </c>
      <c r="B21" s="726"/>
      <c r="C21" s="727"/>
      <c r="E21" s="724"/>
    </row>
    <row r="22" s="515" customFormat="1" ht="15" hidden="1" customHeight="1" spans="1:5">
      <c r="A22" s="725" t="s">
        <v>21</v>
      </c>
      <c r="B22" s="726"/>
      <c r="C22" s="727"/>
      <c r="E22" s="724"/>
    </row>
    <row r="23" s="515" customFormat="1" ht="15" hidden="1" customHeight="1" spans="1:5">
      <c r="A23" s="725" t="s">
        <v>22</v>
      </c>
      <c r="B23" s="726"/>
      <c r="C23" s="727"/>
      <c r="E23" s="724"/>
    </row>
    <row r="24" s="515" customFormat="1" ht="15" customHeight="1" spans="1:5">
      <c r="A24" s="725" t="s">
        <v>23</v>
      </c>
      <c r="B24" s="726">
        <f>销售收入!G24</f>
        <v>253.6283904</v>
      </c>
      <c r="C24" s="727"/>
      <c r="E24" s="724"/>
    </row>
    <row r="25" s="515" customFormat="1" ht="15" customHeight="1" spans="1:5">
      <c r="A25" s="725" t="s">
        <v>24</v>
      </c>
      <c r="B25" s="726">
        <f>生产经营!F47</f>
        <v>991.114820841267</v>
      </c>
      <c r="C25" s="727"/>
      <c r="D25" s="724"/>
      <c r="E25" s="724"/>
    </row>
    <row r="26" s="515" customFormat="1" ht="15" customHeight="1" spans="1:5">
      <c r="A26" s="725" t="s">
        <v>25</v>
      </c>
      <c r="B26" s="726">
        <f>生产经营!F45</f>
        <v>274.231337</v>
      </c>
      <c r="C26" s="727"/>
      <c r="E26" s="724"/>
    </row>
    <row r="27" s="515" customFormat="1" ht="15" customHeight="1" spans="1:5">
      <c r="A27" s="725" t="s">
        <v>26</v>
      </c>
      <c r="B27" s="726">
        <f>生产经营!F46</f>
        <v>30</v>
      </c>
      <c r="C27" s="727"/>
      <c r="E27" s="724"/>
    </row>
    <row r="28" s="515" customFormat="1" hidden="1" customHeight="1" spans="1:5">
      <c r="A28" s="725" t="s">
        <v>27</v>
      </c>
      <c r="B28" s="726"/>
      <c r="C28" s="727"/>
      <c r="E28" s="724"/>
    </row>
    <row r="29" s="515" customFormat="1" hidden="1" customHeight="1" spans="1:5">
      <c r="A29" s="725" t="s">
        <v>28</v>
      </c>
      <c r="B29" s="726"/>
      <c r="C29" s="727"/>
      <c r="E29" s="724"/>
    </row>
    <row r="30" s="515" customFormat="1" ht="15" customHeight="1" spans="1:5">
      <c r="A30" s="725" t="s">
        <v>29</v>
      </c>
      <c r="B30" s="726">
        <v>20</v>
      </c>
      <c r="C30" s="727"/>
      <c r="E30" s="724"/>
    </row>
    <row r="31" s="515" customFormat="1" ht="15" hidden="1" customHeight="1" spans="1:5">
      <c r="A31" s="725" t="s">
        <v>30</v>
      </c>
      <c r="B31" s="726"/>
      <c r="C31" s="727"/>
      <c r="E31" s="724"/>
    </row>
    <row r="32" s="515" customFormat="1" ht="15" hidden="1" customHeight="1" spans="1:5">
      <c r="A32" s="725" t="s">
        <v>31</v>
      </c>
      <c r="B32" s="726"/>
      <c r="C32" s="727"/>
      <c r="E32" s="724"/>
    </row>
    <row r="33" s="538" customFormat="1" ht="15" customHeight="1" spans="1:5">
      <c r="A33" s="730" t="s">
        <v>32</v>
      </c>
      <c r="B33" s="731">
        <f>B4-B12+B30</f>
        <v>-8.02113387658028</v>
      </c>
      <c r="C33" s="727"/>
      <c r="E33" s="724"/>
    </row>
    <row r="34" s="515" customFormat="1" ht="15" customHeight="1" spans="1:5">
      <c r="A34" s="725" t="s">
        <v>33</v>
      </c>
      <c r="B34" s="732"/>
      <c r="C34" s="727"/>
      <c r="D34" s="729"/>
      <c r="E34" s="724"/>
    </row>
    <row r="35" s="515" customFormat="1" ht="15" customHeight="1" spans="1:5">
      <c r="A35" s="725" t="s">
        <v>34</v>
      </c>
      <c r="B35" s="726"/>
      <c r="C35" s="727"/>
      <c r="D35" s="729"/>
      <c r="E35" s="724"/>
    </row>
    <row r="36" s="515" customFormat="1" ht="15" customHeight="1" spans="1:5">
      <c r="A36" s="725" t="s">
        <v>35</v>
      </c>
      <c r="B36" s="726"/>
      <c r="C36" s="727"/>
      <c r="D36" s="729"/>
      <c r="E36" s="724"/>
    </row>
    <row r="37" s="538" customFormat="1" ht="15" customHeight="1" spans="1:5">
      <c r="A37" s="721" t="s">
        <v>36</v>
      </c>
      <c r="B37" s="733">
        <f>B33+B34-B35</f>
        <v>-8.02113387658028</v>
      </c>
      <c r="C37" s="727"/>
      <c r="D37" s="734"/>
      <c r="E37" s="724"/>
    </row>
    <row r="38" s="515" customFormat="1" ht="15" customHeight="1" spans="1:5">
      <c r="A38" s="725" t="s">
        <v>37</v>
      </c>
      <c r="B38" s="726">
        <f>IF(B37&lt;0,0,B37*0.25)</f>
        <v>0</v>
      </c>
      <c r="C38" s="727"/>
      <c r="E38" s="724"/>
    </row>
    <row r="39" s="538" customFormat="1" ht="15" customHeight="1" spans="1:5">
      <c r="A39" s="721" t="s">
        <v>38</v>
      </c>
      <c r="B39" s="733">
        <f>B37-B38</f>
        <v>-8.02113387658028</v>
      </c>
      <c r="C39" s="735"/>
      <c r="E39" s="724"/>
    </row>
    <row r="40" spans="2:2">
      <c r="B40" s="736"/>
    </row>
    <row r="41" hidden="1" spans="1:2">
      <c r="A41" s="737" t="s">
        <v>39</v>
      </c>
      <c r="B41" s="736">
        <v>2341</v>
      </c>
    </row>
    <row r="42" ht="13.5" hidden="1" customHeight="1" spans="1:2">
      <c r="A42" s="738"/>
      <c r="B42" s="739"/>
    </row>
    <row r="43" hidden="1" spans="1:2">
      <c r="A43" s="738"/>
      <c r="B43" s="740"/>
    </row>
    <row r="44" hidden="1" spans="1:2">
      <c r="A44" s="738"/>
      <c r="B44" s="740"/>
    </row>
    <row r="45" hidden="1" spans="1:2">
      <c r="A45" s="738"/>
      <c r="B45" s="740"/>
    </row>
    <row r="46" hidden="1" spans="1:2">
      <c r="A46" s="738"/>
      <c r="B46" s="740"/>
    </row>
    <row r="47" hidden="1" spans="1:2">
      <c r="A47" s="738"/>
      <c r="B47" s="740"/>
    </row>
    <row r="48" hidden="1" spans="1:2">
      <c r="A48" s="738"/>
      <c r="B48" s="740"/>
    </row>
    <row r="49" hidden="1" spans="1:2">
      <c r="A49" s="738"/>
      <c r="B49" s="740"/>
    </row>
    <row r="50" hidden="1" spans="1:2">
      <c r="A50" s="738"/>
      <c r="B50" s="740"/>
    </row>
    <row r="51" hidden="1" spans="1:2">
      <c r="A51" s="738"/>
      <c r="B51" s="740"/>
    </row>
    <row r="52" hidden="1" spans="1:2">
      <c r="A52" s="741"/>
      <c r="B52" s="740"/>
    </row>
    <row r="53" hidden="1" spans="1:2">
      <c r="A53" s="738"/>
      <c r="B53" s="740"/>
    </row>
    <row r="54" hidden="1" spans="1:2">
      <c r="A54" s="738"/>
      <c r="B54" s="740"/>
    </row>
    <row r="55" hidden="1" spans="1:2">
      <c r="A55" s="738"/>
      <c r="B55" s="740"/>
    </row>
    <row r="56" hidden="1" spans="1:2">
      <c r="A56" s="738"/>
      <c r="B56" s="740"/>
    </row>
    <row r="57" hidden="1" spans="1:2">
      <c r="A57" s="738"/>
      <c r="B57" s="740"/>
    </row>
    <row r="58" hidden="1" spans="1:2">
      <c r="A58" s="738"/>
      <c r="B58" s="740"/>
    </row>
    <row r="59" hidden="1" spans="1:2">
      <c r="A59" s="738"/>
      <c r="B59" s="740"/>
    </row>
    <row r="60" hidden="1" spans="1:2">
      <c r="A60" s="738"/>
      <c r="B60" s="740"/>
    </row>
    <row r="61" hidden="1" spans="1:2">
      <c r="A61" s="738"/>
      <c r="B61" s="740"/>
    </row>
    <row r="62" hidden="1" spans="1:2">
      <c r="A62" s="738"/>
      <c r="B62" s="740"/>
    </row>
    <row r="63" hidden="1" spans="1:2">
      <c r="A63" s="738"/>
      <c r="B63" s="740"/>
    </row>
    <row r="64" hidden="1" spans="1:2">
      <c r="A64" s="741"/>
      <c r="B64" s="740"/>
    </row>
    <row r="65" hidden="1" spans="1:2">
      <c r="A65" s="738"/>
      <c r="B65" s="740"/>
    </row>
    <row r="66" hidden="1" spans="1:2">
      <c r="A66" s="738"/>
      <c r="B66" s="740"/>
    </row>
    <row r="67" spans="1:2">
      <c r="A67" s="742"/>
      <c r="B67" s="736"/>
    </row>
    <row r="68" hidden="1" spans="1:2">
      <c r="A68" s="742"/>
      <c r="B68" s="515"/>
    </row>
    <row r="69" hidden="1" spans="1:2">
      <c r="A69" s="742"/>
      <c r="B69" s="106"/>
    </row>
    <row r="70" hidden="1" spans="1:2">
      <c r="A70" s="742"/>
      <c r="B70" s="515"/>
    </row>
    <row r="71" hidden="1" spans="1:2">
      <c r="A71" s="742"/>
      <c r="B71" s="106"/>
    </row>
    <row r="72" hidden="1" spans="1:2">
      <c r="A72" s="742"/>
      <c r="B72" s="106"/>
    </row>
    <row r="73" spans="1:2">
      <c r="A73" s="743"/>
      <c r="B73" s="744"/>
    </row>
  </sheetData>
  <mergeCells count="2">
    <mergeCell ref="A1:D1"/>
    <mergeCell ref="C4:C39"/>
  </mergeCells>
  <printOptions horizontalCentered="1"/>
  <pageMargins left="0.747916666666667" right="0.511805555555556" top="0.61875" bottom="0.479166666666667" header="0.511805555555556" footer="0.329166666666667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1:H41"/>
  <sheetViews>
    <sheetView zoomScale="90" zoomScaleNormal="90" workbookViewId="0">
      <selection activeCell="A2" sqref="A2"/>
    </sheetView>
  </sheetViews>
  <sheetFormatPr defaultColWidth="9" defaultRowHeight="14.25" outlineLevelCol="7"/>
  <cols>
    <col min="1" max="1" width="5.75" style="676" customWidth="1"/>
    <col min="2" max="2" width="18.625" style="676" customWidth="1"/>
    <col min="3" max="3" width="5.625" style="676" customWidth="1"/>
    <col min="4" max="4" width="14.625" style="676" customWidth="1"/>
    <col min="5" max="5" width="13.125" style="676" customWidth="1"/>
    <col min="6" max="6" width="10.375" style="676" customWidth="1"/>
    <col min="7" max="7" width="16.5" style="676" customWidth="1"/>
    <col min="8" max="8" width="9.125" style="676" customWidth="1"/>
    <col min="9" max="9" width="9" style="676"/>
    <col min="10" max="10" width="13.75" style="676"/>
    <col min="11" max="16384" width="9" style="676"/>
  </cols>
  <sheetData>
    <row r="1" ht="31.5" customHeight="1" spans="1:8">
      <c r="A1" s="680" t="s">
        <v>40</v>
      </c>
      <c r="B1" s="681"/>
      <c r="C1" s="682"/>
      <c r="D1" s="681"/>
      <c r="E1" s="681"/>
      <c r="F1" s="681"/>
      <c r="G1" s="681"/>
      <c r="H1" s="682"/>
    </row>
    <row r="2" spans="5:8">
      <c r="E2" s="683"/>
      <c r="H2" s="683"/>
    </row>
    <row r="3" spans="1:8">
      <c r="A3" s="660" t="s">
        <v>41</v>
      </c>
      <c r="B3" s="660" t="s">
        <v>42</v>
      </c>
      <c r="C3" s="684" t="s">
        <v>43</v>
      </c>
      <c r="D3" s="685" t="str">
        <f>利润表!$B$3&amp;"销售"</f>
        <v>8月预测销售</v>
      </c>
      <c r="E3" s="685"/>
      <c r="F3" s="685"/>
      <c r="G3" s="685"/>
      <c r="H3" s="685"/>
    </row>
    <row r="4" spans="1:8">
      <c r="A4" s="660"/>
      <c r="B4" s="660"/>
      <c r="C4" s="686"/>
      <c r="D4" s="687" t="s">
        <v>44</v>
      </c>
      <c r="E4" s="688" t="s">
        <v>45</v>
      </c>
      <c r="F4" s="688" t="s">
        <v>46</v>
      </c>
      <c r="G4" s="688" t="s">
        <v>47</v>
      </c>
      <c r="H4" s="660" t="s">
        <v>48</v>
      </c>
    </row>
    <row r="5" ht="15.75" spans="1:8">
      <c r="A5" s="689">
        <v>1</v>
      </c>
      <c r="B5" s="690" t="str">
        <f>产品成本!B5</f>
        <v>异构化干气</v>
      </c>
      <c r="C5" s="691"/>
      <c r="D5" s="692">
        <f>产品成本!K5</f>
        <v>0</v>
      </c>
      <c r="E5" s="693"/>
      <c r="F5" s="694">
        <f>E5/1.13</f>
        <v>0</v>
      </c>
      <c r="G5" s="695">
        <f>F5*D5/10000</f>
        <v>0</v>
      </c>
      <c r="H5" s="696">
        <f>IF(F5=0,0,F5-C5*1.12-C5*0.1*0.12)</f>
        <v>0</v>
      </c>
    </row>
    <row r="6" ht="15.75" spans="1:8">
      <c r="A6" s="689">
        <v>2</v>
      </c>
      <c r="B6" s="690" t="str">
        <f>产品成本!B6</f>
        <v>苯</v>
      </c>
      <c r="C6" s="691"/>
      <c r="D6" s="692">
        <f>产品成本!K6</f>
        <v>29300</v>
      </c>
      <c r="E6" s="697">
        <v>7711.97126500055</v>
      </c>
      <c r="F6" s="694">
        <f t="shared" ref="F6:F17" si="0">E6/1.13</f>
        <v>6824.75333185889</v>
      </c>
      <c r="G6" s="695">
        <f>F6*D6/10000</f>
        <v>19996.5272623465</v>
      </c>
      <c r="H6" s="696">
        <f>IF(F6=0,0,F6-C6*1.12-C6*0.13*0.12)</f>
        <v>6824.75333185889</v>
      </c>
    </row>
    <row r="7" ht="15.75" spans="1:8">
      <c r="A7" s="689">
        <v>3</v>
      </c>
      <c r="B7" s="690" t="str">
        <f>产品成本!B7</f>
        <v>对二甲苯</v>
      </c>
      <c r="C7" s="691"/>
      <c r="D7" s="692">
        <f>产品成本!K7</f>
        <v>78000</v>
      </c>
      <c r="E7" s="697">
        <v>6907.65842022184</v>
      </c>
      <c r="F7" s="694">
        <f t="shared" si="0"/>
        <v>6112.97205329366</v>
      </c>
      <c r="G7" s="695">
        <f t="shared" ref="G7:G18" si="1">F7*D7/10000</f>
        <v>47681.1820156905</v>
      </c>
      <c r="H7" s="696">
        <f>IF(F7=0,0,F7-C7*1.12-C7*0.13*0.12)</f>
        <v>6112.97205329366</v>
      </c>
    </row>
    <row r="8" ht="15.75" spans="1:8">
      <c r="A8" s="689">
        <v>4</v>
      </c>
      <c r="B8" s="690" t="str">
        <f>产品成本!B8</f>
        <v>邻二甲苯</v>
      </c>
      <c r="C8" s="691"/>
      <c r="D8" s="692">
        <f>产品成本!K8</f>
        <v>7500</v>
      </c>
      <c r="E8" s="697">
        <v>6127.27272727273</v>
      </c>
      <c r="F8" s="694">
        <f t="shared" si="0"/>
        <v>5422.3652453741</v>
      </c>
      <c r="G8" s="695">
        <f t="shared" si="1"/>
        <v>4066.77393403057</v>
      </c>
      <c r="H8" s="696">
        <f>IF(F8=0,0,F8-C8*1.12-C8*0.13*0.12)</f>
        <v>5422.3652453741</v>
      </c>
    </row>
    <row r="9" ht="15.75" spans="1:8">
      <c r="A9" s="689">
        <v>5</v>
      </c>
      <c r="B9" s="690" t="str">
        <f>产品成本!B9</f>
        <v>混合二甲苯</v>
      </c>
      <c r="C9" s="691"/>
      <c r="D9" s="692">
        <f>产品成本!K9</f>
        <v>0</v>
      </c>
      <c r="E9" s="697">
        <v>0</v>
      </c>
      <c r="F9" s="694">
        <f t="shared" si="0"/>
        <v>0</v>
      </c>
      <c r="G9" s="695">
        <f t="shared" si="1"/>
        <v>0</v>
      </c>
      <c r="H9" s="696">
        <f t="shared" ref="H9" si="2">IF(F9=0,0,F9-C9*1.12-C9*0.16*0.12)</f>
        <v>0</v>
      </c>
    </row>
    <row r="10" ht="15.75" spans="1:8">
      <c r="A10" s="689">
        <v>6</v>
      </c>
      <c r="B10" s="690" t="str">
        <f>产品成本!B10</f>
        <v>粗甲苯</v>
      </c>
      <c r="C10" s="691"/>
      <c r="D10" s="692">
        <f>产品成本!K10</f>
        <v>0</v>
      </c>
      <c r="E10" s="697"/>
      <c r="F10" s="694">
        <f t="shared" si="0"/>
        <v>0</v>
      </c>
      <c r="G10" s="695">
        <f t="shared" si="1"/>
        <v>0</v>
      </c>
      <c r="H10" s="696">
        <f>IF(F10=0,0,F10-C10*1.12-C10*0.13*0.12)</f>
        <v>0</v>
      </c>
    </row>
    <row r="11" ht="15.75" spans="1:8">
      <c r="A11" s="689">
        <v>7</v>
      </c>
      <c r="B11" s="690" t="s">
        <v>49</v>
      </c>
      <c r="C11" s="691"/>
      <c r="D11" s="692"/>
      <c r="E11" s="697">
        <v>0</v>
      </c>
      <c r="F11" s="694">
        <f t="shared" si="0"/>
        <v>0</v>
      </c>
      <c r="G11" s="695">
        <f t="shared" si="1"/>
        <v>0</v>
      </c>
      <c r="H11" s="696">
        <f t="shared" ref="H11:H19" si="3">IF(F11=0,0,F11-C11*1.12-C11*0.13*0.12)</f>
        <v>0</v>
      </c>
    </row>
    <row r="12" ht="15.75" spans="1:8">
      <c r="A12" s="689">
        <v>8</v>
      </c>
      <c r="B12" s="690" t="str">
        <f>产品成本!B12</f>
        <v>重芳烃</v>
      </c>
      <c r="C12" s="691">
        <v>2105.2</v>
      </c>
      <c r="D12" s="692">
        <f>产品成本!K12</f>
        <v>1000</v>
      </c>
      <c r="E12" s="697">
        <v>7030.77762330435</v>
      </c>
      <c r="F12" s="694">
        <f t="shared" si="0"/>
        <v>6221.92710026934</v>
      </c>
      <c r="G12" s="695">
        <f t="shared" si="1"/>
        <v>622.192710026934</v>
      </c>
      <c r="H12" s="696">
        <f t="shared" si="3"/>
        <v>3831.26198026934</v>
      </c>
    </row>
    <row r="13" ht="15.75" spans="1:8">
      <c r="A13" s="689">
        <v>9</v>
      </c>
      <c r="B13" s="690" t="str">
        <f>产品成本!B13</f>
        <v>歧化原料</v>
      </c>
      <c r="C13" s="691">
        <v>2105.2</v>
      </c>
      <c r="D13" s="692">
        <f>产品成本!K13</f>
        <v>0</v>
      </c>
      <c r="E13" s="697"/>
      <c r="F13" s="694">
        <f t="shared" si="0"/>
        <v>0</v>
      </c>
      <c r="G13" s="695">
        <f t="shared" si="1"/>
        <v>0</v>
      </c>
      <c r="H13" s="696">
        <f t="shared" si="3"/>
        <v>0</v>
      </c>
    </row>
    <row r="14" ht="15.75" spans="1:8">
      <c r="A14" s="689">
        <v>10</v>
      </c>
      <c r="B14" s="690" t="str">
        <f>产品成本!B14</f>
        <v>石脑油</v>
      </c>
      <c r="C14" s="691"/>
      <c r="D14" s="692">
        <f>产品成本!K14</f>
        <v>28700</v>
      </c>
      <c r="E14" s="697">
        <v>4906.14717475011</v>
      </c>
      <c r="F14" s="694">
        <f t="shared" si="0"/>
        <v>4341.72316349567</v>
      </c>
      <c r="G14" s="695">
        <f t="shared" si="1"/>
        <v>12460.7454792326</v>
      </c>
      <c r="H14" s="696">
        <f t="shared" si="3"/>
        <v>4341.72316349567</v>
      </c>
    </row>
    <row r="15" ht="15.75" spans="1:8">
      <c r="A15" s="689">
        <v>11</v>
      </c>
      <c r="B15" s="690" t="s">
        <v>50</v>
      </c>
      <c r="C15" s="691"/>
      <c r="D15" s="692">
        <f>产品成本!K15</f>
        <v>16000</v>
      </c>
      <c r="E15" s="697">
        <v>4302.1875</v>
      </c>
      <c r="F15" s="694">
        <f t="shared" si="0"/>
        <v>3807.24557522124</v>
      </c>
      <c r="G15" s="695">
        <f t="shared" si="1"/>
        <v>6091.59292035398</v>
      </c>
      <c r="H15" s="696">
        <f t="shared" si="3"/>
        <v>3807.24557522124</v>
      </c>
    </row>
    <row r="16" ht="15.75" spans="1:8">
      <c r="A16" s="689">
        <v>12</v>
      </c>
      <c r="B16" s="690" t="str">
        <f>产品成本!B16</f>
        <v>石油混合二甲苯\5℃</v>
      </c>
      <c r="C16" s="691"/>
      <c r="D16" s="692">
        <f>产品成本!K16</f>
        <v>0</v>
      </c>
      <c r="E16" s="697">
        <f>价格依据!H227</f>
        <v>0</v>
      </c>
      <c r="F16" s="694">
        <f t="shared" si="0"/>
        <v>0</v>
      </c>
      <c r="G16" s="695">
        <f t="shared" si="1"/>
        <v>0</v>
      </c>
      <c r="H16" s="696">
        <f t="shared" si="3"/>
        <v>0</v>
      </c>
    </row>
    <row r="17" ht="15.75" spans="1:8">
      <c r="A17" s="689">
        <v>13</v>
      </c>
      <c r="B17" s="690" t="str">
        <f>产品成本!B17</f>
        <v>混合芳烃</v>
      </c>
      <c r="C17" s="691">
        <v>2105.2</v>
      </c>
      <c r="D17" s="692">
        <f>产品成本!K17</f>
        <v>0</v>
      </c>
      <c r="E17" s="698">
        <f>E11</f>
        <v>0</v>
      </c>
      <c r="F17" s="694">
        <f t="shared" si="0"/>
        <v>0</v>
      </c>
      <c r="G17" s="695">
        <f t="shared" si="1"/>
        <v>0</v>
      </c>
      <c r="H17" s="696">
        <f t="shared" si="3"/>
        <v>0</v>
      </c>
    </row>
    <row r="18" ht="15.75" spans="1:8">
      <c r="A18" s="689">
        <v>14</v>
      </c>
      <c r="B18" s="690"/>
      <c r="C18" s="691"/>
      <c r="D18" s="692"/>
      <c r="E18" s="698"/>
      <c r="F18" s="694"/>
      <c r="G18" s="695">
        <f t="shared" si="1"/>
        <v>0</v>
      </c>
      <c r="H18" s="696">
        <f t="shared" si="3"/>
        <v>0</v>
      </c>
    </row>
    <row r="19" ht="15.75" spans="1:8">
      <c r="A19" s="689"/>
      <c r="C19" s="691"/>
      <c r="D19" s="692">
        <f>产品成本!K19</f>
        <v>0</v>
      </c>
      <c r="E19" s="697"/>
      <c r="F19" s="694"/>
      <c r="G19" s="695"/>
      <c r="H19" s="696">
        <f t="shared" si="3"/>
        <v>0</v>
      </c>
    </row>
    <row r="20" s="678" customFormat="1" spans="1:8">
      <c r="A20" s="699">
        <v>13</v>
      </c>
      <c r="B20" s="700" t="s">
        <v>51</v>
      </c>
      <c r="C20" s="701"/>
      <c r="D20" s="702">
        <f>SUM(D5:D19)</f>
        <v>160500</v>
      </c>
      <c r="E20" s="703">
        <f>F20*1.13</f>
        <v>6401.15178713394</v>
      </c>
      <c r="F20" s="704">
        <f>IF(D20=0,0,G20/D20*10000)</f>
        <v>5664.73609480879</v>
      </c>
      <c r="G20" s="702">
        <f>SUM(G5:G19)</f>
        <v>90919.0143216812</v>
      </c>
      <c r="H20" s="705">
        <f>IF(D20=0,0,SUMPRODUCT(D5:D18,H5:H18)/D20)</f>
        <v>5649.84098502686</v>
      </c>
    </row>
    <row r="21" s="679" customFormat="1" spans="1:8">
      <c r="A21" s="706"/>
      <c r="B21" s="707"/>
      <c r="C21" s="708"/>
      <c r="D21" s="709"/>
      <c r="E21" s="710"/>
      <c r="F21" s="710"/>
      <c r="G21" s="709"/>
      <c r="H21" s="711"/>
    </row>
    <row r="22" spans="1:8">
      <c r="A22" s="691"/>
      <c r="B22" s="691" t="s">
        <v>52</v>
      </c>
      <c r="C22" s="691"/>
      <c r="D22" s="691"/>
      <c r="E22" s="691"/>
      <c r="F22" s="691"/>
      <c r="G22" s="712">
        <f>(D12+46)*2105.2*1.12/10000</f>
        <v>246.6283904</v>
      </c>
      <c r="H22" s="705"/>
    </row>
    <row r="23" spans="1:8">
      <c r="A23" s="691"/>
      <c r="B23" s="691" t="s">
        <v>53</v>
      </c>
      <c r="C23" s="691"/>
      <c r="D23" s="691"/>
      <c r="E23" s="691"/>
      <c r="F23" s="696"/>
      <c r="G23" s="705"/>
      <c r="H23" s="696">
        <f>G20*0.13-SUM(生产经营!F6,生产经营!F12,生产经营!F14,生产经营!F19,生产经营!F20,生产经营!F22:F25,生产经营!F39)*0.13-SUM(生产经营!F15:F18,生产经营!F21,生产经营!F26:F31)*0.09</f>
        <v>615.031435335222</v>
      </c>
    </row>
    <row r="24" spans="1:8">
      <c r="A24" s="691"/>
      <c r="B24" s="691" t="s">
        <v>54</v>
      </c>
      <c r="C24" s="691"/>
      <c r="D24" s="713"/>
      <c r="E24" s="691"/>
      <c r="F24" s="696"/>
      <c r="G24" s="696">
        <f>SUM(G22:G23)+7</f>
        <v>253.6283904</v>
      </c>
      <c r="H24" s="696"/>
    </row>
    <row r="25" spans="1:8">
      <c r="A25" s="691"/>
      <c r="B25" s="691" t="s">
        <v>55</v>
      </c>
      <c r="C25" s="691"/>
      <c r="D25" s="713"/>
      <c r="E25" s="691"/>
      <c r="F25" s="696"/>
      <c r="G25" s="696"/>
      <c r="H25" s="696"/>
    </row>
    <row r="26" spans="4:8">
      <c r="D26" s="683"/>
      <c r="E26" s="683"/>
      <c r="F26" s="683"/>
      <c r="G26" s="683"/>
      <c r="H26" s="714"/>
    </row>
    <row r="27" spans="7:7">
      <c r="G27" s="715"/>
    </row>
    <row r="28" spans="7:7">
      <c r="G28" s="715"/>
    </row>
    <row r="33" spans="5:7">
      <c r="E33" s="716"/>
      <c r="F33" s="716"/>
      <c r="G33" s="716"/>
    </row>
    <row r="34" spans="5:7">
      <c r="E34" s="716"/>
      <c r="F34" s="716"/>
      <c r="G34" s="716"/>
    </row>
    <row r="35" spans="5:7">
      <c r="E35" s="716"/>
      <c r="F35" s="716"/>
      <c r="G35" s="716"/>
    </row>
    <row r="36" spans="5:7">
      <c r="E36" s="716"/>
      <c r="F36" s="716"/>
      <c r="G36" s="716"/>
    </row>
    <row r="37" spans="5:7">
      <c r="E37" s="716"/>
      <c r="F37" s="716"/>
      <c r="G37" s="716"/>
    </row>
    <row r="38" spans="5:7">
      <c r="E38" s="716"/>
      <c r="F38" s="716"/>
      <c r="G38" s="716"/>
    </row>
    <row r="39" spans="5:7">
      <c r="E39" s="716"/>
      <c r="F39" s="716"/>
      <c r="G39" s="716"/>
    </row>
    <row r="40" spans="5:7">
      <c r="E40" s="716"/>
      <c r="F40" s="716"/>
      <c r="G40" s="716"/>
    </row>
    <row r="41" spans="5:7">
      <c r="E41" s="716"/>
      <c r="F41" s="716"/>
      <c r="G41" s="716"/>
    </row>
  </sheetData>
  <mergeCells count="3">
    <mergeCell ref="A3:A4"/>
    <mergeCell ref="B3:B4"/>
    <mergeCell ref="C3:C4"/>
  </mergeCells>
  <pageMargins left="0.747916666666667" right="0.747916666666667" top="0.859027777777778" bottom="0.984027777777778" header="0.511805555555556" footer="0.511805555555556"/>
  <pageSetup paperSize="9" scale="6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U20"/>
  <sheetViews>
    <sheetView workbookViewId="0">
      <selection activeCell="A2" sqref="A2"/>
    </sheetView>
  </sheetViews>
  <sheetFormatPr defaultColWidth="9" defaultRowHeight="14.25"/>
  <cols>
    <col min="1" max="1" width="5.875" style="655" customWidth="1"/>
    <col min="2" max="2" width="22" style="655" customWidth="1"/>
    <col min="3" max="5" width="5.41666666666667" style="655" hidden="1" customWidth="1"/>
    <col min="6" max="6" width="9.125" style="655" customWidth="1"/>
    <col min="7" max="7" width="10.375" style="655" customWidth="1"/>
    <col min="8" max="8" width="9.75" style="655" customWidth="1"/>
    <col min="9" max="10" width="9" style="655" customWidth="1"/>
    <col min="11" max="11" width="10.25" style="655" customWidth="1"/>
    <col min="12" max="12" width="11.75" style="655" customWidth="1"/>
    <col min="13" max="13" width="14.125" style="655" customWidth="1"/>
    <col min="14" max="14" width="8.375" style="655" hidden="1" customWidth="1"/>
    <col min="15" max="15" width="9.375" style="655" hidden="1" customWidth="1"/>
    <col min="16" max="16" width="8" style="655" hidden="1" customWidth="1"/>
    <col min="17" max="17" width="12.125" style="655" hidden="1" customWidth="1"/>
    <col min="18" max="18" width="10.625" style="655" hidden="1" customWidth="1"/>
    <col min="19" max="21" width="9" style="655" hidden="1" customWidth="1"/>
    <col min="22" max="16384" width="9" style="655"/>
  </cols>
  <sheetData>
    <row r="1" ht="25.5" spans="1:16">
      <c r="A1" s="656" t="s">
        <v>56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</row>
    <row r="2" spans="5:5">
      <c r="E2" s="658"/>
    </row>
    <row r="3" spans="1:20">
      <c r="A3" s="659" t="s">
        <v>41</v>
      </c>
      <c r="B3" s="660" t="s">
        <v>42</v>
      </c>
      <c r="C3" s="661" t="s">
        <v>57</v>
      </c>
      <c r="D3" s="661"/>
      <c r="E3" s="661"/>
      <c r="F3" s="662" t="s">
        <v>58</v>
      </c>
      <c r="G3" s="663"/>
      <c r="H3" s="663"/>
      <c r="I3" s="663"/>
      <c r="J3" s="671"/>
      <c r="K3" s="661" t="s">
        <v>59</v>
      </c>
      <c r="L3" s="661"/>
      <c r="M3" s="661"/>
      <c r="N3" s="672" t="s">
        <v>60</v>
      </c>
      <c r="O3" s="661"/>
      <c r="P3" s="661"/>
      <c r="Q3" s="675" t="s">
        <v>61</v>
      </c>
      <c r="R3" s="675" t="s">
        <v>62</v>
      </c>
      <c r="S3" s="675" t="s">
        <v>63</v>
      </c>
      <c r="T3" s="676" t="s">
        <v>64</v>
      </c>
    </row>
    <row r="4" s="652" customFormat="1" ht="15.95" customHeight="1" spans="1:20">
      <c r="A4" s="659"/>
      <c r="B4" s="659"/>
      <c r="C4" s="664" t="s">
        <v>65</v>
      </c>
      <c r="D4" s="664" t="s">
        <v>66</v>
      </c>
      <c r="E4" s="664" t="s">
        <v>67</v>
      </c>
      <c r="F4" s="664" t="s">
        <v>65</v>
      </c>
      <c r="G4" s="664" t="s">
        <v>66</v>
      </c>
      <c r="H4" s="664" t="s">
        <v>67</v>
      </c>
      <c r="I4" s="673" t="s">
        <v>68</v>
      </c>
      <c r="J4" s="673" t="s">
        <v>69</v>
      </c>
      <c r="K4" s="664" t="s">
        <v>65</v>
      </c>
      <c r="L4" s="664" t="s">
        <v>66</v>
      </c>
      <c r="M4" s="664" t="s">
        <v>67</v>
      </c>
      <c r="N4" s="664" t="s">
        <v>65</v>
      </c>
      <c r="O4" s="664" t="s">
        <v>66</v>
      </c>
      <c r="P4" s="664" t="s">
        <v>67</v>
      </c>
      <c r="Q4" s="652" t="e">
        <f>生产经营!F6-生产经营!#REF!</f>
        <v>#REF!</v>
      </c>
      <c r="R4" s="652">
        <f>R20</f>
        <v>0</v>
      </c>
      <c r="S4" s="652">
        <f>生产经营!G64</f>
        <v>-860.273285782117</v>
      </c>
      <c r="T4" s="652" t="e">
        <f>T10</f>
        <v>#REF!</v>
      </c>
    </row>
    <row r="5" s="653" customFormat="1" ht="15.95" customHeight="1" spans="1:21">
      <c r="A5" s="665">
        <v>1</v>
      </c>
      <c r="B5" s="666" t="s">
        <v>70</v>
      </c>
      <c r="C5" s="667"/>
      <c r="D5" s="667"/>
      <c r="E5" s="667"/>
      <c r="F5" s="667">
        <v>0</v>
      </c>
      <c r="G5" s="668">
        <f t="shared" ref="G5:G18" si="0">IF(F5=0,0,H5/F5)*10000</f>
        <v>0</v>
      </c>
      <c r="H5" s="668">
        <f t="shared" ref="H5:H19" si="1">ROUND(IF(J$20=0,0,H$20/J$20*J5),2)</f>
        <v>0</v>
      </c>
      <c r="I5" s="674">
        <v>0.3</v>
      </c>
      <c r="J5" s="668">
        <f t="shared" ref="J5:J18" si="2">I5*F5</f>
        <v>0</v>
      </c>
      <c r="K5" s="667">
        <f>F5</f>
        <v>0</v>
      </c>
      <c r="L5" s="668">
        <f t="shared" ref="L5:L18" si="3">IF(SUM(C5,F5)=0,0,SUM(E5,H5)/SUM(C5,F5))*10000</f>
        <v>0</v>
      </c>
      <c r="M5" s="668">
        <f t="shared" ref="M5:M19" si="4">K5*L5/10000</f>
        <v>0</v>
      </c>
      <c r="N5" s="668">
        <f t="shared" ref="N5:N16" si="5">C5+F5-K5</f>
        <v>0</v>
      </c>
      <c r="O5" s="668">
        <f t="shared" ref="O5:O16" si="6">IF(N5=0,0,P5/N5)*10000</f>
        <v>0</v>
      </c>
      <c r="P5" s="668">
        <f t="shared" ref="P5:P16" si="7">E5+H5-M5</f>
        <v>0</v>
      </c>
      <c r="U5" s="677">
        <f>F5/生产经营!$D$8</f>
        <v>0</v>
      </c>
    </row>
    <row r="6" s="653" customFormat="1" ht="15.95" customHeight="1" spans="1:21">
      <c r="A6" s="665">
        <v>2</v>
      </c>
      <c r="B6" s="666" t="s">
        <v>71</v>
      </c>
      <c r="C6" s="667"/>
      <c r="D6" s="667"/>
      <c r="E6" s="667"/>
      <c r="F6" s="667">
        <v>29300</v>
      </c>
      <c r="G6" s="668">
        <f t="shared" si="0"/>
        <v>5589.02389078498</v>
      </c>
      <c r="H6" s="668">
        <f t="shared" si="1"/>
        <v>16375.84</v>
      </c>
      <c r="I6" s="674">
        <v>0.85</v>
      </c>
      <c r="J6" s="668">
        <f t="shared" si="2"/>
        <v>24905</v>
      </c>
      <c r="K6" s="667">
        <f t="shared" ref="K6:K20" si="8">F6</f>
        <v>29300</v>
      </c>
      <c r="L6" s="668">
        <f t="shared" si="3"/>
        <v>5589.02389078498</v>
      </c>
      <c r="M6" s="668">
        <f t="shared" si="4"/>
        <v>16375.84</v>
      </c>
      <c r="N6" s="668">
        <f t="shared" si="5"/>
        <v>0</v>
      </c>
      <c r="O6" s="668">
        <f t="shared" si="6"/>
        <v>0</v>
      </c>
      <c r="P6" s="668">
        <f t="shared" si="7"/>
        <v>0</v>
      </c>
      <c r="Q6" s="653" t="e">
        <f>$Q$4/$J$20*J6/F6*K6</f>
        <v>#REF!</v>
      </c>
      <c r="R6" s="653">
        <f>(L6-G6)*K6/10000</f>
        <v>0</v>
      </c>
      <c r="S6" s="653">
        <f>$S$4/$J$20*J6/F6*K6</f>
        <v>-157.583893662869</v>
      </c>
      <c r="U6" s="677">
        <f>F6/生产经营!$D$8</f>
        <v>0.183125</v>
      </c>
    </row>
    <row r="7" s="653" customFormat="1" ht="15.95" customHeight="1" spans="1:21">
      <c r="A7" s="665">
        <v>3</v>
      </c>
      <c r="B7" s="666" t="s">
        <v>72</v>
      </c>
      <c r="C7" s="667"/>
      <c r="D7" s="667"/>
      <c r="E7" s="667"/>
      <c r="F7" s="667">
        <v>78000</v>
      </c>
      <c r="G7" s="668">
        <f t="shared" si="0"/>
        <v>6575.32051282051</v>
      </c>
      <c r="H7" s="668">
        <f t="shared" si="1"/>
        <v>51287.5</v>
      </c>
      <c r="I7" s="674">
        <v>1</v>
      </c>
      <c r="J7" s="668">
        <f t="shared" si="2"/>
        <v>78000</v>
      </c>
      <c r="K7" s="667">
        <f t="shared" si="8"/>
        <v>78000</v>
      </c>
      <c r="L7" s="668">
        <f t="shared" si="3"/>
        <v>6575.32051282051</v>
      </c>
      <c r="M7" s="668">
        <f t="shared" si="4"/>
        <v>51287.5</v>
      </c>
      <c r="N7" s="668">
        <f t="shared" si="5"/>
        <v>0</v>
      </c>
      <c r="O7" s="668">
        <f t="shared" si="6"/>
        <v>0</v>
      </c>
      <c r="P7" s="668">
        <f t="shared" si="7"/>
        <v>0</v>
      </c>
      <c r="Q7" s="653" t="e">
        <f t="shared" ref="Q7:Q14" si="9">$Q$4/$J$20*J7/F7*K7</f>
        <v>#REF!</v>
      </c>
      <c r="R7" s="653">
        <f t="shared" ref="R7:R16" si="10">(L7-G7)*K7/10000</f>
        <v>0</v>
      </c>
      <c r="S7" s="653">
        <f t="shared" ref="S7:S17" si="11">$S$4/$J$20*J7/F7*K7</f>
        <v>-493.537189548434</v>
      </c>
      <c r="U7" s="677">
        <f>F7/生产经营!$D$8</f>
        <v>0.4875</v>
      </c>
    </row>
    <row r="8" s="653" customFormat="1" ht="15.95" customHeight="1" spans="1:21">
      <c r="A8" s="665">
        <v>4</v>
      </c>
      <c r="B8" s="666" t="s">
        <v>73</v>
      </c>
      <c r="C8" s="667"/>
      <c r="D8" s="667"/>
      <c r="E8" s="667"/>
      <c r="F8" s="667">
        <v>7500</v>
      </c>
      <c r="G8" s="668">
        <f t="shared" si="0"/>
        <v>5917.78666666667</v>
      </c>
      <c r="H8" s="668">
        <f t="shared" si="1"/>
        <v>4438.34</v>
      </c>
      <c r="I8" s="674">
        <v>0.9</v>
      </c>
      <c r="J8" s="668">
        <f t="shared" si="2"/>
        <v>6750</v>
      </c>
      <c r="K8" s="667">
        <f t="shared" si="8"/>
        <v>7500</v>
      </c>
      <c r="L8" s="668">
        <f t="shared" si="3"/>
        <v>5917.78666666667</v>
      </c>
      <c r="M8" s="668">
        <f t="shared" si="4"/>
        <v>4438.34</v>
      </c>
      <c r="N8" s="668">
        <f t="shared" si="5"/>
        <v>0</v>
      </c>
      <c r="O8" s="668">
        <f t="shared" si="6"/>
        <v>0</v>
      </c>
      <c r="P8" s="668">
        <f t="shared" si="7"/>
        <v>0</v>
      </c>
      <c r="Q8" s="653" t="e">
        <f t="shared" si="9"/>
        <v>#REF!</v>
      </c>
      <c r="R8" s="653">
        <f t="shared" si="10"/>
        <v>0</v>
      </c>
      <c r="S8" s="653">
        <f t="shared" si="11"/>
        <v>-42.7099490955376</v>
      </c>
      <c r="U8" s="677">
        <f>F8/生产经营!$D$8</f>
        <v>0.046875</v>
      </c>
    </row>
    <row r="9" s="653" customFormat="1" ht="15.95" customHeight="1" spans="1:21">
      <c r="A9" s="665">
        <v>5</v>
      </c>
      <c r="B9" s="666" t="s">
        <v>74</v>
      </c>
      <c r="C9" s="667"/>
      <c r="D9" s="667"/>
      <c r="E9" s="667"/>
      <c r="F9" s="667">
        <v>0</v>
      </c>
      <c r="G9" s="668">
        <f t="shared" si="0"/>
        <v>0</v>
      </c>
      <c r="H9" s="668">
        <f t="shared" si="1"/>
        <v>0</v>
      </c>
      <c r="I9" s="674">
        <v>0.85</v>
      </c>
      <c r="J9" s="668">
        <f t="shared" si="2"/>
        <v>0</v>
      </c>
      <c r="K9" s="667">
        <f t="shared" si="8"/>
        <v>0</v>
      </c>
      <c r="L9" s="668">
        <f t="shared" si="3"/>
        <v>0</v>
      </c>
      <c r="M9" s="668">
        <f t="shared" si="4"/>
        <v>0</v>
      </c>
      <c r="N9" s="668">
        <f t="shared" si="5"/>
        <v>0</v>
      </c>
      <c r="O9" s="668">
        <f t="shared" si="6"/>
        <v>0</v>
      </c>
      <c r="P9" s="668">
        <f t="shared" si="7"/>
        <v>0</v>
      </c>
      <c r="R9" s="653">
        <f t="shared" si="10"/>
        <v>0</v>
      </c>
      <c r="U9" s="677">
        <f>F9/生产经营!$D$8</f>
        <v>0</v>
      </c>
    </row>
    <row r="10" s="653" customFormat="1" ht="15.95" customHeight="1" spans="1:21">
      <c r="A10" s="665">
        <v>6</v>
      </c>
      <c r="B10" s="666" t="s">
        <v>75</v>
      </c>
      <c r="C10" s="667"/>
      <c r="D10" s="667"/>
      <c r="E10" s="667"/>
      <c r="F10" s="667">
        <v>0</v>
      </c>
      <c r="G10" s="668">
        <f t="shared" si="0"/>
        <v>0</v>
      </c>
      <c r="H10" s="668">
        <f t="shared" si="1"/>
        <v>0</v>
      </c>
      <c r="I10" s="674">
        <v>0.56</v>
      </c>
      <c r="J10" s="668">
        <f t="shared" si="2"/>
        <v>0</v>
      </c>
      <c r="K10" s="667">
        <f t="shared" si="8"/>
        <v>0</v>
      </c>
      <c r="L10" s="668"/>
      <c r="M10" s="668">
        <f>E10+H10</f>
        <v>0</v>
      </c>
      <c r="N10" s="668">
        <f t="shared" si="5"/>
        <v>0</v>
      </c>
      <c r="O10" s="668">
        <f t="shared" si="6"/>
        <v>0</v>
      </c>
      <c r="P10" s="668">
        <f t="shared" si="7"/>
        <v>0</v>
      </c>
      <c r="Q10" s="653">
        <f>IF(K10=0,0,$Q$4/$J$20*J10/F10*K10)</f>
        <v>0</v>
      </c>
      <c r="R10" s="653">
        <f t="shared" si="10"/>
        <v>0</v>
      </c>
      <c r="S10" s="653" t="e">
        <f t="shared" si="11"/>
        <v>#DIV/0!</v>
      </c>
      <c r="T10" s="653" t="e">
        <f>#REF!*L10/10000</f>
        <v>#REF!</v>
      </c>
      <c r="U10" s="677">
        <f>F10/生产经营!$D$8</f>
        <v>0</v>
      </c>
    </row>
    <row r="11" s="653" customFormat="1" ht="15.95" customHeight="1" spans="1:21">
      <c r="A11" s="665">
        <v>7</v>
      </c>
      <c r="B11" s="666" t="s">
        <v>49</v>
      </c>
      <c r="C11" s="667"/>
      <c r="D11" s="667"/>
      <c r="E11" s="667"/>
      <c r="F11" s="667"/>
      <c r="G11" s="668">
        <f t="shared" si="0"/>
        <v>0</v>
      </c>
      <c r="H11" s="668">
        <f t="shared" si="1"/>
        <v>0</v>
      </c>
      <c r="I11" s="674">
        <v>0.65</v>
      </c>
      <c r="J11" s="668">
        <f t="shared" si="2"/>
        <v>0</v>
      </c>
      <c r="K11" s="667">
        <f t="shared" si="8"/>
        <v>0</v>
      </c>
      <c r="L11" s="668">
        <f t="shared" si="3"/>
        <v>0</v>
      </c>
      <c r="M11" s="668">
        <f t="shared" si="4"/>
        <v>0</v>
      </c>
      <c r="N11" s="668">
        <f t="shared" si="5"/>
        <v>0</v>
      </c>
      <c r="O11" s="668">
        <f t="shared" si="6"/>
        <v>0</v>
      </c>
      <c r="P11" s="668">
        <f t="shared" si="7"/>
        <v>0</v>
      </c>
      <c r="R11" s="653">
        <f t="shared" si="10"/>
        <v>0</v>
      </c>
      <c r="U11" s="677">
        <f>F11/生产经营!$D$8</f>
        <v>0</v>
      </c>
    </row>
    <row r="12" s="653" customFormat="1" ht="15.95" customHeight="1" spans="1:21">
      <c r="A12" s="665">
        <v>8</v>
      </c>
      <c r="B12" s="666" t="s">
        <v>76</v>
      </c>
      <c r="C12" s="667"/>
      <c r="D12" s="667"/>
      <c r="E12" s="667"/>
      <c r="F12" s="667">
        <v>1000</v>
      </c>
      <c r="G12" s="668">
        <f t="shared" si="0"/>
        <v>2958.9</v>
      </c>
      <c r="H12" s="668">
        <f t="shared" si="1"/>
        <v>295.89</v>
      </c>
      <c r="I12" s="674">
        <v>0.45</v>
      </c>
      <c r="J12" s="668">
        <f t="shared" si="2"/>
        <v>450</v>
      </c>
      <c r="K12" s="667">
        <f t="shared" si="8"/>
        <v>1000</v>
      </c>
      <c r="L12" s="668">
        <f t="shared" si="3"/>
        <v>2958.9</v>
      </c>
      <c r="M12" s="668">
        <f t="shared" si="4"/>
        <v>295.89</v>
      </c>
      <c r="N12" s="668">
        <f t="shared" si="5"/>
        <v>0</v>
      </c>
      <c r="O12" s="668">
        <f t="shared" si="6"/>
        <v>0</v>
      </c>
      <c r="P12" s="668">
        <f t="shared" si="7"/>
        <v>0</v>
      </c>
      <c r="Q12" s="653" t="e">
        <f t="shared" si="9"/>
        <v>#REF!</v>
      </c>
      <c r="R12" s="653">
        <f t="shared" si="10"/>
        <v>0</v>
      </c>
      <c r="S12" s="653">
        <f t="shared" si="11"/>
        <v>-2.8473299397025</v>
      </c>
      <c r="U12" s="677">
        <f>F12/生产经营!$D$8</f>
        <v>0.00625</v>
      </c>
    </row>
    <row r="13" s="654" customFormat="1" ht="15.95" customHeight="1" spans="1:21">
      <c r="A13" s="665">
        <v>9</v>
      </c>
      <c r="B13" s="666" t="s">
        <v>77</v>
      </c>
      <c r="C13" s="667"/>
      <c r="D13" s="667"/>
      <c r="E13" s="667"/>
      <c r="F13" s="667">
        <v>0</v>
      </c>
      <c r="G13" s="668">
        <f t="shared" si="0"/>
        <v>0</v>
      </c>
      <c r="H13" s="668">
        <f t="shared" si="1"/>
        <v>0</v>
      </c>
      <c r="I13" s="674">
        <v>0.75</v>
      </c>
      <c r="J13" s="668">
        <f t="shared" si="2"/>
        <v>0</v>
      </c>
      <c r="K13" s="667">
        <f t="shared" si="8"/>
        <v>0</v>
      </c>
      <c r="L13" s="668">
        <f t="shared" si="3"/>
        <v>0</v>
      </c>
      <c r="M13" s="668">
        <f t="shared" si="4"/>
        <v>0</v>
      </c>
      <c r="N13" s="668">
        <f t="shared" si="5"/>
        <v>0</v>
      </c>
      <c r="O13" s="668">
        <f t="shared" si="6"/>
        <v>0</v>
      </c>
      <c r="P13" s="668">
        <f t="shared" si="7"/>
        <v>0</v>
      </c>
      <c r="Q13" s="653"/>
      <c r="R13" s="653">
        <f t="shared" si="10"/>
        <v>0</v>
      </c>
      <c r="S13" s="653"/>
      <c r="U13" s="677">
        <f>F13/生产经营!$D$8</f>
        <v>0</v>
      </c>
    </row>
    <row r="14" s="653" customFormat="1" ht="15.95" customHeight="1" spans="1:21">
      <c r="A14" s="665">
        <v>10</v>
      </c>
      <c r="B14" s="666" t="s">
        <v>78</v>
      </c>
      <c r="C14" s="667"/>
      <c r="D14" s="667"/>
      <c r="E14" s="667"/>
      <c r="F14" s="667">
        <v>28700</v>
      </c>
      <c r="G14" s="668">
        <f t="shared" si="0"/>
        <v>4273.95818815331</v>
      </c>
      <c r="H14" s="668">
        <f t="shared" si="1"/>
        <v>12266.26</v>
      </c>
      <c r="I14" s="674">
        <v>0.65</v>
      </c>
      <c r="J14" s="668">
        <f t="shared" si="2"/>
        <v>18655</v>
      </c>
      <c r="K14" s="667">
        <f t="shared" si="8"/>
        <v>28700</v>
      </c>
      <c r="L14" s="668">
        <f t="shared" si="3"/>
        <v>4273.95818815331</v>
      </c>
      <c r="M14" s="668">
        <f t="shared" si="4"/>
        <v>12266.26</v>
      </c>
      <c r="N14" s="668">
        <f t="shared" si="5"/>
        <v>0</v>
      </c>
      <c r="O14" s="668">
        <f t="shared" si="6"/>
        <v>0</v>
      </c>
      <c r="P14" s="668">
        <f t="shared" si="7"/>
        <v>0</v>
      </c>
      <c r="Q14" s="653" t="e">
        <f t="shared" si="9"/>
        <v>#REF!</v>
      </c>
      <c r="R14" s="653">
        <f t="shared" si="10"/>
        <v>0</v>
      </c>
      <c r="S14" s="653">
        <f t="shared" si="11"/>
        <v>-118.037644500334</v>
      </c>
      <c r="U14" s="677">
        <f>F14/生产经营!$D$8</f>
        <v>0.179375</v>
      </c>
    </row>
    <row r="15" s="653" customFormat="1" ht="15.95" customHeight="1" spans="1:21">
      <c r="A15" s="665">
        <v>11</v>
      </c>
      <c r="B15" s="666" t="s">
        <v>50</v>
      </c>
      <c r="C15" s="667"/>
      <c r="D15" s="667"/>
      <c r="E15" s="667"/>
      <c r="F15" s="669">
        <v>16000</v>
      </c>
      <c r="G15" s="668">
        <f t="shared" si="0"/>
        <v>2958.89375</v>
      </c>
      <c r="H15" s="668">
        <f t="shared" si="1"/>
        <v>4734.23</v>
      </c>
      <c r="I15" s="674">
        <v>0.45</v>
      </c>
      <c r="J15" s="668">
        <f t="shared" si="2"/>
        <v>7200</v>
      </c>
      <c r="K15" s="667">
        <f t="shared" si="8"/>
        <v>16000</v>
      </c>
      <c r="L15" s="668">
        <f t="shared" si="3"/>
        <v>2958.89375</v>
      </c>
      <c r="M15" s="668">
        <f t="shared" si="4"/>
        <v>4734.23</v>
      </c>
      <c r="N15" s="668">
        <f t="shared" si="5"/>
        <v>0</v>
      </c>
      <c r="O15" s="668">
        <f t="shared" si="6"/>
        <v>0</v>
      </c>
      <c r="P15" s="668">
        <f t="shared" si="7"/>
        <v>0</v>
      </c>
      <c r="Q15" s="653" t="e">
        <f>IF(K15=0,0,$Q$4/$J$20*J15/F15*K15)</f>
        <v>#REF!</v>
      </c>
      <c r="R15" s="653">
        <f t="shared" si="10"/>
        <v>0</v>
      </c>
      <c r="S15" s="653">
        <f t="shared" si="11"/>
        <v>-45.5572790352401</v>
      </c>
      <c r="U15" s="677">
        <f>F15/生产经营!$D$8</f>
        <v>0.1</v>
      </c>
    </row>
    <row r="16" s="653" customFormat="1" ht="15.95" customHeight="1" spans="1:21">
      <c r="A16" s="665">
        <v>12</v>
      </c>
      <c r="B16" s="666" t="s">
        <v>79</v>
      </c>
      <c r="C16" s="667"/>
      <c r="D16" s="667"/>
      <c r="E16" s="667"/>
      <c r="F16" s="667">
        <v>0</v>
      </c>
      <c r="G16" s="668">
        <f t="shared" si="0"/>
        <v>0</v>
      </c>
      <c r="H16" s="668">
        <f t="shared" si="1"/>
        <v>0</v>
      </c>
      <c r="I16" s="674">
        <v>0.56</v>
      </c>
      <c r="J16" s="668">
        <f t="shared" si="2"/>
        <v>0</v>
      </c>
      <c r="K16" s="667">
        <f t="shared" si="8"/>
        <v>0</v>
      </c>
      <c r="L16" s="668">
        <f t="shared" si="3"/>
        <v>0</v>
      </c>
      <c r="M16" s="668">
        <f t="shared" si="4"/>
        <v>0</v>
      </c>
      <c r="N16" s="668">
        <f t="shared" si="5"/>
        <v>0</v>
      </c>
      <c r="O16" s="668">
        <f t="shared" si="6"/>
        <v>0</v>
      </c>
      <c r="P16" s="668">
        <f t="shared" si="7"/>
        <v>0</v>
      </c>
      <c r="Q16" s="653">
        <f t="shared" ref="Q16:Q17" si="12">IF(K16=0,0,$Q$4/$J$20*J16/F16*K16)</f>
        <v>0</v>
      </c>
      <c r="R16" s="653">
        <f t="shared" si="10"/>
        <v>0</v>
      </c>
      <c r="S16" s="653" t="e">
        <f t="shared" si="11"/>
        <v>#DIV/0!</v>
      </c>
      <c r="U16" s="677">
        <f>F16/生产经营!$D$8</f>
        <v>0</v>
      </c>
    </row>
    <row r="17" s="653" customFormat="1" ht="15.95" customHeight="1" spans="1:21">
      <c r="A17" s="665">
        <v>13</v>
      </c>
      <c r="B17" s="666" t="s">
        <v>80</v>
      </c>
      <c r="C17" s="667"/>
      <c r="D17" s="667"/>
      <c r="E17" s="667"/>
      <c r="F17" s="667"/>
      <c r="G17" s="668">
        <f t="shared" si="0"/>
        <v>0</v>
      </c>
      <c r="H17" s="668">
        <f t="shared" si="1"/>
        <v>0</v>
      </c>
      <c r="I17" s="674">
        <v>0.7</v>
      </c>
      <c r="J17" s="668">
        <f t="shared" si="2"/>
        <v>0</v>
      </c>
      <c r="K17" s="667">
        <f t="shared" si="8"/>
        <v>0</v>
      </c>
      <c r="L17" s="668">
        <f t="shared" si="3"/>
        <v>0</v>
      </c>
      <c r="M17" s="668">
        <f t="shared" si="4"/>
        <v>0</v>
      </c>
      <c r="N17" s="668">
        <f t="shared" ref="N17" si="13">C17+F17-K17</f>
        <v>0</v>
      </c>
      <c r="O17" s="668">
        <f t="shared" ref="O17" si="14">IF(N17=0,0,P17/N17)*10000</f>
        <v>0</v>
      </c>
      <c r="P17" s="668">
        <f t="shared" ref="P17" si="15">E17+H17-M17</f>
        <v>0</v>
      </c>
      <c r="Q17" s="653">
        <f t="shared" si="12"/>
        <v>0</v>
      </c>
      <c r="R17" s="653">
        <f t="shared" ref="R17:R19" si="16">M17-H17</f>
        <v>0</v>
      </c>
      <c r="S17" s="653" t="e">
        <f t="shared" si="11"/>
        <v>#DIV/0!</v>
      </c>
      <c r="U17" s="677">
        <f>F17/生产经营!$D$8</f>
        <v>0</v>
      </c>
    </row>
    <row r="18" s="653" customFormat="1" ht="15.95" customHeight="1" spans="1:21">
      <c r="A18" s="665">
        <v>14</v>
      </c>
      <c r="B18" s="666"/>
      <c r="C18" s="667"/>
      <c r="D18" s="667"/>
      <c r="E18" s="667"/>
      <c r="F18" s="667"/>
      <c r="G18" s="668">
        <f t="shared" si="0"/>
        <v>0</v>
      </c>
      <c r="H18" s="668">
        <f t="shared" si="1"/>
        <v>0</v>
      </c>
      <c r="I18" s="674">
        <v>0.45</v>
      </c>
      <c r="J18" s="668">
        <f t="shared" si="2"/>
        <v>0</v>
      </c>
      <c r="K18" s="667">
        <f t="shared" si="8"/>
        <v>0</v>
      </c>
      <c r="L18" s="668">
        <f t="shared" si="3"/>
        <v>0</v>
      </c>
      <c r="M18" s="668">
        <f t="shared" si="4"/>
        <v>0</v>
      </c>
      <c r="N18" s="668">
        <f t="shared" ref="N18" si="17">C18+F18-K18</f>
        <v>0</v>
      </c>
      <c r="O18" s="668">
        <f t="shared" ref="O18" si="18">IF(N18=0,0,P18/N18)*10000</f>
        <v>0</v>
      </c>
      <c r="P18" s="668">
        <f t="shared" ref="P18" si="19">E18+H18-M18</f>
        <v>0</v>
      </c>
      <c r="R18" s="653">
        <f t="shared" si="16"/>
        <v>0</v>
      </c>
      <c r="U18" s="677">
        <f>F18/生产经营!$D$8</f>
        <v>0</v>
      </c>
    </row>
    <row r="19" s="653" customFormat="1" ht="15.95" customHeight="1" spans="1:21">
      <c r="A19" s="665"/>
      <c r="B19" s="666"/>
      <c r="C19" s="667"/>
      <c r="D19" s="667"/>
      <c r="E19" s="667"/>
      <c r="F19" s="667"/>
      <c r="G19" s="668"/>
      <c r="H19" s="668">
        <f t="shared" si="1"/>
        <v>0</v>
      </c>
      <c r="I19" s="674"/>
      <c r="J19" s="668"/>
      <c r="K19" s="667">
        <f t="shared" si="8"/>
        <v>0</v>
      </c>
      <c r="L19" s="668"/>
      <c r="M19" s="668">
        <f t="shared" si="4"/>
        <v>0</v>
      </c>
      <c r="N19" s="668"/>
      <c r="O19" s="668"/>
      <c r="P19" s="668"/>
      <c r="R19" s="653">
        <f t="shared" si="16"/>
        <v>0</v>
      </c>
      <c r="U19" s="677">
        <f>F19/生产经营!$D$8</f>
        <v>0</v>
      </c>
    </row>
    <row r="20" s="654" customFormat="1" ht="12.75" spans="1:21">
      <c r="A20" s="665">
        <v>13</v>
      </c>
      <c r="B20" s="670" t="s">
        <v>51</v>
      </c>
      <c r="C20" s="668"/>
      <c r="D20" s="668"/>
      <c r="E20" s="668"/>
      <c r="F20" s="668">
        <f>SUM(F5:F19)</f>
        <v>160500</v>
      </c>
      <c r="G20" s="668">
        <f>IF(F20=0,0,H20/F20)*10000</f>
        <v>5569.9726422004</v>
      </c>
      <c r="H20" s="668">
        <f>生产经营!F51</f>
        <v>89398.0609073165</v>
      </c>
      <c r="I20" s="674">
        <f>IF(F20=0,0,J20/F20)</f>
        <v>0.847102803738318</v>
      </c>
      <c r="J20" s="668">
        <f>SUM(J5:J19)</f>
        <v>135960</v>
      </c>
      <c r="K20" s="667">
        <f t="shared" si="8"/>
        <v>160500</v>
      </c>
      <c r="L20" s="668">
        <f>IF(K20=0,0,M20/K20)*10000</f>
        <v>5569.97258566978</v>
      </c>
      <c r="M20" s="668">
        <f>SUM(M5:M19)</f>
        <v>89398.06</v>
      </c>
      <c r="N20" s="668">
        <f>SUM(N5:N19)</f>
        <v>0</v>
      </c>
      <c r="O20" s="668">
        <f>IF(N20=0,0,P20/N20)*10000</f>
        <v>0</v>
      </c>
      <c r="P20" s="668">
        <f>SUM(P5:P19)</f>
        <v>0</v>
      </c>
      <c r="Q20" s="654" t="e">
        <f>SUM(Q6:Q19)</f>
        <v>#REF!</v>
      </c>
      <c r="R20" s="654">
        <f>SUM(R6:R19)</f>
        <v>0</v>
      </c>
      <c r="S20" s="653">
        <f>$S$4/$J$20*J20/F20*K20</f>
        <v>-860.273285782117</v>
      </c>
      <c r="U20" s="677">
        <f>F20/生产经营!$D$8</f>
        <v>1.003125</v>
      </c>
    </row>
  </sheetData>
  <mergeCells count="3">
    <mergeCell ref="F3:J3"/>
    <mergeCell ref="A3:A4"/>
    <mergeCell ref="B3:B4"/>
  </mergeCells>
  <pageMargins left="0.75" right="0.75" top="1" bottom="1" header="0.5" footer="0.5"/>
  <pageSetup paperSize="9" scale="4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G80"/>
  <sheetViews>
    <sheetView zoomScale="90" zoomScaleNormal="90" workbookViewId="0">
      <selection activeCell="A2" sqref="A2"/>
    </sheetView>
  </sheetViews>
  <sheetFormatPr defaultColWidth="9" defaultRowHeight="14.25" outlineLevelCol="6"/>
  <cols>
    <col min="1" max="1" width="6.625" style="569" customWidth="1"/>
    <col min="2" max="2" width="19" style="569" customWidth="1"/>
    <col min="3" max="3" width="5.625" style="569" customWidth="1"/>
    <col min="4" max="4" width="13.75" style="569" customWidth="1"/>
    <col min="5" max="5" width="10.75" style="570" customWidth="1"/>
    <col min="6" max="6" width="15.5" style="569" customWidth="1"/>
    <col min="7" max="7" width="11.125" style="569" customWidth="1"/>
    <col min="8" max="16384" width="9" style="569"/>
  </cols>
  <sheetData>
    <row r="1" ht="27" spans="1:7">
      <c r="A1" s="516" t="s">
        <v>81</v>
      </c>
      <c r="B1" s="571"/>
      <c r="C1" s="571"/>
      <c r="D1" s="571"/>
      <c r="E1" s="571"/>
      <c r="F1" s="571"/>
      <c r="G1" s="571"/>
    </row>
    <row r="2" spans="4:7">
      <c r="D2" s="563"/>
      <c r="E2" s="572"/>
      <c r="F2" s="536"/>
      <c r="G2" s="536"/>
    </row>
    <row r="3" spans="1:7">
      <c r="A3" s="573" t="s">
        <v>82</v>
      </c>
      <c r="B3" s="574"/>
      <c r="C3" s="574"/>
      <c r="D3" s="575"/>
      <c r="E3" s="576"/>
      <c r="F3" s="536"/>
      <c r="G3" s="577"/>
    </row>
    <row r="4" spans="1:7">
      <c r="A4" s="578" t="s">
        <v>41</v>
      </c>
      <c r="B4" s="578" t="s">
        <v>83</v>
      </c>
      <c r="C4" s="578" t="s">
        <v>84</v>
      </c>
      <c r="D4" s="579" t="str">
        <f>利润表!$B$3</f>
        <v>8月预测</v>
      </c>
      <c r="E4" s="580"/>
      <c r="F4" s="581"/>
      <c r="G4" s="582"/>
    </row>
    <row r="5" s="566" customFormat="1" spans="1:7">
      <c r="A5" s="578"/>
      <c r="B5" s="578"/>
      <c r="C5" s="578"/>
      <c r="D5" s="578" t="s">
        <v>65</v>
      </c>
      <c r="E5" s="578" t="s">
        <v>66</v>
      </c>
      <c r="F5" s="578" t="s">
        <v>85</v>
      </c>
      <c r="G5" s="578" t="s">
        <v>86</v>
      </c>
    </row>
    <row r="6" s="567" customFormat="1" ht="16.5" customHeight="1" spans="1:7">
      <c r="A6" s="583" t="s">
        <v>87</v>
      </c>
      <c r="B6" s="584" t="s">
        <v>88</v>
      </c>
      <c r="C6" s="584"/>
      <c r="D6" s="585">
        <f>SUM(D7:D11)</f>
        <v>175900</v>
      </c>
      <c r="E6" s="585">
        <f>IF(D6=0,0,F6/D6*10000)</f>
        <v>4735.70845736214</v>
      </c>
      <c r="F6" s="585">
        <f>SUM(F7:F11)</f>
        <v>83301.111765</v>
      </c>
      <c r="G6" s="586">
        <f>F6/D$6*10000</f>
        <v>4735.70845736214</v>
      </c>
    </row>
    <row r="7" ht="16.5" customHeight="1" spans="1:7">
      <c r="A7" s="587">
        <v>1</v>
      </c>
      <c r="B7" s="588" t="s">
        <v>89</v>
      </c>
      <c r="C7" s="589" t="s">
        <v>90</v>
      </c>
      <c r="D7" s="590">
        <v>3900</v>
      </c>
      <c r="E7" s="590">
        <v>8117.03539823009</v>
      </c>
      <c r="F7" s="591">
        <f>ROUND(E7*D7,2)/10000</f>
        <v>3165.643805</v>
      </c>
      <c r="G7" s="592"/>
    </row>
    <row r="8" ht="16.5" customHeight="1" spans="1:7">
      <c r="A8" s="587">
        <v>2</v>
      </c>
      <c r="B8" s="588" t="s">
        <v>91</v>
      </c>
      <c r="C8" s="589"/>
      <c r="D8" s="590">
        <v>160000</v>
      </c>
      <c r="E8" s="590">
        <v>4664.21795426467</v>
      </c>
      <c r="F8" s="591">
        <f>ROUND(E8*D8,2)/10000</f>
        <v>74627.487268</v>
      </c>
      <c r="G8" s="592"/>
    </row>
    <row r="9" ht="16.5" customHeight="1" spans="1:7">
      <c r="A9" s="587">
        <v>3</v>
      </c>
      <c r="B9" s="593" t="s">
        <v>92</v>
      </c>
      <c r="C9" s="589" t="s">
        <v>90</v>
      </c>
      <c r="D9" s="590">
        <v>4600</v>
      </c>
      <c r="E9" s="590">
        <v>4097.34513274336</v>
      </c>
      <c r="F9" s="591">
        <f t="shared" ref="F9:F11" si="0">ROUND(E9*D9,2)/10000</f>
        <v>1884.778761</v>
      </c>
      <c r="G9" s="592"/>
    </row>
    <row r="10" ht="16.5" customHeight="1" spans="1:7">
      <c r="A10" s="587"/>
      <c r="B10" s="593" t="s">
        <v>93</v>
      </c>
      <c r="C10" s="589"/>
      <c r="D10" s="590">
        <v>7400</v>
      </c>
      <c r="E10" s="590">
        <v>4896.21882542237</v>
      </c>
      <c r="F10" s="591">
        <f t="shared" si="0"/>
        <v>3623.201931</v>
      </c>
      <c r="G10" s="592"/>
    </row>
    <row r="11" ht="16.5" customHeight="1" spans="1:7">
      <c r="A11" s="587">
        <v>3</v>
      </c>
      <c r="B11" s="593" t="s">
        <v>94</v>
      </c>
      <c r="C11" s="589"/>
      <c r="D11" s="590"/>
      <c r="E11" s="590">
        <v>5230.69187449718</v>
      </c>
      <c r="F11" s="591">
        <f t="shared" si="0"/>
        <v>0</v>
      </c>
      <c r="G11" s="592"/>
    </row>
    <row r="12" s="567" customFormat="1" ht="16.5" customHeight="1" spans="1:7">
      <c r="A12" s="583" t="s">
        <v>95</v>
      </c>
      <c r="B12" s="594" t="s">
        <v>96</v>
      </c>
      <c r="C12" s="595"/>
      <c r="D12" s="596"/>
      <c r="E12" s="597">
        <f>IF(D6=0,0,F12/D6)</f>
        <v>0.000966458214894827</v>
      </c>
      <c r="F12" s="598">
        <v>170</v>
      </c>
      <c r="G12" s="586">
        <f>F12/D$6*10000</f>
        <v>9.66458214894827</v>
      </c>
    </row>
    <row r="13" s="567" customFormat="1" ht="16.5" customHeight="1" spans="1:7">
      <c r="A13" s="583" t="s">
        <v>97</v>
      </c>
      <c r="B13" s="594" t="s">
        <v>98</v>
      </c>
      <c r="C13" s="595"/>
      <c r="D13" s="596"/>
      <c r="E13" s="597">
        <f>IF(D6=0,0,F13/D6)</f>
        <v>0.0201389724520907</v>
      </c>
      <c r="F13" s="596">
        <f>SUM(F14:F32)</f>
        <v>3542.44525432276</v>
      </c>
      <c r="G13" s="585">
        <f>F13/D$6*10000</f>
        <v>201.389724520907</v>
      </c>
    </row>
    <row r="14" ht="16.5" customHeight="1" spans="1:7">
      <c r="A14" s="587">
        <v>1</v>
      </c>
      <c r="B14" s="599" t="s">
        <v>99</v>
      </c>
      <c r="C14" s="589" t="s">
        <v>90</v>
      </c>
      <c r="D14" s="600"/>
      <c r="E14" s="601"/>
      <c r="F14" s="601">
        <f t="shared" ref="F14:F31" si="1">ROUND(E14*D14,2)/10000</f>
        <v>0</v>
      </c>
      <c r="G14" s="592">
        <f>F14/D$6*10000</f>
        <v>0</v>
      </c>
    </row>
    <row r="15" ht="16.5" customHeight="1" spans="1:7">
      <c r="A15" s="587">
        <v>2</v>
      </c>
      <c r="B15" s="599" t="s">
        <v>100</v>
      </c>
      <c r="C15" s="589" t="s">
        <v>90</v>
      </c>
      <c r="D15" s="600">
        <v>2598706.01485443</v>
      </c>
      <c r="E15" s="601">
        <v>0.403669724770642</v>
      </c>
      <c r="F15" s="602">
        <f>D15*E15/10000</f>
        <v>104.90189417761</v>
      </c>
      <c r="G15" s="592">
        <f t="shared" ref="G15:G47" si="2">F15/D$6*10000</f>
        <v>5.96372337564582</v>
      </c>
    </row>
    <row r="16" ht="16.5" customHeight="1" spans="1:7">
      <c r="A16" s="587">
        <v>3</v>
      </c>
      <c r="B16" s="603" t="s">
        <v>101</v>
      </c>
      <c r="C16" s="589" t="s">
        <v>90</v>
      </c>
      <c r="D16" s="600">
        <v>608.082124352112</v>
      </c>
      <c r="E16" s="601">
        <v>8.22018348623853</v>
      </c>
      <c r="F16" s="602">
        <f t="shared" ref="F16:F30" si="3">D16*E16/10000</f>
        <v>0.499854663687608</v>
      </c>
      <c r="G16" s="592">
        <f t="shared" si="2"/>
        <v>0.0284169791749635</v>
      </c>
    </row>
    <row r="17" ht="16.5" customHeight="1" spans="1:7">
      <c r="A17" s="587">
        <v>4</v>
      </c>
      <c r="B17" s="603" t="s">
        <v>102</v>
      </c>
      <c r="C17" s="589" t="s">
        <v>90</v>
      </c>
      <c r="D17" s="600">
        <v>8696.00374147682</v>
      </c>
      <c r="E17" s="601">
        <v>18.1009174311927</v>
      </c>
      <c r="F17" s="602">
        <f t="shared" si="3"/>
        <v>15.7405645705815</v>
      </c>
      <c r="G17" s="592">
        <f t="shared" si="2"/>
        <v>0.894858702136525</v>
      </c>
    </row>
    <row r="18" ht="16.5" customHeight="1" spans="1:7">
      <c r="A18" s="587">
        <v>5</v>
      </c>
      <c r="B18" s="131" t="s">
        <v>103</v>
      </c>
      <c r="C18" s="604" t="s">
        <v>90</v>
      </c>
      <c r="D18" s="600">
        <v>21332.400657225</v>
      </c>
      <c r="E18" s="601">
        <v>4.3394495412844</v>
      </c>
      <c r="F18" s="602">
        <f t="shared" si="3"/>
        <v>9.257087624649</v>
      </c>
      <c r="G18" s="592">
        <f t="shared" si="2"/>
        <v>0.526269904755486</v>
      </c>
    </row>
    <row r="19" ht="16.5" customHeight="1" spans="1:7">
      <c r="A19" s="587">
        <v>6</v>
      </c>
      <c r="B19" s="599" t="s">
        <v>104</v>
      </c>
      <c r="C19" s="589" t="s">
        <v>105</v>
      </c>
      <c r="D19" s="600">
        <v>11527116.0676866</v>
      </c>
      <c r="E19" s="601">
        <v>0.557522123893805</v>
      </c>
      <c r="F19" s="602">
        <f t="shared" si="3"/>
        <v>642.662223242704</v>
      </c>
      <c r="G19" s="592">
        <f t="shared" si="2"/>
        <v>36.5356579444402</v>
      </c>
    </row>
    <row r="20" ht="16.5" customHeight="1" spans="1:7">
      <c r="A20" s="587">
        <v>7</v>
      </c>
      <c r="B20" s="599" t="s">
        <v>104</v>
      </c>
      <c r="C20" s="589" t="s">
        <v>106</v>
      </c>
      <c r="D20" s="600">
        <v>0</v>
      </c>
      <c r="E20" s="601"/>
      <c r="F20" s="602">
        <f t="shared" si="3"/>
        <v>0</v>
      </c>
      <c r="G20" s="592">
        <f t="shared" si="2"/>
        <v>0</v>
      </c>
    </row>
    <row r="21" ht="16.5" customHeight="1" spans="1:7">
      <c r="A21" s="587">
        <v>8</v>
      </c>
      <c r="B21" s="599" t="s">
        <v>107</v>
      </c>
      <c r="C21" s="589" t="s">
        <v>90</v>
      </c>
      <c r="D21" s="600">
        <v>80300.8597634179</v>
      </c>
      <c r="E21" s="601">
        <v>208.192660550459</v>
      </c>
      <c r="F21" s="602">
        <f t="shared" si="3"/>
        <v>1671.80496386353</v>
      </c>
      <c r="G21" s="592">
        <f t="shared" si="2"/>
        <v>95.0429200604621</v>
      </c>
    </row>
    <row r="22" ht="16.5" customHeight="1" spans="1:7">
      <c r="A22" s="587">
        <v>9</v>
      </c>
      <c r="B22" s="599" t="s">
        <v>108</v>
      </c>
      <c r="C22" s="589" t="s">
        <v>109</v>
      </c>
      <c r="D22" s="600">
        <v>902333.036744557</v>
      </c>
      <c r="E22" s="601">
        <v>0.230088495575221</v>
      </c>
      <c r="F22" s="602">
        <f t="shared" si="3"/>
        <v>20.7616450932376</v>
      </c>
      <c r="G22" s="592">
        <f t="shared" si="2"/>
        <v>1.18030955618178</v>
      </c>
    </row>
    <row r="23" ht="16.5" customHeight="1" spans="1:7">
      <c r="A23" s="587">
        <v>10</v>
      </c>
      <c r="B23" s="599" t="s">
        <v>110</v>
      </c>
      <c r="C23" s="589" t="s">
        <v>109</v>
      </c>
      <c r="D23" s="600">
        <v>0</v>
      </c>
      <c r="E23" s="601">
        <v>0.442477876106195</v>
      </c>
      <c r="F23" s="602">
        <f t="shared" si="3"/>
        <v>0</v>
      </c>
      <c r="G23" s="592">
        <f t="shared" si="2"/>
        <v>0</v>
      </c>
    </row>
    <row r="24" ht="16.5" customHeight="1" spans="1:7">
      <c r="A24" s="587">
        <v>11</v>
      </c>
      <c r="B24" s="599" t="s">
        <v>111</v>
      </c>
      <c r="C24" s="589" t="s">
        <v>109</v>
      </c>
      <c r="D24" s="600">
        <v>61003.3809074653</v>
      </c>
      <c r="E24" s="601">
        <v>0.15929203539823</v>
      </c>
      <c r="F24" s="602">
        <f t="shared" si="3"/>
        <v>0.971735271092367</v>
      </c>
      <c r="G24" s="592">
        <f t="shared" si="2"/>
        <v>0.0552436197323688</v>
      </c>
    </row>
    <row r="25" s="536" customFormat="1" ht="16.5" customHeight="1" spans="1:7">
      <c r="A25" s="528">
        <v>12</v>
      </c>
      <c r="B25" s="599" t="s">
        <v>112</v>
      </c>
      <c r="C25" s="605" t="s">
        <v>109</v>
      </c>
      <c r="D25" s="600">
        <v>0</v>
      </c>
      <c r="E25" s="606">
        <v>0.141592920353982</v>
      </c>
      <c r="F25" s="602">
        <f t="shared" si="3"/>
        <v>0</v>
      </c>
      <c r="G25" s="607">
        <f t="shared" si="2"/>
        <v>0</v>
      </c>
    </row>
    <row r="26" s="536" customFormat="1" ht="16.5" customHeight="1" spans="1:7">
      <c r="A26" s="528">
        <v>13</v>
      </c>
      <c r="B26" s="603" t="s">
        <v>113</v>
      </c>
      <c r="C26" s="605" t="s">
        <v>90</v>
      </c>
      <c r="D26" s="590">
        <v>-3801.63476806991</v>
      </c>
      <c r="E26" s="608">
        <v>104.091743119266</v>
      </c>
      <c r="F26" s="609"/>
      <c r="G26" s="607">
        <f t="shared" si="2"/>
        <v>0</v>
      </c>
    </row>
    <row r="27" ht="16.5" customHeight="1" spans="1:7">
      <c r="A27" s="587">
        <v>14</v>
      </c>
      <c r="B27" s="599" t="s">
        <v>114</v>
      </c>
      <c r="C27" s="589" t="s">
        <v>90</v>
      </c>
      <c r="D27" s="600">
        <v>-40532.9784750217</v>
      </c>
      <c r="E27" s="601">
        <v>138.48623853211</v>
      </c>
      <c r="F27" s="602">
        <f t="shared" si="3"/>
        <v>-561.325972550874</v>
      </c>
      <c r="G27" s="607">
        <f t="shared" si="2"/>
        <v>-31.9116527885659</v>
      </c>
    </row>
    <row r="28" s="568" customFormat="1" ht="16.5" customHeight="1" spans="1:7">
      <c r="A28" s="587">
        <v>15</v>
      </c>
      <c r="B28" s="603" t="s">
        <v>115</v>
      </c>
      <c r="C28" s="589" t="s">
        <v>90</v>
      </c>
      <c r="D28" s="600">
        <v>-46572.1579303675</v>
      </c>
      <c r="E28" s="601">
        <v>3.10091743119266</v>
      </c>
      <c r="F28" s="602">
        <f t="shared" si="3"/>
        <v>-14.4416416334534</v>
      </c>
      <c r="G28" s="607">
        <f t="shared" si="2"/>
        <v>-0.821014305483423</v>
      </c>
    </row>
    <row r="29" s="568" customFormat="1" ht="16.5" customHeight="1" spans="1:7">
      <c r="A29" s="587">
        <v>16</v>
      </c>
      <c r="B29" s="599" t="s">
        <v>116</v>
      </c>
      <c r="C29" s="589" t="s">
        <v>90</v>
      </c>
      <c r="D29" s="610">
        <v>0</v>
      </c>
      <c r="E29" s="601">
        <v>0</v>
      </c>
      <c r="F29" s="602">
        <f t="shared" si="3"/>
        <v>0</v>
      </c>
      <c r="G29" s="607">
        <f t="shared" si="2"/>
        <v>0</v>
      </c>
    </row>
    <row r="30" s="568" customFormat="1" spans="1:7">
      <c r="A30" s="587">
        <v>17</v>
      </c>
      <c r="B30" s="599" t="s">
        <v>117</v>
      </c>
      <c r="C30" s="589" t="s">
        <v>90</v>
      </c>
      <c r="D30" s="610">
        <v>4700</v>
      </c>
      <c r="E30" s="610">
        <v>3514.07</v>
      </c>
      <c r="F30" s="602">
        <f t="shared" si="3"/>
        <v>1651.6129</v>
      </c>
      <c r="G30" s="607">
        <f t="shared" si="2"/>
        <v>93.8949914724275</v>
      </c>
    </row>
    <row r="31" s="568" customFormat="1" ht="16.5" customHeight="1" spans="1:7">
      <c r="A31" s="587">
        <v>18</v>
      </c>
      <c r="B31" s="603" t="s">
        <v>118</v>
      </c>
      <c r="C31" s="589" t="s">
        <v>90</v>
      </c>
      <c r="D31" s="610"/>
      <c r="E31" s="608"/>
      <c r="F31" s="611">
        <f t="shared" si="1"/>
        <v>0</v>
      </c>
      <c r="G31" s="607">
        <f t="shared" ref="G31" si="4">F31/D$6*10000</f>
        <v>0</v>
      </c>
    </row>
    <row r="32" s="568" customFormat="1" ht="16.5" customHeight="1" spans="1:7">
      <c r="A32" s="612"/>
      <c r="B32" s="613"/>
      <c r="C32" s="605"/>
      <c r="D32" s="614"/>
      <c r="E32" s="615"/>
      <c r="F32" s="616"/>
      <c r="G32" s="617"/>
    </row>
    <row r="33" s="568" customFormat="1" ht="16.5" hidden="1" customHeight="1" spans="1:7">
      <c r="A33" s="618"/>
      <c r="B33" s="619"/>
      <c r="C33" s="589"/>
      <c r="D33" s="620"/>
      <c r="E33" s="621"/>
      <c r="F33" s="621"/>
      <c r="G33" s="622"/>
    </row>
    <row r="34" s="568" customFormat="1" ht="16.5" hidden="1" customHeight="1" spans="1:7">
      <c r="A34" s="618"/>
      <c r="B34" s="619"/>
      <c r="C34" s="589"/>
      <c r="D34" s="620"/>
      <c r="E34" s="621"/>
      <c r="F34" s="621"/>
      <c r="G34" s="622"/>
    </row>
    <row r="35" s="567" customFormat="1" ht="15" spans="1:7">
      <c r="A35" s="623" t="s">
        <v>119</v>
      </c>
      <c r="B35" s="31" t="s">
        <v>120</v>
      </c>
      <c r="C35" s="589"/>
      <c r="D35" s="624"/>
      <c r="E35" s="625"/>
      <c r="F35" s="626">
        <f>SUM(F36:F43)</f>
        <v>3679.85004583498</v>
      </c>
      <c r="G35" s="585">
        <f>F35/D$6*10000</f>
        <v>209.201253316372</v>
      </c>
    </row>
    <row r="36" spans="1:7">
      <c r="A36" s="16">
        <v>1</v>
      </c>
      <c r="B36" s="47" t="s">
        <v>121</v>
      </c>
      <c r="C36" s="627"/>
      <c r="D36" s="628"/>
      <c r="E36" s="629"/>
      <c r="F36" s="630">
        <f>费用!C5</f>
        <v>912</v>
      </c>
      <c r="G36" s="592">
        <f t="shared" si="2"/>
        <v>51.847640704946</v>
      </c>
    </row>
    <row r="37" spans="1:7">
      <c r="A37" s="16">
        <v>2</v>
      </c>
      <c r="B37" s="47" t="s">
        <v>122</v>
      </c>
      <c r="C37" s="627"/>
      <c r="D37" s="628"/>
      <c r="E37" s="629"/>
      <c r="F37" s="631">
        <f>费用!C17</f>
        <v>451</v>
      </c>
      <c r="G37" s="592">
        <f t="shared" si="2"/>
        <v>25.6395679363275</v>
      </c>
    </row>
    <row r="38" spans="1:7">
      <c r="A38" s="16">
        <v>3</v>
      </c>
      <c r="B38" s="47" t="s">
        <v>123</v>
      </c>
      <c r="C38" s="627"/>
      <c r="D38" s="628"/>
      <c r="E38" s="629"/>
      <c r="F38" s="630">
        <f>费用!C7</f>
        <v>210</v>
      </c>
      <c r="G38" s="592">
        <f t="shared" si="2"/>
        <v>11.9386014781126</v>
      </c>
    </row>
    <row r="39" spans="1:7">
      <c r="A39" s="16">
        <v>4</v>
      </c>
      <c r="B39" s="47" t="s">
        <v>124</v>
      </c>
      <c r="C39" s="627"/>
      <c r="D39" s="628"/>
      <c r="E39" s="629"/>
      <c r="F39" s="631">
        <f>费用!C12</f>
        <v>60</v>
      </c>
      <c r="G39" s="592">
        <f t="shared" si="2"/>
        <v>3.41102899374645</v>
      </c>
    </row>
    <row r="40" spans="1:7">
      <c r="A40" s="16">
        <v>5</v>
      </c>
      <c r="B40" s="47" t="s">
        <v>125</v>
      </c>
      <c r="C40" s="627"/>
      <c r="D40" s="628"/>
      <c r="E40" s="629"/>
      <c r="F40" s="631">
        <f>费用!C22</f>
        <v>147</v>
      </c>
      <c r="G40" s="592">
        <f t="shared" si="2"/>
        <v>8.35702103467879</v>
      </c>
    </row>
    <row r="41" spans="1:7">
      <c r="A41" s="16">
        <v>6</v>
      </c>
      <c r="B41" s="47" t="s">
        <v>126</v>
      </c>
      <c r="C41" s="627"/>
      <c r="D41" s="628"/>
      <c r="E41" s="629"/>
      <c r="F41" s="631">
        <f>费用!C6</f>
        <v>30</v>
      </c>
      <c r="G41" s="592">
        <f t="shared" si="2"/>
        <v>1.70551449687322</v>
      </c>
    </row>
    <row r="42" spans="1:7">
      <c r="A42" s="16">
        <v>7</v>
      </c>
      <c r="B42" s="47" t="s">
        <v>127</v>
      </c>
      <c r="C42" s="627"/>
      <c r="D42" s="628"/>
      <c r="E42" s="629"/>
      <c r="F42" s="631">
        <f>SUM(费用!G11,费用!G14,费用!G18:G22)</f>
        <v>991.114820841267</v>
      </c>
      <c r="G42" s="592">
        <f t="shared" si="2"/>
        <v>56.3453565003563</v>
      </c>
    </row>
    <row r="43" spans="1:7">
      <c r="A43" s="16">
        <v>8</v>
      </c>
      <c r="B43" s="47" t="s">
        <v>128</v>
      </c>
      <c r="C43" s="627"/>
      <c r="D43" s="628"/>
      <c r="E43" s="629"/>
      <c r="F43" s="631">
        <f>费用!C4-SUM(生产经营!F36:F42)</f>
        <v>878.73522499371</v>
      </c>
      <c r="G43" s="592">
        <f t="shared" si="2"/>
        <v>49.9565221713309</v>
      </c>
    </row>
    <row r="44" s="536" customFormat="1" ht="15" spans="1:7">
      <c r="A44" s="16" t="s">
        <v>129</v>
      </c>
      <c r="B44" s="632" t="s">
        <v>130</v>
      </c>
      <c r="C44" s="633"/>
      <c r="D44" s="634"/>
      <c r="E44" s="635"/>
      <c r="F44" s="636">
        <f>F6+F12+F13+F35</f>
        <v>90693.4070651577</v>
      </c>
      <c r="G44" s="607">
        <f>G6+G12+G13+G35</f>
        <v>5155.96401734837</v>
      </c>
    </row>
    <row r="45" spans="1:7">
      <c r="A45" s="627"/>
      <c r="B45" s="637" t="s">
        <v>131</v>
      </c>
      <c r="C45" s="627"/>
      <c r="D45" s="628"/>
      <c r="E45" s="629"/>
      <c r="F45" s="638">
        <f>费用!E4</f>
        <v>274.231337</v>
      </c>
      <c r="G45" s="592">
        <f t="shared" si="2"/>
        <v>15.5901840250142</v>
      </c>
    </row>
    <row r="46" spans="1:7">
      <c r="A46" s="627"/>
      <c r="B46" s="637" t="s">
        <v>132</v>
      </c>
      <c r="C46" s="627"/>
      <c r="D46" s="628"/>
      <c r="E46" s="629"/>
      <c r="F46" s="638">
        <f>费用!F4</f>
        <v>30</v>
      </c>
      <c r="G46" s="592">
        <f t="shared" si="2"/>
        <v>1.70551449687322</v>
      </c>
    </row>
    <row r="47" spans="1:7">
      <c r="A47" s="627"/>
      <c r="B47" s="637" t="s">
        <v>133</v>
      </c>
      <c r="C47" s="627"/>
      <c r="D47" s="628"/>
      <c r="E47" s="629"/>
      <c r="F47" s="638">
        <f>费用!G4</f>
        <v>991.114820841267</v>
      </c>
      <c r="G47" s="592">
        <f t="shared" si="2"/>
        <v>56.3453565003563</v>
      </c>
    </row>
    <row r="48" s="567" customFormat="1" ht="15" spans="1:7">
      <c r="A48" s="639"/>
      <c r="B48" s="637" t="s">
        <v>134</v>
      </c>
      <c r="C48" s="639"/>
      <c r="D48" s="638">
        <f>半成品!C16</f>
        <v>21321</v>
      </c>
      <c r="E48" s="638">
        <f>半成品!D16</f>
        <v>4386.56863593707</v>
      </c>
      <c r="F48" s="638">
        <f>半成品!E16</f>
        <v>9352.60298868142</v>
      </c>
      <c r="G48" s="624"/>
    </row>
    <row r="49" spans="1:7">
      <c r="A49" s="627"/>
      <c r="B49" s="637" t="s">
        <v>135</v>
      </c>
      <c r="C49" s="627"/>
      <c r="D49" s="638">
        <f>半成品!F16</f>
        <v>21321</v>
      </c>
      <c r="E49" s="638">
        <f>半成品!G16</f>
        <v>4386.56863593707</v>
      </c>
      <c r="F49" s="638">
        <f>半成品!H16</f>
        <v>9352.60298868142</v>
      </c>
      <c r="G49" s="628"/>
    </row>
    <row r="50" spans="1:7">
      <c r="A50" s="627"/>
      <c r="B50" s="640" t="s">
        <v>136</v>
      </c>
      <c r="C50" s="627"/>
      <c r="D50" s="628"/>
      <c r="E50" s="629"/>
      <c r="F50" s="628"/>
      <c r="G50" s="628"/>
    </row>
    <row r="51" ht="15" spans="1:7">
      <c r="A51" s="641" t="s">
        <v>137</v>
      </c>
      <c r="B51" s="632" t="s">
        <v>138</v>
      </c>
      <c r="C51" s="627"/>
      <c r="D51" s="642">
        <f>产品成本!F20</f>
        <v>160500</v>
      </c>
      <c r="E51" s="638">
        <f>IF(D51=0,0,F51/D51)*10000</f>
        <v>5569.9726422004</v>
      </c>
      <c r="F51" s="643">
        <f>F44-SUM(F45:F47)+F48-F49-F50</f>
        <v>89398.0609073165</v>
      </c>
      <c r="G51" s="628"/>
    </row>
    <row r="52" spans="1:7">
      <c r="A52" s="644"/>
      <c r="B52" s="645" t="s">
        <v>139</v>
      </c>
      <c r="C52" s="627"/>
      <c r="D52" s="642">
        <f>产品成本!C20</f>
        <v>0</v>
      </c>
      <c r="E52" s="642">
        <f>产品成本!D20</f>
        <v>0</v>
      </c>
      <c r="F52" s="642">
        <f>产品成本!E20</f>
        <v>0</v>
      </c>
      <c r="G52" s="628"/>
    </row>
    <row r="53" spans="1:7">
      <c r="A53" s="644"/>
      <c r="B53" s="645" t="s">
        <v>140</v>
      </c>
      <c r="C53" s="627"/>
      <c r="D53" s="642">
        <f>产品成本!N20</f>
        <v>0</v>
      </c>
      <c r="E53" s="642">
        <f>产品成本!O20</f>
        <v>0</v>
      </c>
      <c r="F53" s="642">
        <f>产品成本!P20</f>
        <v>0</v>
      </c>
      <c r="G53" s="601"/>
    </row>
    <row r="54" hidden="1" spans="1:7">
      <c r="A54" s="644"/>
      <c r="B54" s="646" t="s">
        <v>141</v>
      </c>
      <c r="C54" s="627"/>
      <c r="D54" s="628"/>
      <c r="E54" s="629"/>
      <c r="F54" s="628"/>
      <c r="G54" s="647"/>
    </row>
    <row r="55" hidden="1" spans="1:7">
      <c r="A55" s="644"/>
      <c r="B55" s="646" t="s">
        <v>142</v>
      </c>
      <c r="C55" s="627"/>
      <c r="D55" s="628"/>
      <c r="E55" s="629"/>
      <c r="F55" s="647"/>
      <c r="G55" s="628"/>
    </row>
    <row r="56" hidden="1" spans="1:7">
      <c r="A56" s="644"/>
      <c r="B56" s="646" t="s">
        <v>143</v>
      </c>
      <c r="C56" s="627"/>
      <c r="D56" s="628"/>
      <c r="E56" s="648"/>
      <c r="F56" s="628"/>
      <c r="G56" s="628"/>
    </row>
    <row r="57" hidden="1" spans="1:7">
      <c r="A57" s="644"/>
      <c r="B57" s="646" t="s">
        <v>144</v>
      </c>
      <c r="C57" s="627"/>
      <c r="D57" s="628"/>
      <c r="E57" s="629"/>
      <c r="F57" s="628"/>
      <c r="G57" s="628"/>
    </row>
    <row r="58" hidden="1" spans="1:7">
      <c r="A58" s="644"/>
      <c r="B58" s="646" t="s">
        <v>145</v>
      </c>
      <c r="C58" s="627"/>
      <c r="D58" s="628"/>
      <c r="E58" s="629"/>
      <c r="F58" s="628"/>
      <c r="G58" s="628"/>
    </row>
    <row r="59" spans="1:7">
      <c r="A59" s="644" t="s">
        <v>146</v>
      </c>
      <c r="B59" s="649" t="s">
        <v>147</v>
      </c>
      <c r="C59" s="627"/>
      <c r="D59" s="642">
        <f>产品成本!K20</f>
        <v>160500</v>
      </c>
      <c r="E59" s="611">
        <f>IF(D59=0,0,F59/D59)*10000</f>
        <v>5569.9726422004</v>
      </c>
      <c r="F59" s="650">
        <f>SUM(F51:F52,F55,F55:F58)-SUM(F53:F54)</f>
        <v>89398.0609073165</v>
      </c>
      <c r="G59" s="628"/>
    </row>
    <row r="60" spans="1:7">
      <c r="A60" s="627"/>
      <c r="B60" s="651" t="s">
        <v>148</v>
      </c>
      <c r="C60" s="627"/>
      <c r="D60" s="628"/>
      <c r="E60" s="629"/>
      <c r="F60" s="628">
        <f>G60*D6/10000</f>
        <v>6096.94914231646</v>
      </c>
      <c r="G60" s="650">
        <f>SUM(G12,G13,G35)-G61</f>
        <v>346.614504963983</v>
      </c>
    </row>
    <row r="61" spans="1:7">
      <c r="A61" s="627"/>
      <c r="B61" s="651" t="s">
        <v>149</v>
      </c>
      <c r="C61" s="627"/>
      <c r="D61" s="628"/>
      <c r="E61" s="629"/>
      <c r="F61" s="628">
        <f>F45+F46+F47</f>
        <v>1295.34615784127</v>
      </c>
      <c r="G61" s="642">
        <f>SUM(G45:G47)</f>
        <v>73.6410550222437</v>
      </c>
    </row>
    <row r="62" hidden="1" spans="7:7">
      <c r="G62" s="569">
        <f>G60*D6/10000</f>
        <v>6096.94914231646</v>
      </c>
    </row>
    <row r="63" hidden="1" spans="2:7">
      <c r="B63" s="569" t="s">
        <v>150</v>
      </c>
      <c r="F63" s="569" t="s">
        <v>151</v>
      </c>
      <c r="G63" s="569">
        <v>6957.22242809858</v>
      </c>
    </row>
    <row r="64" hidden="1" spans="6:7">
      <c r="F64" s="569" t="s">
        <v>152</v>
      </c>
      <c r="G64" s="569">
        <f>G62-G63</f>
        <v>-860.273285782117</v>
      </c>
    </row>
    <row r="65" hidden="1" spans="4:6">
      <c r="D65" s="569">
        <f>D49-D48</f>
        <v>0</v>
      </c>
      <c r="F65" s="569">
        <f>F49-F48</f>
        <v>0</v>
      </c>
    </row>
    <row r="66" hidden="1"/>
    <row r="67" hidden="1"/>
    <row r="68" hidden="1" spans="6:7">
      <c r="F68" s="569" t="s">
        <v>153</v>
      </c>
      <c r="G68" s="569">
        <f>F44-G69</f>
        <v>89398.0609073165</v>
      </c>
    </row>
    <row r="69" hidden="1" spans="6:7">
      <c r="F69" s="569" t="s">
        <v>154</v>
      </c>
      <c r="G69" s="569">
        <f>F61</f>
        <v>1295.34615784127</v>
      </c>
    </row>
    <row r="70" hidden="1"/>
    <row r="71" hidden="1" spans="6:7">
      <c r="F71" s="569" t="s">
        <v>155</v>
      </c>
      <c r="G71" s="569">
        <f>F12+F13+F35-F45-F46-F47</f>
        <v>6096.94914231647</v>
      </c>
    </row>
    <row r="72" hidden="1"/>
    <row r="73" hidden="1"/>
    <row r="74" hidden="1"/>
    <row r="75" hidden="1"/>
    <row r="76" hidden="1" spans="7:7">
      <c r="G76" s="569">
        <f>F35-F45-F46-F47</f>
        <v>2384.50388799371</v>
      </c>
    </row>
    <row r="77" hidden="1"/>
    <row r="78" hidden="1" spans="6:7">
      <c r="F78" s="569">
        <f>G12+G13+G35-G45-G46-G47</f>
        <v>346.614504963983</v>
      </c>
      <c r="G78" s="569" t="e">
        <f>#REF!+#REF!++#REF!-#REF!-#REF!-#REF!</f>
        <v>#REF!</v>
      </c>
    </row>
    <row r="79" hidden="1"/>
    <row r="80" hidden="1"/>
  </sheetData>
  <sheetProtection formatCells="0" formatColumns="0" formatRows="0" deleteColumns="0" deleteRows="0" autoFilter="0" pivotTables="0"/>
  <mergeCells count="4">
    <mergeCell ref="D3:E3"/>
    <mergeCell ref="A4:A5"/>
    <mergeCell ref="B4:B5"/>
    <mergeCell ref="C4:C5"/>
  </mergeCells>
  <printOptions horizontalCentered="1"/>
  <pageMargins left="0.393055555555556" right="0.393055555555556" top="0.590277777777778" bottom="0.629166666666667" header="0.511805555555556" footer="0.511805555555556"/>
  <pageSetup paperSize="9" scale="93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pageSetUpPr fitToPage="1"/>
  </sheetPr>
  <dimension ref="A1:J41"/>
  <sheetViews>
    <sheetView workbookViewId="0">
      <selection activeCell="A2" sqref="A2"/>
    </sheetView>
  </sheetViews>
  <sheetFormatPr defaultColWidth="9" defaultRowHeight="14.25"/>
  <cols>
    <col min="1" max="1" width="6.125" style="538" customWidth="1"/>
    <col min="2" max="2" width="17.75" style="538" customWidth="1"/>
    <col min="3" max="3" width="14.375" style="538" customWidth="1"/>
    <col min="4" max="4" width="11.5" style="538" customWidth="1"/>
    <col min="5" max="6" width="10.375" style="538" customWidth="1"/>
    <col min="7" max="7" width="11.5" style="538" customWidth="1"/>
    <col min="8" max="8" width="16.625" style="538" hidden="1" customWidth="1"/>
    <col min="9" max="9" width="16.125" style="538" hidden="1" customWidth="1"/>
    <col min="10" max="10" width="46.125" style="538" hidden="1" customWidth="1"/>
    <col min="11" max="16384" width="9" style="538"/>
  </cols>
  <sheetData>
    <row r="1" ht="27" spans="1:7">
      <c r="A1" s="516" t="s">
        <v>156</v>
      </c>
      <c r="B1" s="517"/>
      <c r="C1" s="517"/>
      <c r="D1" s="517">
        <v>0</v>
      </c>
      <c r="E1" s="517"/>
      <c r="F1" s="517"/>
      <c r="G1" s="517"/>
    </row>
    <row r="3" s="535" customFormat="1" ht="15.95" customHeight="1" spans="1:10">
      <c r="A3" s="539" t="s">
        <v>41</v>
      </c>
      <c r="B3" s="533" t="s">
        <v>42</v>
      </c>
      <c r="C3" s="540" t="s">
        <v>51</v>
      </c>
      <c r="D3" s="541" t="s">
        <v>157</v>
      </c>
      <c r="E3" s="542" t="s">
        <v>158</v>
      </c>
      <c r="F3" s="542" t="s">
        <v>126</v>
      </c>
      <c r="G3" s="542" t="s">
        <v>159</v>
      </c>
      <c r="I3" s="535" t="s">
        <v>160</v>
      </c>
      <c r="J3" s="535" t="s">
        <v>159</v>
      </c>
    </row>
    <row r="4" s="536" customFormat="1" ht="15.95" customHeight="1" spans="1:9">
      <c r="A4" s="528">
        <v>1</v>
      </c>
      <c r="B4" s="539" t="s">
        <v>51</v>
      </c>
      <c r="C4" s="543">
        <f>SUM(C5:C22)</f>
        <v>3679.85004583498</v>
      </c>
      <c r="D4" s="543">
        <f>SUM(D5:D22)</f>
        <v>2384.50388799371</v>
      </c>
      <c r="E4" s="543">
        <f>SUM(E5:E22)</f>
        <v>274.231337</v>
      </c>
      <c r="F4" s="543">
        <f>SUM(F5:F22)</f>
        <v>30</v>
      </c>
      <c r="G4" s="543">
        <f>SUM(G5:G22)</f>
        <v>991.114820841267</v>
      </c>
      <c r="I4" s="543">
        <f>SUM(I5:I22)</f>
        <v>0</v>
      </c>
    </row>
    <row r="5" s="536" customFormat="1" ht="15.95" customHeight="1" spans="1:7">
      <c r="A5" s="528">
        <v>2</v>
      </c>
      <c r="B5" s="544" t="s">
        <v>121</v>
      </c>
      <c r="C5" s="545">
        <f>SUM(D5:G5)</f>
        <v>912</v>
      </c>
      <c r="D5" s="546">
        <v>912</v>
      </c>
      <c r="E5" s="547">
        <f>'上月(实)'!I32/10000</f>
        <v>0</v>
      </c>
      <c r="F5" s="545">
        <v>0</v>
      </c>
      <c r="G5" s="545">
        <v>0</v>
      </c>
    </row>
    <row r="6" s="536" customFormat="1" ht="15.95" customHeight="1" spans="1:7">
      <c r="A6" s="528">
        <v>3</v>
      </c>
      <c r="B6" s="544" t="s">
        <v>126</v>
      </c>
      <c r="C6" s="545">
        <f t="shared" ref="C6:C22" si="0">SUM(D6:G6)</f>
        <v>30</v>
      </c>
      <c r="D6" s="546">
        <v>0</v>
      </c>
      <c r="E6" s="545">
        <v>0</v>
      </c>
      <c r="F6" s="547">
        <v>30</v>
      </c>
      <c r="G6" s="545">
        <v>0</v>
      </c>
    </row>
    <row r="7" s="536" customFormat="1" ht="15.95" customHeight="1" spans="1:7">
      <c r="A7" s="528">
        <v>4</v>
      </c>
      <c r="B7" s="544" t="s">
        <v>123</v>
      </c>
      <c r="C7" s="545">
        <f t="shared" si="0"/>
        <v>210</v>
      </c>
      <c r="D7" s="546">
        <v>210</v>
      </c>
      <c r="E7" s="545">
        <v>0</v>
      </c>
      <c r="F7" s="545">
        <v>0</v>
      </c>
      <c r="G7" s="545">
        <v>0</v>
      </c>
    </row>
    <row r="8" s="536" customFormat="1" ht="15.95" customHeight="1" spans="1:7">
      <c r="A8" s="528">
        <v>5</v>
      </c>
      <c r="B8" s="544" t="s">
        <v>161</v>
      </c>
      <c r="C8" s="545">
        <f t="shared" si="0"/>
        <v>230</v>
      </c>
      <c r="D8" s="546">
        <v>0</v>
      </c>
      <c r="E8" s="547">
        <v>230</v>
      </c>
      <c r="F8" s="545">
        <v>0</v>
      </c>
      <c r="G8" s="545">
        <v>0</v>
      </c>
    </row>
    <row r="9" s="536" customFormat="1" ht="15.95" customHeight="1" spans="1:7">
      <c r="A9" s="528">
        <v>6</v>
      </c>
      <c r="B9" s="544" t="s">
        <v>162</v>
      </c>
      <c r="C9" s="545">
        <f t="shared" si="0"/>
        <v>124.385649</v>
      </c>
      <c r="D9" s="546">
        <f>14926277.88/10000/12</f>
        <v>124.385649</v>
      </c>
      <c r="E9" s="545">
        <v>0</v>
      </c>
      <c r="F9" s="545">
        <v>0</v>
      </c>
      <c r="G9" s="545">
        <v>0</v>
      </c>
    </row>
    <row r="10" s="536" customFormat="1" ht="15.95" customHeight="1" spans="1:7">
      <c r="A10" s="528">
        <v>7</v>
      </c>
      <c r="B10" s="544" t="s">
        <v>163</v>
      </c>
      <c r="C10" s="545">
        <f t="shared" si="0"/>
        <v>272.784905660377</v>
      </c>
      <c r="D10" s="546">
        <f>30*96384/1.06/10000</f>
        <v>272.784905660377</v>
      </c>
      <c r="E10" s="548">
        <v>0</v>
      </c>
      <c r="F10" s="548">
        <v>0</v>
      </c>
      <c r="G10" s="548">
        <v>0</v>
      </c>
    </row>
    <row r="11" s="536" customFormat="1" ht="15.95" customHeight="1" spans="1:10">
      <c r="A11" s="528">
        <v>8</v>
      </c>
      <c r="B11" s="544" t="s">
        <v>164</v>
      </c>
      <c r="C11" s="545">
        <f t="shared" si="0"/>
        <v>715.596330275229</v>
      </c>
      <c r="D11" s="546">
        <v>0</v>
      </c>
      <c r="E11" s="548">
        <v>0</v>
      </c>
      <c r="F11" s="548">
        <v>0</v>
      </c>
      <c r="G11" s="545">
        <f>(销售收入!D7*100/1.09)/10000</f>
        <v>715.596330275229</v>
      </c>
      <c r="H11" s="542" t="s">
        <v>159</v>
      </c>
      <c r="I11" s="536" t="s">
        <v>164</v>
      </c>
      <c r="J11" s="536" t="s">
        <v>165</v>
      </c>
    </row>
    <row r="12" s="536" customFormat="1" ht="15.95" customHeight="1" spans="1:7">
      <c r="A12" s="528">
        <v>9</v>
      </c>
      <c r="B12" s="544" t="s">
        <v>124</v>
      </c>
      <c r="C12" s="545">
        <f t="shared" si="0"/>
        <v>60</v>
      </c>
      <c r="D12" s="546">
        <v>60</v>
      </c>
      <c r="E12" s="548">
        <v>0</v>
      </c>
      <c r="F12" s="548">
        <v>0</v>
      </c>
      <c r="G12" s="548">
        <v>0</v>
      </c>
    </row>
    <row r="13" s="536" customFormat="1" ht="15.95" customHeight="1" spans="1:7">
      <c r="A13" s="528">
        <v>10</v>
      </c>
      <c r="B13" s="544" t="s">
        <v>166</v>
      </c>
      <c r="C13" s="545">
        <f t="shared" si="0"/>
        <v>183.333333333333</v>
      </c>
      <c r="D13" s="546">
        <f>2200/12</f>
        <v>183.333333333333</v>
      </c>
      <c r="E13" s="548">
        <v>0</v>
      </c>
      <c r="F13" s="548">
        <v>0</v>
      </c>
      <c r="G13" s="548">
        <v>0</v>
      </c>
    </row>
    <row r="14" s="536" customFormat="1" ht="15.95" customHeight="1" spans="1:10">
      <c r="A14" s="528">
        <v>11</v>
      </c>
      <c r="B14" s="544" t="s">
        <v>167</v>
      </c>
      <c r="C14" s="545">
        <f t="shared" si="0"/>
        <v>242.558490566038</v>
      </c>
      <c r="D14" s="546">
        <v>0</v>
      </c>
      <c r="E14" s="548">
        <v>0</v>
      </c>
      <c r="F14" s="548">
        <v>0</v>
      </c>
      <c r="G14" s="547">
        <f>(销售收入!D7*30.74/1.06+销售收入!D8*50%*30.74/1.06+销售收入!D8*50%*15.5/1.06)/10000</f>
        <v>242.558490566038</v>
      </c>
      <c r="H14" s="542" t="s">
        <v>159</v>
      </c>
      <c r="I14" s="536" t="s">
        <v>167</v>
      </c>
      <c r="J14" s="536" t="s">
        <v>168</v>
      </c>
    </row>
    <row r="15" s="536" customFormat="1" ht="15.95" customHeight="1" spans="1:7">
      <c r="A15" s="528">
        <v>12</v>
      </c>
      <c r="B15" s="544" t="s">
        <v>169</v>
      </c>
      <c r="C15" s="545">
        <f t="shared" si="0"/>
        <v>24</v>
      </c>
      <c r="D15" s="546">
        <v>24</v>
      </c>
      <c r="E15" s="548">
        <v>0</v>
      </c>
      <c r="F15" s="548">
        <v>0</v>
      </c>
      <c r="G15" s="548">
        <v>0</v>
      </c>
    </row>
    <row r="16" s="536" customFormat="1" ht="15.95" customHeight="1" spans="1:7">
      <c r="A16" s="528">
        <v>13</v>
      </c>
      <c r="B16" s="544" t="s">
        <v>170</v>
      </c>
      <c r="C16" s="545">
        <f t="shared" si="0"/>
        <v>16.879982</v>
      </c>
      <c r="D16" s="546">
        <v>0</v>
      </c>
      <c r="E16" s="547">
        <f>'上月(实)'!I43/10000</f>
        <v>16.879982</v>
      </c>
      <c r="F16" s="548">
        <v>0</v>
      </c>
      <c r="G16" s="548">
        <v>0</v>
      </c>
    </row>
    <row r="17" s="537" customFormat="1" ht="15.95" customHeight="1" spans="1:9">
      <c r="A17" s="528">
        <v>14</v>
      </c>
      <c r="B17" s="544" t="s">
        <v>122</v>
      </c>
      <c r="C17" s="545">
        <f t="shared" si="0"/>
        <v>451</v>
      </c>
      <c r="D17" s="546">
        <v>451</v>
      </c>
      <c r="E17" s="548">
        <f>'上月(实)'!I44/10000</f>
        <v>0</v>
      </c>
      <c r="F17" s="548">
        <v>0</v>
      </c>
      <c r="G17" s="548">
        <v>0</v>
      </c>
      <c r="I17" s="536"/>
    </row>
    <row r="18" s="536" customFormat="1" ht="15.95" customHeight="1" spans="1:7">
      <c r="A18" s="528">
        <v>15</v>
      </c>
      <c r="B18" s="549" t="s">
        <v>171</v>
      </c>
      <c r="C18" s="545">
        <f t="shared" si="0"/>
        <v>0</v>
      </c>
      <c r="D18" s="546">
        <v>0</v>
      </c>
      <c r="E18" s="545">
        <v>0</v>
      </c>
      <c r="F18" s="545">
        <v>0</v>
      </c>
      <c r="G18" s="545">
        <v>0</v>
      </c>
    </row>
    <row r="19" s="536" customFormat="1" ht="15.95" customHeight="1" spans="1:7">
      <c r="A19" s="528">
        <v>16</v>
      </c>
      <c r="B19" s="549" t="s">
        <v>172</v>
      </c>
      <c r="C19" s="545">
        <f t="shared" si="0"/>
        <v>0</v>
      </c>
      <c r="D19" s="546"/>
      <c r="E19" s="545"/>
      <c r="F19" s="545"/>
      <c r="G19" s="545"/>
    </row>
    <row r="20" s="536" customFormat="1" ht="15.95" customHeight="1" spans="1:8">
      <c r="A20" s="528">
        <v>17</v>
      </c>
      <c r="B20" s="544" t="s">
        <v>173</v>
      </c>
      <c r="C20" s="545">
        <f t="shared" si="0"/>
        <v>0</v>
      </c>
      <c r="D20" s="546">
        <v>0</v>
      </c>
      <c r="E20" s="545">
        <v>0</v>
      </c>
      <c r="F20" s="545">
        <v>0</v>
      </c>
      <c r="G20" s="547">
        <f>'上月(实)'!K48/10000</f>
        <v>0</v>
      </c>
      <c r="H20" s="542" t="s">
        <v>159</v>
      </c>
    </row>
    <row r="21" s="536" customFormat="1" ht="15.95" customHeight="1" spans="1:10">
      <c r="A21" s="528">
        <v>18</v>
      </c>
      <c r="B21" s="544" t="s">
        <v>128</v>
      </c>
      <c r="C21" s="545">
        <f t="shared" si="0"/>
        <v>60.311355</v>
      </c>
      <c r="D21" s="546"/>
      <c r="E21" s="547">
        <f>'上月(实)'!I47/10000</f>
        <v>27.351355</v>
      </c>
      <c r="F21" s="545">
        <v>0</v>
      </c>
      <c r="G21" s="546">
        <f>(销售收入!D15+销售收入!D11)*(12.6+8)/10000</f>
        <v>32.96</v>
      </c>
      <c r="I21" s="563" t="s">
        <v>128</v>
      </c>
      <c r="J21" s="536" t="s">
        <v>174</v>
      </c>
    </row>
    <row r="22" s="536" customFormat="1" ht="15.95" customHeight="1" spans="1:9">
      <c r="A22" s="528">
        <v>19</v>
      </c>
      <c r="B22" s="544" t="s">
        <v>175</v>
      </c>
      <c r="C22" s="545">
        <f t="shared" si="0"/>
        <v>147</v>
      </c>
      <c r="D22" s="546">
        <v>147</v>
      </c>
      <c r="E22" s="550">
        <v>0</v>
      </c>
      <c r="F22" s="545">
        <v>0</v>
      </c>
      <c r="G22" s="545"/>
      <c r="I22" s="563"/>
    </row>
    <row r="28" hidden="1"/>
    <row r="29" ht="24" hidden="1" spans="4:10">
      <c r="D29" s="551" t="s">
        <v>87</v>
      </c>
      <c r="E29" s="552" t="s">
        <v>176</v>
      </c>
      <c r="F29" s="551" t="s">
        <v>177</v>
      </c>
      <c r="G29" s="551" t="s">
        <v>178</v>
      </c>
      <c r="H29" s="551" t="s">
        <v>179</v>
      </c>
      <c r="I29" s="551" t="s">
        <v>152</v>
      </c>
      <c r="J29" s="564" t="s">
        <v>3</v>
      </c>
    </row>
    <row r="30" ht="60" hidden="1" spans="4:10">
      <c r="D30" s="551"/>
      <c r="E30" s="552"/>
      <c r="F30" s="553">
        <v>39244342.1</v>
      </c>
      <c r="G30" s="553">
        <f>F30/12</f>
        <v>3270361.84166667</v>
      </c>
      <c r="H30" s="553" t="e">
        <f>F30/#REF!*#REF!</f>
        <v>#REF!</v>
      </c>
      <c r="I30" s="553" t="e">
        <f>H30-F30</f>
        <v>#REF!</v>
      </c>
      <c r="J30" s="555" t="s">
        <v>180</v>
      </c>
    </row>
    <row r="31" ht="48" hidden="1" spans="4:10">
      <c r="D31" s="551" t="s">
        <v>95</v>
      </c>
      <c r="E31" s="552" t="s">
        <v>181</v>
      </c>
      <c r="F31" s="551" t="s">
        <v>177</v>
      </c>
      <c r="G31" s="551" t="s">
        <v>178</v>
      </c>
      <c r="H31" s="553"/>
      <c r="I31" s="553"/>
      <c r="J31" s="564" t="s">
        <v>3</v>
      </c>
    </row>
    <row r="32" ht="24" hidden="1" spans="4:10">
      <c r="D32" s="554">
        <v>1</v>
      </c>
      <c r="E32" s="555" t="s">
        <v>182</v>
      </c>
      <c r="F32" s="556">
        <v>13994000.87</v>
      </c>
      <c r="G32" s="553">
        <f>F32/12</f>
        <v>1166166.73916667</v>
      </c>
      <c r="H32" s="553" t="e">
        <f>F32/#REF!*#REF!</f>
        <v>#REF!</v>
      </c>
      <c r="I32" s="553" t="e">
        <f t="shared" ref="I32:I34" si="1">H32-F32</f>
        <v>#REF!</v>
      </c>
      <c r="J32" s="555" t="s">
        <v>183</v>
      </c>
    </row>
    <row r="33" ht="24" hidden="1" spans="4:10">
      <c r="D33" s="551" t="s">
        <v>97</v>
      </c>
      <c r="E33" s="552" t="s">
        <v>184</v>
      </c>
      <c r="F33" s="551" t="s">
        <v>177</v>
      </c>
      <c r="G33" s="551" t="s">
        <v>178</v>
      </c>
      <c r="H33" s="553"/>
      <c r="I33" s="553"/>
      <c r="J33" s="564" t="s">
        <v>3</v>
      </c>
    </row>
    <row r="34" ht="36" hidden="1" spans="4:10">
      <c r="D34" s="551"/>
      <c r="E34" s="552"/>
      <c r="F34" s="556">
        <v>17828997.07</v>
      </c>
      <c r="G34" s="556">
        <f>F34/12</f>
        <v>1485749.75583333</v>
      </c>
      <c r="H34" s="553" t="e">
        <f>F34/#REF!*#REF!</f>
        <v>#REF!</v>
      </c>
      <c r="I34" s="553" t="e">
        <f t="shared" si="1"/>
        <v>#REF!</v>
      </c>
      <c r="J34" s="555" t="s">
        <v>185</v>
      </c>
    </row>
    <row r="35" ht="18.75" hidden="1" spans="4:10">
      <c r="D35" s="557"/>
      <c r="E35" s="558"/>
      <c r="F35" s="559"/>
      <c r="G35" s="558"/>
      <c r="H35" s="560" t="s">
        <v>51</v>
      </c>
      <c r="I35" s="553" t="e">
        <f>I30+I32+I34</f>
        <v>#REF!</v>
      </c>
      <c r="J35" s="565"/>
    </row>
    <row r="36" hidden="1"/>
    <row r="40" spans="8:8">
      <c r="H40" s="561"/>
    </row>
    <row r="41" spans="4:8">
      <c r="D41" s="562"/>
      <c r="E41" s="562"/>
      <c r="F41" s="562"/>
      <c r="G41" s="562"/>
      <c r="H41" s="562"/>
    </row>
  </sheetData>
  <mergeCells count="1">
    <mergeCell ref="D41:H41"/>
  </mergeCells>
  <pageMargins left="0.75" right="0.75" top="1" bottom="1" header="0.5" footer="0.5"/>
  <pageSetup paperSize="9" scale="51" orientation="landscape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pageSetUpPr fitToPage="1"/>
  </sheetPr>
  <dimension ref="A1:H16"/>
  <sheetViews>
    <sheetView tabSelected="1" workbookViewId="0">
      <selection activeCell="A2" sqref="A2"/>
    </sheetView>
  </sheetViews>
  <sheetFormatPr defaultColWidth="9" defaultRowHeight="14.25" outlineLevelCol="7"/>
  <cols>
    <col min="1" max="1" width="5.75" style="515" customWidth="1"/>
    <col min="2" max="2" width="16.125" style="515" customWidth="1"/>
    <col min="3" max="3" width="12.625" style="515" customWidth="1"/>
    <col min="4" max="4" width="9.5" style="515" customWidth="1"/>
    <col min="5" max="5" width="8.875" style="515" customWidth="1"/>
    <col min="6" max="7" width="9" style="515"/>
    <col min="8" max="8" width="9.25" style="515" customWidth="1"/>
    <col min="9" max="16384" width="9" style="515"/>
  </cols>
  <sheetData>
    <row r="1" ht="30" customHeight="1" spans="1:8">
      <c r="A1" s="516" t="s">
        <v>186</v>
      </c>
      <c r="B1" s="517"/>
      <c r="C1" s="517"/>
      <c r="D1" s="517"/>
      <c r="E1" s="517"/>
      <c r="F1" s="517"/>
      <c r="G1" s="517"/>
      <c r="H1" s="518"/>
    </row>
    <row r="2" spans="4:5">
      <c r="D2" s="519" t="str">
        <f>利润表!B3</f>
        <v>8月预测</v>
      </c>
      <c r="E2" s="520"/>
    </row>
    <row r="3" s="513" customFormat="1" spans="1:8">
      <c r="A3" s="521" t="s">
        <v>41</v>
      </c>
      <c r="B3" s="521" t="s">
        <v>42</v>
      </c>
      <c r="C3" s="522" t="s">
        <v>187</v>
      </c>
      <c r="D3" s="523"/>
      <c r="E3" s="524"/>
      <c r="F3" s="522" t="s">
        <v>188</v>
      </c>
      <c r="G3" s="523"/>
      <c r="H3" s="524"/>
    </row>
    <row r="4" s="513" customFormat="1" spans="1:8">
      <c r="A4" s="521"/>
      <c r="B4" s="521"/>
      <c r="C4" s="525" t="s">
        <v>65</v>
      </c>
      <c r="D4" s="526" t="s">
        <v>66</v>
      </c>
      <c r="E4" s="527" t="s">
        <v>67</v>
      </c>
      <c r="F4" s="525" t="s">
        <v>65</v>
      </c>
      <c r="G4" s="526" t="s">
        <v>66</v>
      </c>
      <c r="H4" s="527" t="s">
        <v>67</v>
      </c>
    </row>
    <row r="5" s="513" customFormat="1" spans="1:8">
      <c r="A5" s="528">
        <v>1</v>
      </c>
      <c r="B5" s="529" t="s">
        <v>189</v>
      </c>
      <c r="C5" s="530">
        <v>0</v>
      </c>
      <c r="D5" s="531">
        <v>4643.28581777116</v>
      </c>
      <c r="E5" s="532">
        <f>C5*D5/10000</f>
        <v>0</v>
      </c>
      <c r="F5" s="530">
        <f>C5</f>
        <v>0</v>
      </c>
      <c r="G5" s="531">
        <v>4643.28581777116</v>
      </c>
      <c r="H5" s="532">
        <f>F5*G5/10000</f>
        <v>0</v>
      </c>
    </row>
    <row r="6" s="513" customFormat="1" spans="1:8">
      <c r="A6" s="528">
        <v>2</v>
      </c>
      <c r="B6" s="529" t="s">
        <v>71</v>
      </c>
      <c r="C6" s="530">
        <v>2362</v>
      </c>
      <c r="D6" s="531">
        <v>4877.463719906</v>
      </c>
      <c r="E6" s="532">
        <f t="shared" ref="E6:E15" si="0">C6*D6/10000</f>
        <v>1152.0569306418</v>
      </c>
      <c r="F6" s="530">
        <f>C6</f>
        <v>2362</v>
      </c>
      <c r="G6" s="531">
        <v>4877.463719906</v>
      </c>
      <c r="H6" s="532">
        <f t="shared" ref="H6:H14" si="1">F6*G6/10000</f>
        <v>1152.0569306418</v>
      </c>
    </row>
    <row r="7" s="513" customFormat="1" spans="1:8">
      <c r="A7" s="528">
        <v>3</v>
      </c>
      <c r="B7" s="529" t="s">
        <v>74</v>
      </c>
      <c r="C7" s="530"/>
      <c r="D7" s="531">
        <v>4189.14008084325</v>
      </c>
      <c r="E7" s="532">
        <f t="shared" si="0"/>
        <v>0</v>
      </c>
      <c r="F7" s="530">
        <f t="shared" ref="F7:F15" si="2">C7</f>
        <v>0</v>
      </c>
      <c r="G7" s="531">
        <v>4189.14008084325</v>
      </c>
      <c r="H7" s="532">
        <f t="shared" si="1"/>
        <v>0</v>
      </c>
    </row>
    <row r="8" s="513" customFormat="1" spans="1:8">
      <c r="A8" s="528">
        <v>4</v>
      </c>
      <c r="B8" s="529" t="s">
        <v>72</v>
      </c>
      <c r="C8" s="530">
        <v>3955</v>
      </c>
      <c r="D8" s="531">
        <v>5783.44459770288</v>
      </c>
      <c r="E8" s="532">
        <f t="shared" si="0"/>
        <v>2287.35233839149</v>
      </c>
      <c r="F8" s="530">
        <f t="shared" si="2"/>
        <v>3955</v>
      </c>
      <c r="G8" s="531">
        <v>5783.44459770288</v>
      </c>
      <c r="H8" s="532">
        <f t="shared" si="1"/>
        <v>2287.35233839149</v>
      </c>
    </row>
    <row r="9" s="513" customFormat="1" spans="1:8">
      <c r="A9" s="528">
        <v>5</v>
      </c>
      <c r="B9" s="529" t="s">
        <v>73</v>
      </c>
      <c r="C9" s="530">
        <v>22</v>
      </c>
      <c r="D9" s="531">
        <v>5218.30901348343</v>
      </c>
      <c r="E9" s="532">
        <f t="shared" si="0"/>
        <v>11.4802798296635</v>
      </c>
      <c r="F9" s="530">
        <f t="shared" si="2"/>
        <v>22</v>
      </c>
      <c r="G9" s="531">
        <v>5218.30901348343</v>
      </c>
      <c r="H9" s="532">
        <f t="shared" si="1"/>
        <v>11.4802798296635</v>
      </c>
    </row>
    <row r="10" s="513" customFormat="1" spans="1:8">
      <c r="A10" s="528">
        <v>6</v>
      </c>
      <c r="B10" s="529" t="s">
        <v>76</v>
      </c>
      <c r="C10" s="530">
        <v>1912</v>
      </c>
      <c r="D10" s="531">
        <v>2609.1504096607</v>
      </c>
      <c r="E10" s="532">
        <f t="shared" si="0"/>
        <v>498.869558327126</v>
      </c>
      <c r="F10" s="530">
        <f t="shared" si="2"/>
        <v>1912</v>
      </c>
      <c r="G10" s="531">
        <v>2609.1504096607</v>
      </c>
      <c r="H10" s="532">
        <f t="shared" si="1"/>
        <v>498.869558327126</v>
      </c>
    </row>
    <row r="11" s="513" customFormat="1" spans="1:8">
      <c r="A11" s="528">
        <v>7</v>
      </c>
      <c r="B11" s="529" t="s">
        <v>190</v>
      </c>
      <c r="C11" s="530"/>
      <c r="D11" s="531">
        <v>0</v>
      </c>
      <c r="E11" s="532">
        <f t="shared" si="0"/>
        <v>0</v>
      </c>
      <c r="F11" s="530">
        <f t="shared" si="2"/>
        <v>0</v>
      </c>
      <c r="G11" s="531">
        <v>0</v>
      </c>
      <c r="H11" s="532">
        <f t="shared" si="1"/>
        <v>0</v>
      </c>
    </row>
    <row r="12" s="513" customFormat="1" spans="1:8">
      <c r="A12" s="528">
        <v>8</v>
      </c>
      <c r="B12" s="529" t="s">
        <v>191</v>
      </c>
      <c r="C12" s="530">
        <v>13070</v>
      </c>
      <c r="D12" s="531">
        <v>4133.77496671105</v>
      </c>
      <c r="E12" s="532">
        <f t="shared" si="0"/>
        <v>5402.84388149134</v>
      </c>
      <c r="F12" s="530">
        <f t="shared" si="2"/>
        <v>13070</v>
      </c>
      <c r="G12" s="531">
        <v>4133.77496671105</v>
      </c>
      <c r="H12" s="532">
        <f t="shared" si="1"/>
        <v>5402.84388149134</v>
      </c>
    </row>
    <row r="13" s="513" customFormat="1" spans="1:8">
      <c r="A13" s="528">
        <v>9</v>
      </c>
      <c r="B13" s="529" t="s">
        <v>192</v>
      </c>
      <c r="C13" s="530">
        <v>0</v>
      </c>
      <c r="D13" s="531">
        <v>3768.77496671105</v>
      </c>
      <c r="E13" s="532">
        <f t="shared" si="0"/>
        <v>0</v>
      </c>
      <c r="F13" s="530">
        <f t="shared" si="2"/>
        <v>0</v>
      </c>
      <c r="G13" s="531">
        <v>3768.77496671105</v>
      </c>
      <c r="H13" s="532">
        <f t="shared" si="1"/>
        <v>0</v>
      </c>
    </row>
    <row r="14" s="514" customFormat="1" spans="1:8">
      <c r="A14" s="528">
        <v>10</v>
      </c>
      <c r="B14" s="529" t="s">
        <v>77</v>
      </c>
      <c r="C14" s="530">
        <v>0</v>
      </c>
      <c r="D14" s="531">
        <v>4348.58832061619</v>
      </c>
      <c r="E14" s="532">
        <f t="shared" si="0"/>
        <v>0</v>
      </c>
      <c r="F14" s="530">
        <f t="shared" si="2"/>
        <v>0</v>
      </c>
      <c r="G14" s="531">
        <v>4348.58832061619</v>
      </c>
      <c r="H14" s="532">
        <f t="shared" si="1"/>
        <v>0</v>
      </c>
    </row>
    <row r="15" s="513" customFormat="1" spans="1:8">
      <c r="A15" s="528">
        <v>11</v>
      </c>
      <c r="B15" s="529"/>
      <c r="C15" s="530">
        <v>0</v>
      </c>
      <c r="D15" s="531">
        <v>0</v>
      </c>
      <c r="E15" s="532">
        <f t="shared" si="0"/>
        <v>0</v>
      </c>
      <c r="F15" s="530">
        <f t="shared" si="2"/>
        <v>0</v>
      </c>
      <c r="G15" s="531">
        <v>0</v>
      </c>
      <c r="H15" s="532">
        <f>E15</f>
        <v>0</v>
      </c>
    </row>
    <row r="16" s="514" customFormat="1" spans="1:8">
      <c r="A16" s="528">
        <v>14</v>
      </c>
      <c r="B16" s="533" t="s">
        <v>193</v>
      </c>
      <c r="C16" s="534">
        <f>SUM(C5:C15)</f>
        <v>21321</v>
      </c>
      <c r="D16" s="534">
        <f>IF(C16=0,0,E16/C16)*10000</f>
        <v>4386.56863593707</v>
      </c>
      <c r="E16" s="534">
        <f>SUM(E5:E15)</f>
        <v>9352.60298868142</v>
      </c>
      <c r="F16" s="534">
        <f>SUM(F5:F15)</f>
        <v>21321</v>
      </c>
      <c r="G16" s="534">
        <f>IF(F16=0,0,H16/F16)*10000</f>
        <v>4386.56863593707</v>
      </c>
      <c r="H16" s="534">
        <f>SUM(H5:H15)</f>
        <v>9352.60298868142</v>
      </c>
    </row>
  </sheetData>
  <mergeCells count="2">
    <mergeCell ref="A3:A4"/>
    <mergeCell ref="B3:B4"/>
  </mergeCells>
  <printOptions horizontalCentered="1"/>
  <pageMargins left="0.747916666666667" right="0.747916666666667" top="0.738888888888889" bottom="0.984027777777778" header="0.511805555555556" footer="0.511805555555556"/>
  <pageSetup paperSize="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N312"/>
  <sheetViews>
    <sheetView topLeftCell="A214" workbookViewId="0">
      <selection activeCell="B31" sqref="B31:C31"/>
    </sheetView>
  </sheetViews>
  <sheetFormatPr defaultColWidth="8.75" defaultRowHeight="14.25"/>
  <cols>
    <col min="1" max="1" width="24.125" style="275" customWidth="1"/>
    <col min="2" max="2" width="18.125" style="275" customWidth="1"/>
    <col min="3" max="3" width="10.75" style="275" customWidth="1"/>
    <col min="4" max="4" width="15.375" style="275" customWidth="1"/>
    <col min="5" max="5" width="12" style="275" customWidth="1"/>
    <col min="6" max="6" width="14.25" style="275" customWidth="1"/>
    <col min="7" max="7" width="22" style="275" customWidth="1"/>
    <col min="8" max="8" width="16.125" style="275" customWidth="1"/>
    <col min="9" max="9" width="10.375" style="275"/>
    <col min="10" max="10" width="8.75" style="275"/>
    <col min="11" max="11" width="23.25" style="275" customWidth="1"/>
    <col min="12" max="16384" width="8.75" style="275"/>
  </cols>
  <sheetData>
    <row r="1" ht="15"/>
    <row r="2" ht="41.25" customHeight="1" spans="2:8">
      <c r="B2" s="276" t="s">
        <v>72</v>
      </c>
      <c r="C2" s="277" t="s">
        <v>194</v>
      </c>
      <c r="D2" s="278" t="s">
        <v>195</v>
      </c>
      <c r="E2" s="279"/>
      <c r="F2" s="280" t="s">
        <v>196</v>
      </c>
      <c r="G2" s="280" t="s">
        <v>197</v>
      </c>
      <c r="H2" s="281" t="s">
        <v>198</v>
      </c>
    </row>
    <row r="3" spans="2:8">
      <c r="B3" s="282">
        <v>1</v>
      </c>
      <c r="C3" s="283">
        <v>44403</v>
      </c>
      <c r="D3" s="284" t="s">
        <v>72</v>
      </c>
      <c r="E3" s="285"/>
      <c r="F3" s="286" t="s">
        <v>199</v>
      </c>
      <c r="G3" s="287">
        <v>938.5</v>
      </c>
      <c r="H3" s="288"/>
    </row>
    <row r="4" spans="2:8">
      <c r="B4" s="282">
        <v>2</v>
      </c>
      <c r="C4" s="283">
        <v>44404</v>
      </c>
      <c r="D4" s="284" t="s">
        <v>72</v>
      </c>
      <c r="E4" s="285"/>
      <c r="F4" s="286" t="s">
        <v>199</v>
      </c>
      <c r="G4" s="287">
        <v>946.5</v>
      </c>
      <c r="H4" s="288">
        <f t="shared" ref="H4:H23" si="0">G4-G3</f>
        <v>8</v>
      </c>
    </row>
    <row r="5" spans="2:8">
      <c r="B5" s="282">
        <v>3</v>
      </c>
      <c r="C5" s="283">
        <v>44405</v>
      </c>
      <c r="D5" s="284" t="s">
        <v>72</v>
      </c>
      <c r="E5" s="285"/>
      <c r="F5" s="286" t="s">
        <v>199</v>
      </c>
      <c r="G5" s="287">
        <v>946.5</v>
      </c>
      <c r="H5" s="288">
        <f t="shared" si="0"/>
        <v>0</v>
      </c>
    </row>
    <row r="6" spans="2:8">
      <c r="B6" s="282">
        <v>4</v>
      </c>
      <c r="C6" s="283">
        <v>44406</v>
      </c>
      <c r="D6" s="284" t="s">
        <v>72</v>
      </c>
      <c r="E6" s="285"/>
      <c r="F6" s="286" t="s">
        <v>199</v>
      </c>
      <c r="G6" s="287">
        <v>956.33</v>
      </c>
      <c r="H6" s="288">
        <f t="shared" si="0"/>
        <v>9.83000000000004</v>
      </c>
    </row>
    <row r="7" spans="2:8">
      <c r="B7" s="282">
        <v>5</v>
      </c>
      <c r="C7" s="283">
        <v>44407</v>
      </c>
      <c r="D7" s="284" t="s">
        <v>72</v>
      </c>
      <c r="E7" s="285"/>
      <c r="F7" s="286" t="s">
        <v>199</v>
      </c>
      <c r="G7" s="287">
        <v>958.33</v>
      </c>
      <c r="H7" s="288">
        <f t="shared" si="0"/>
        <v>2</v>
      </c>
    </row>
    <row r="8" spans="2:8">
      <c r="B8" s="282">
        <v>6</v>
      </c>
      <c r="C8" s="283">
        <v>44410</v>
      </c>
      <c r="D8" s="284" t="s">
        <v>72</v>
      </c>
      <c r="E8" s="285"/>
      <c r="F8" s="286" t="s">
        <v>199</v>
      </c>
      <c r="G8" s="287">
        <v>951.67</v>
      </c>
      <c r="H8" s="288">
        <f t="shared" si="0"/>
        <v>-6.66000000000008</v>
      </c>
    </row>
    <row r="9" ht="15" customHeight="1" spans="2:8">
      <c r="B9" s="282">
        <v>7</v>
      </c>
      <c r="C9" s="283">
        <v>44411</v>
      </c>
      <c r="D9" s="284" t="s">
        <v>72</v>
      </c>
      <c r="E9" s="285"/>
      <c r="F9" s="286" t="s">
        <v>199</v>
      </c>
      <c r="G9" s="287">
        <v>944.67</v>
      </c>
      <c r="H9" s="288">
        <f t="shared" si="0"/>
        <v>-7</v>
      </c>
    </row>
    <row r="10" spans="2:8">
      <c r="B10" s="282">
        <v>8</v>
      </c>
      <c r="C10" s="283">
        <v>44412</v>
      </c>
      <c r="D10" s="284" t="s">
        <v>72</v>
      </c>
      <c r="E10" s="285"/>
      <c r="F10" s="286" t="s">
        <v>199</v>
      </c>
      <c r="G10" s="287">
        <v>952</v>
      </c>
      <c r="H10" s="288">
        <f t="shared" si="0"/>
        <v>7.33000000000004</v>
      </c>
    </row>
    <row r="11" spans="2:11">
      <c r="B11" s="282">
        <v>9</v>
      </c>
      <c r="C11" s="283">
        <v>44413</v>
      </c>
      <c r="D11" s="284" t="s">
        <v>72</v>
      </c>
      <c r="E11" s="285"/>
      <c r="F11" s="286" t="s">
        <v>199</v>
      </c>
      <c r="G11" s="287">
        <v>937</v>
      </c>
      <c r="H11" s="288">
        <f t="shared" si="0"/>
        <v>-15</v>
      </c>
      <c r="K11" s="275">
        <v>6902</v>
      </c>
    </row>
    <row r="12" spans="2:8">
      <c r="B12" s="282">
        <v>10</v>
      </c>
      <c r="C12" s="283">
        <v>44414</v>
      </c>
      <c r="D12" s="284" t="s">
        <v>72</v>
      </c>
      <c r="E12" s="285"/>
      <c r="F12" s="286" t="s">
        <v>199</v>
      </c>
      <c r="G12" s="287">
        <v>958</v>
      </c>
      <c r="H12" s="288">
        <f t="shared" si="0"/>
        <v>21</v>
      </c>
    </row>
    <row r="13" spans="2:8">
      <c r="B13" s="282">
        <v>11</v>
      </c>
      <c r="C13" s="283">
        <v>44417</v>
      </c>
      <c r="D13" s="284" t="s">
        <v>72</v>
      </c>
      <c r="E13" s="285"/>
      <c r="F13" s="286" t="s">
        <v>199</v>
      </c>
      <c r="G13" s="287"/>
      <c r="H13" s="288">
        <f t="shared" si="0"/>
        <v>-958</v>
      </c>
    </row>
    <row r="14" spans="2:8">
      <c r="B14" s="282">
        <v>12</v>
      </c>
      <c r="C14" s="283">
        <v>44418</v>
      </c>
      <c r="D14" s="284" t="s">
        <v>72</v>
      </c>
      <c r="E14" s="285"/>
      <c r="F14" s="286" t="s">
        <v>199</v>
      </c>
      <c r="G14" s="287">
        <v>948</v>
      </c>
      <c r="H14" s="288">
        <f t="shared" si="0"/>
        <v>948</v>
      </c>
    </row>
    <row r="15" spans="2:8">
      <c r="B15" s="282">
        <v>13</v>
      </c>
      <c r="C15" s="283">
        <v>44419</v>
      </c>
      <c r="D15" s="284" t="s">
        <v>72</v>
      </c>
      <c r="E15" s="285"/>
      <c r="F15" s="286" t="s">
        <v>199</v>
      </c>
      <c r="G15" s="287">
        <v>949</v>
      </c>
      <c r="H15" s="288">
        <f t="shared" si="0"/>
        <v>1</v>
      </c>
    </row>
    <row r="16" spans="2:8">
      <c r="B16" s="282">
        <v>14</v>
      </c>
      <c r="C16" s="283">
        <v>44420</v>
      </c>
      <c r="D16" s="284" t="s">
        <v>72</v>
      </c>
      <c r="E16" s="285"/>
      <c r="F16" s="286" t="s">
        <v>199</v>
      </c>
      <c r="G16" s="287">
        <v>950</v>
      </c>
      <c r="H16" s="288">
        <f t="shared" si="0"/>
        <v>1</v>
      </c>
    </row>
    <row r="17" s="271" customFormat="1" spans="1:8">
      <c r="A17" s="275"/>
      <c r="B17" s="282">
        <v>15</v>
      </c>
      <c r="C17" s="283">
        <v>44421</v>
      </c>
      <c r="D17" s="284" t="s">
        <v>72</v>
      </c>
      <c r="E17" s="285"/>
      <c r="F17" s="286" t="s">
        <v>199</v>
      </c>
      <c r="G17" s="287">
        <v>934.67</v>
      </c>
      <c r="H17" s="288">
        <f t="shared" si="0"/>
        <v>-15.33</v>
      </c>
    </row>
    <row r="18" s="271" customFormat="1" spans="1:8">
      <c r="A18" s="275"/>
      <c r="B18" s="282">
        <v>16</v>
      </c>
      <c r="C18" s="283">
        <v>44424</v>
      </c>
      <c r="D18" s="284" t="s">
        <v>72</v>
      </c>
      <c r="E18" s="285"/>
      <c r="F18" s="286" t="s">
        <v>199</v>
      </c>
      <c r="G18" s="287">
        <v>920.67</v>
      </c>
      <c r="H18" s="288">
        <f t="shared" si="0"/>
        <v>-14</v>
      </c>
    </row>
    <row r="19" s="271" customFormat="1" spans="1:8">
      <c r="A19" s="275"/>
      <c r="B19" s="282">
        <v>17</v>
      </c>
      <c r="C19" s="283">
        <v>44425</v>
      </c>
      <c r="D19" s="284" t="s">
        <v>72</v>
      </c>
      <c r="E19" s="285"/>
      <c r="F19" s="286" t="s">
        <v>199</v>
      </c>
      <c r="G19" s="287">
        <v>916.67</v>
      </c>
      <c r="H19" s="288">
        <f t="shared" si="0"/>
        <v>-4</v>
      </c>
    </row>
    <row r="20" s="271" customFormat="1" spans="1:8">
      <c r="A20" s="275"/>
      <c r="B20" s="282">
        <v>18</v>
      </c>
      <c r="C20" s="283">
        <v>44426</v>
      </c>
      <c r="D20" s="284" t="s">
        <v>72</v>
      </c>
      <c r="E20" s="285"/>
      <c r="F20" s="286" t="s">
        <v>199</v>
      </c>
      <c r="G20" s="287">
        <v>910.67</v>
      </c>
      <c r="H20" s="288">
        <f t="shared" si="0"/>
        <v>-6</v>
      </c>
    </row>
    <row r="21" s="271" customFormat="1" spans="1:8">
      <c r="A21" s="275"/>
      <c r="B21" s="282">
        <v>19</v>
      </c>
      <c r="C21" s="283">
        <v>44427</v>
      </c>
      <c r="D21" s="284" t="s">
        <v>72</v>
      </c>
      <c r="E21" s="285"/>
      <c r="F21" s="286" t="s">
        <v>199</v>
      </c>
      <c r="G21" s="287">
        <f t="shared" ref="G18:G24" si="1">G20</f>
        <v>910.67</v>
      </c>
      <c r="H21" s="288">
        <f t="shared" si="0"/>
        <v>0</v>
      </c>
    </row>
    <row r="22" s="271" customFormat="1" spans="1:8">
      <c r="A22" s="275"/>
      <c r="B22" s="282">
        <v>20</v>
      </c>
      <c r="C22" s="283">
        <v>44428</v>
      </c>
      <c r="D22" s="284" t="s">
        <v>72</v>
      </c>
      <c r="E22" s="285"/>
      <c r="F22" s="286" t="s">
        <v>199</v>
      </c>
      <c r="G22" s="287">
        <f t="shared" si="1"/>
        <v>910.67</v>
      </c>
      <c r="H22" s="288">
        <f t="shared" si="0"/>
        <v>0</v>
      </c>
    </row>
    <row r="23" s="271" customFormat="1" spans="1:8">
      <c r="A23" s="275"/>
      <c r="B23" s="282">
        <v>21</v>
      </c>
      <c r="C23" s="283">
        <v>44431</v>
      </c>
      <c r="D23" s="284" t="s">
        <v>72</v>
      </c>
      <c r="E23" s="285"/>
      <c r="F23" s="286" t="s">
        <v>199</v>
      </c>
      <c r="G23" s="287">
        <f t="shared" si="1"/>
        <v>910.67</v>
      </c>
      <c r="H23" s="288">
        <f t="shared" si="0"/>
        <v>0</v>
      </c>
    </row>
    <row r="24" spans="2:8">
      <c r="B24" s="282">
        <v>22</v>
      </c>
      <c r="C24" s="283">
        <v>44432</v>
      </c>
      <c r="D24" s="284" t="s">
        <v>72</v>
      </c>
      <c r="E24" s="285"/>
      <c r="F24" s="286" t="s">
        <v>199</v>
      </c>
      <c r="G24" s="287">
        <f t="shared" si="1"/>
        <v>910.67</v>
      </c>
      <c r="H24" s="288"/>
    </row>
    <row r="25" spans="2:8">
      <c r="B25" s="282">
        <v>23</v>
      </c>
      <c r="C25" s="283">
        <v>44433</v>
      </c>
      <c r="D25" s="284" t="s">
        <v>72</v>
      </c>
      <c r="E25" s="285"/>
      <c r="F25" s="286" t="s">
        <v>199</v>
      </c>
      <c r="G25" s="287"/>
      <c r="H25" s="288"/>
    </row>
    <row r="26" ht="15" spans="2:8">
      <c r="B26" s="289"/>
      <c r="C26" s="290"/>
      <c r="D26" s="291"/>
      <c r="E26" s="292"/>
      <c r="F26" s="293"/>
      <c r="G26" s="294"/>
      <c r="H26" s="295"/>
    </row>
    <row r="27" spans="2:8">
      <c r="B27" s="296" t="s">
        <v>200</v>
      </c>
      <c r="C27" s="297"/>
      <c r="D27" s="298" t="s">
        <v>201</v>
      </c>
      <c r="E27" s="298"/>
      <c r="F27" s="298" t="s">
        <v>45</v>
      </c>
      <c r="G27" s="298" t="s">
        <v>202</v>
      </c>
      <c r="H27" s="299" t="s">
        <v>203</v>
      </c>
    </row>
    <row r="28" spans="2:8">
      <c r="B28" s="300"/>
      <c r="C28" s="301"/>
      <c r="D28" s="298"/>
      <c r="E28" s="298"/>
      <c r="F28" s="298"/>
      <c r="G28" s="298"/>
      <c r="H28" s="302"/>
    </row>
    <row r="29" spans="2:11">
      <c r="B29" s="300"/>
      <c r="C29" s="301"/>
      <c r="D29" s="298"/>
      <c r="E29" s="298"/>
      <c r="F29" s="298"/>
      <c r="G29" s="298"/>
      <c r="H29" s="303">
        <f>G31</f>
        <v>936.279047619047</v>
      </c>
      <c r="K29" s="347"/>
    </row>
    <row r="30" ht="15" spans="1:8">
      <c r="A30" s="304"/>
      <c r="B30" s="300"/>
      <c r="C30" s="301"/>
      <c r="D30" s="298"/>
      <c r="E30" s="298"/>
      <c r="F30" s="298"/>
      <c r="G30" s="298"/>
      <c r="H30" s="305">
        <v>938.85</v>
      </c>
    </row>
    <row r="31" ht="15" spans="2:8">
      <c r="B31" s="306">
        <f>D31+250</f>
        <v>6907.65842022184</v>
      </c>
      <c r="C31" s="307"/>
      <c r="D31" s="308">
        <f>F31-155-(F31-155)*0.05/12*45/30</f>
        <v>6657.65842022184</v>
      </c>
      <c r="E31" s="309"/>
      <c r="F31" s="310">
        <f>G31*G66*1.13</f>
        <v>6854.53048575783</v>
      </c>
      <c r="G31" s="311">
        <f>AVERAGE(G3:G26)</f>
        <v>936.279047619047</v>
      </c>
      <c r="H31" s="312">
        <f>H29-H30</f>
        <v>-2.57095238095269</v>
      </c>
    </row>
    <row r="32" spans="2:8">
      <c r="B32" s="313"/>
      <c r="C32" s="313"/>
      <c r="D32" s="313"/>
      <c r="E32" s="313"/>
      <c r="F32" s="313"/>
      <c r="G32" s="313"/>
      <c r="H32" s="313"/>
    </row>
    <row r="33" spans="1:14">
      <c r="A33" s="314"/>
      <c r="B33" s="314"/>
      <c r="C33" s="314"/>
      <c r="D33" s="314"/>
      <c r="E33" s="314"/>
      <c r="F33" s="314"/>
      <c r="G33" s="314"/>
      <c r="H33" s="315"/>
      <c r="I33" s="272"/>
      <c r="J33" s="272"/>
      <c r="K33" s="272"/>
      <c r="L33" s="272"/>
      <c r="M33" s="272"/>
      <c r="N33" s="272"/>
    </row>
    <row r="34" spans="3:8">
      <c r="C34" s="316"/>
      <c r="G34" s="317"/>
      <c r="H34" s="318"/>
    </row>
    <row r="35" spans="3:3">
      <c r="C35" s="316"/>
    </row>
    <row r="36" spans="3:8">
      <c r="C36" s="316"/>
      <c r="H36" s="319"/>
    </row>
    <row r="37" ht="15" spans="3:3">
      <c r="C37" s="316"/>
    </row>
    <row r="38" ht="16.5" customHeight="1" spans="2:8">
      <c r="B38" s="320"/>
      <c r="C38" s="321"/>
      <c r="D38" s="322" t="s">
        <v>204</v>
      </c>
      <c r="E38" s="322"/>
      <c r="F38" s="322" t="s">
        <v>205</v>
      </c>
      <c r="G38" s="323" t="s">
        <v>196</v>
      </c>
      <c r="H38" s="324" t="s">
        <v>198</v>
      </c>
    </row>
    <row r="39" ht="15.75" customHeight="1" spans="2:8">
      <c r="B39" s="325" t="s">
        <v>78</v>
      </c>
      <c r="C39" s="326" t="s">
        <v>194</v>
      </c>
      <c r="D39" s="327" t="s">
        <v>205</v>
      </c>
      <c r="E39" s="327" t="s">
        <v>206</v>
      </c>
      <c r="F39" s="328"/>
      <c r="G39" s="329" t="s">
        <v>207</v>
      </c>
      <c r="H39" s="330"/>
    </row>
    <row r="40" spans="2:8">
      <c r="B40" s="282">
        <v>1</v>
      </c>
      <c r="C40" s="283">
        <f>C3</f>
        <v>44403</v>
      </c>
      <c r="D40" s="331" t="s">
        <v>208</v>
      </c>
      <c r="E40" s="332">
        <v>677.125</v>
      </c>
      <c r="F40" s="333"/>
      <c r="G40" s="334">
        <v>6.4763</v>
      </c>
      <c r="H40" s="288"/>
    </row>
    <row r="41" spans="2:8">
      <c r="B41" s="282">
        <v>2</v>
      </c>
      <c r="C41" s="283">
        <f t="shared" ref="C41:C62" si="2">C4</f>
        <v>44404</v>
      </c>
      <c r="D41" s="333" t="s">
        <v>208</v>
      </c>
      <c r="E41" s="332">
        <v>693.625</v>
      </c>
      <c r="F41" s="333"/>
      <c r="G41" s="335">
        <v>6.4734</v>
      </c>
      <c r="H41" s="288">
        <f>E41-E40</f>
        <v>16.5</v>
      </c>
    </row>
    <row r="42" ht="16.5" customHeight="1" spans="2:8">
      <c r="B42" s="282">
        <v>3</v>
      </c>
      <c r="C42" s="283">
        <f t="shared" si="2"/>
        <v>44405</v>
      </c>
      <c r="D42" s="333" t="s">
        <v>208</v>
      </c>
      <c r="E42" s="332">
        <v>693.25</v>
      </c>
      <c r="F42" s="333"/>
      <c r="G42" s="335">
        <v>6.4929</v>
      </c>
      <c r="H42" s="288">
        <f t="shared" ref="H42:H59" si="3">E42-E41</f>
        <v>-0.375</v>
      </c>
    </row>
    <row r="43" ht="16.5" customHeight="1" spans="2:8">
      <c r="B43" s="282">
        <v>4</v>
      </c>
      <c r="C43" s="283">
        <f t="shared" si="2"/>
        <v>44406</v>
      </c>
      <c r="D43" s="333" t="s">
        <v>208</v>
      </c>
      <c r="E43" s="332">
        <v>700.25</v>
      </c>
      <c r="F43" s="333"/>
      <c r="G43" s="335">
        <v>6.4942</v>
      </c>
      <c r="H43" s="288">
        <f t="shared" si="3"/>
        <v>7</v>
      </c>
    </row>
    <row r="44" ht="15.75" customHeight="1" spans="2:8">
      <c r="B44" s="282">
        <v>5</v>
      </c>
      <c r="C44" s="283">
        <f t="shared" si="2"/>
        <v>44407</v>
      </c>
      <c r="D44" s="333" t="s">
        <v>208</v>
      </c>
      <c r="E44" s="332">
        <v>701.25</v>
      </c>
      <c r="F44" s="333"/>
      <c r="G44" s="335">
        <v>6.4602</v>
      </c>
      <c r="H44" s="288">
        <f t="shared" si="3"/>
        <v>1</v>
      </c>
    </row>
    <row r="45" spans="2:11">
      <c r="B45" s="282">
        <v>6</v>
      </c>
      <c r="C45" s="283">
        <f t="shared" si="2"/>
        <v>44410</v>
      </c>
      <c r="D45" s="333" t="s">
        <v>208</v>
      </c>
      <c r="E45" s="332">
        <v>687.875</v>
      </c>
      <c r="F45" s="333"/>
      <c r="G45" s="335">
        <v>6.466</v>
      </c>
      <c r="H45" s="288">
        <f t="shared" si="3"/>
        <v>-13.375</v>
      </c>
      <c r="K45" s="347"/>
    </row>
    <row r="46" spans="1:8">
      <c r="A46" s="336"/>
      <c r="B46" s="282">
        <v>7</v>
      </c>
      <c r="C46" s="283">
        <f t="shared" si="2"/>
        <v>44411</v>
      </c>
      <c r="D46" s="333" t="s">
        <v>208</v>
      </c>
      <c r="E46" s="332">
        <v>678.875</v>
      </c>
      <c r="F46" s="333"/>
      <c r="G46" s="335">
        <v>6.461</v>
      </c>
      <c r="H46" s="288">
        <f t="shared" si="3"/>
        <v>-9</v>
      </c>
    </row>
    <row r="47" ht="15" customHeight="1" spans="1:11">
      <c r="A47" s="336"/>
      <c r="B47" s="282">
        <v>8</v>
      </c>
      <c r="C47" s="283">
        <f t="shared" si="2"/>
        <v>44412</v>
      </c>
      <c r="D47" s="333" t="s">
        <v>208</v>
      </c>
      <c r="E47" s="332">
        <v>678.375</v>
      </c>
      <c r="F47" s="333"/>
      <c r="G47" s="335">
        <v>6.4655</v>
      </c>
      <c r="H47" s="288">
        <f t="shared" si="3"/>
        <v>-0.5</v>
      </c>
      <c r="K47" s="348"/>
    </row>
    <row r="48" spans="1:8">
      <c r="A48" s="336"/>
      <c r="B48" s="282">
        <v>9</v>
      </c>
      <c r="C48" s="283">
        <f t="shared" si="2"/>
        <v>44413</v>
      </c>
      <c r="D48" s="333" t="s">
        <v>208</v>
      </c>
      <c r="E48" s="332">
        <v>655.5</v>
      </c>
      <c r="F48" s="333"/>
      <c r="G48" s="335">
        <v>6.4691</v>
      </c>
      <c r="H48" s="288">
        <f t="shared" si="3"/>
        <v>-22.875</v>
      </c>
    </row>
    <row r="49" spans="1:8">
      <c r="A49" s="336"/>
      <c r="B49" s="282">
        <v>10</v>
      </c>
      <c r="C49" s="283">
        <f t="shared" si="2"/>
        <v>44414</v>
      </c>
      <c r="D49" s="333" t="s">
        <v>208</v>
      </c>
      <c r="E49" s="332">
        <v>674.5</v>
      </c>
      <c r="F49" s="333"/>
      <c r="G49" s="335">
        <v>6.4625</v>
      </c>
      <c r="H49" s="288">
        <f t="shared" si="3"/>
        <v>19</v>
      </c>
    </row>
    <row r="50" spans="1:8">
      <c r="A50" s="336"/>
      <c r="B50" s="282">
        <v>11</v>
      </c>
      <c r="C50" s="283">
        <f t="shared" si="2"/>
        <v>44417</v>
      </c>
      <c r="D50" s="333" t="s">
        <v>208</v>
      </c>
      <c r="E50" s="332"/>
      <c r="F50" s="333"/>
      <c r="G50" s="335">
        <v>6.484</v>
      </c>
      <c r="H50" s="288">
        <f t="shared" si="3"/>
        <v>-674.5</v>
      </c>
    </row>
    <row r="51" spans="1:8">
      <c r="A51" s="336"/>
      <c r="B51" s="282">
        <v>12</v>
      </c>
      <c r="C51" s="283">
        <f t="shared" si="2"/>
        <v>44418</v>
      </c>
      <c r="D51" s="333" t="s">
        <v>208</v>
      </c>
      <c r="E51" s="332">
        <v>665.5</v>
      </c>
      <c r="F51" s="333"/>
      <c r="G51" s="335">
        <v>6.4842</v>
      </c>
      <c r="H51" s="288">
        <f t="shared" si="3"/>
        <v>665.5</v>
      </c>
    </row>
    <row r="52" spans="1:8">
      <c r="A52" s="336"/>
      <c r="B52" s="282">
        <v>13</v>
      </c>
      <c r="C52" s="283">
        <f t="shared" si="2"/>
        <v>44419</v>
      </c>
      <c r="D52" s="333" t="s">
        <v>208</v>
      </c>
      <c r="E52" s="332">
        <v>669.625</v>
      </c>
      <c r="F52" s="333"/>
      <c r="G52" s="335">
        <v>6.4831</v>
      </c>
      <c r="H52" s="288">
        <f t="shared" si="3"/>
        <v>4.125</v>
      </c>
    </row>
    <row r="53" spans="1:8">
      <c r="A53" s="336"/>
      <c r="B53" s="282">
        <v>14</v>
      </c>
      <c r="C53" s="283">
        <f t="shared" si="2"/>
        <v>44420</v>
      </c>
      <c r="D53" s="333" t="s">
        <v>208</v>
      </c>
      <c r="E53" s="332">
        <v>671.5</v>
      </c>
      <c r="F53" s="333"/>
      <c r="G53" s="335">
        <v>6.4754</v>
      </c>
      <c r="H53" s="288">
        <f t="shared" si="3"/>
        <v>1.875</v>
      </c>
    </row>
    <row r="54" ht="13.5" customHeight="1" spans="1:8">
      <c r="A54" s="336"/>
      <c r="B54" s="282">
        <v>15</v>
      </c>
      <c r="C54" s="283">
        <f t="shared" si="2"/>
        <v>44421</v>
      </c>
      <c r="D54" s="333" t="s">
        <v>208</v>
      </c>
      <c r="E54" s="332">
        <v>662.5</v>
      </c>
      <c r="F54" s="333"/>
      <c r="G54" s="335">
        <v>6.4799</v>
      </c>
      <c r="H54" s="288">
        <f t="shared" si="3"/>
        <v>-9</v>
      </c>
    </row>
    <row r="55" spans="1:8">
      <c r="A55" s="336"/>
      <c r="B55" s="282">
        <v>16</v>
      </c>
      <c r="C55" s="283">
        <f t="shared" si="2"/>
        <v>44424</v>
      </c>
      <c r="D55" s="333" t="s">
        <v>208</v>
      </c>
      <c r="E55" s="332">
        <v>644.5</v>
      </c>
      <c r="F55" s="333"/>
      <c r="G55" s="335">
        <v>6.4717</v>
      </c>
      <c r="H55" s="288">
        <f t="shared" si="3"/>
        <v>-18</v>
      </c>
    </row>
    <row r="56" spans="1:8">
      <c r="A56" s="336"/>
      <c r="B56" s="282">
        <v>17</v>
      </c>
      <c r="C56" s="283">
        <f t="shared" si="2"/>
        <v>44425</v>
      </c>
      <c r="D56" s="333" t="s">
        <v>208</v>
      </c>
      <c r="E56" s="332">
        <v>636.5</v>
      </c>
      <c r="F56" s="333"/>
      <c r="G56" s="335">
        <v>6.4765</v>
      </c>
      <c r="H56" s="288">
        <f t="shared" si="3"/>
        <v>-8</v>
      </c>
    </row>
    <row r="57" spans="1:8">
      <c r="A57" s="336"/>
      <c r="B57" s="282">
        <v>18</v>
      </c>
      <c r="C57" s="283">
        <f t="shared" si="2"/>
        <v>44426</v>
      </c>
      <c r="D57" s="333" t="s">
        <v>208</v>
      </c>
      <c r="E57" s="332">
        <v>635.875</v>
      </c>
      <c r="F57" s="333"/>
      <c r="G57" s="335">
        <v>6.4915</v>
      </c>
      <c r="H57" s="288">
        <f t="shared" si="3"/>
        <v>-0.625</v>
      </c>
    </row>
    <row r="58" spans="1:8">
      <c r="A58" s="336"/>
      <c r="B58" s="282">
        <v>19</v>
      </c>
      <c r="C58" s="283">
        <f t="shared" si="2"/>
        <v>44427</v>
      </c>
      <c r="D58" s="333" t="s">
        <v>208</v>
      </c>
      <c r="E58" s="332">
        <f t="shared" ref="E55:E61" si="4">E57</f>
        <v>635.875</v>
      </c>
      <c r="F58" s="333"/>
      <c r="G58" s="335">
        <f t="shared" ref="G55:G61" si="5">G57</f>
        <v>6.4915</v>
      </c>
      <c r="H58" s="288">
        <f t="shared" si="3"/>
        <v>0</v>
      </c>
    </row>
    <row r="59" spans="1:8">
      <c r="A59" s="336"/>
      <c r="B59" s="282">
        <v>20</v>
      </c>
      <c r="C59" s="283">
        <f t="shared" si="2"/>
        <v>44428</v>
      </c>
      <c r="D59" s="333" t="s">
        <v>208</v>
      </c>
      <c r="E59" s="332">
        <f t="shared" si="4"/>
        <v>635.875</v>
      </c>
      <c r="F59" s="333"/>
      <c r="G59" s="335">
        <f t="shared" si="5"/>
        <v>6.4915</v>
      </c>
      <c r="H59" s="288">
        <f t="shared" si="3"/>
        <v>0</v>
      </c>
    </row>
    <row r="60" spans="1:8">
      <c r="A60" s="336"/>
      <c r="B60" s="282">
        <v>21</v>
      </c>
      <c r="C60" s="283">
        <f t="shared" si="2"/>
        <v>44431</v>
      </c>
      <c r="D60" s="333" t="s">
        <v>208</v>
      </c>
      <c r="E60" s="332">
        <f t="shared" si="4"/>
        <v>635.875</v>
      </c>
      <c r="F60" s="333"/>
      <c r="G60" s="335">
        <f t="shared" si="5"/>
        <v>6.4915</v>
      </c>
      <c r="H60" s="288"/>
    </row>
    <row r="61" spans="1:11">
      <c r="A61" s="337"/>
      <c r="B61" s="282">
        <v>22</v>
      </c>
      <c r="C61" s="283">
        <f t="shared" si="2"/>
        <v>44432</v>
      </c>
      <c r="D61" s="333" t="s">
        <v>208</v>
      </c>
      <c r="E61" s="332">
        <f t="shared" si="4"/>
        <v>635.875</v>
      </c>
      <c r="F61" s="333"/>
      <c r="G61" s="335">
        <f t="shared" si="5"/>
        <v>6.4915</v>
      </c>
      <c r="H61" s="288"/>
      <c r="K61" s="349"/>
    </row>
    <row r="62" ht="15" spans="2:8">
      <c r="B62" s="282">
        <v>23</v>
      </c>
      <c r="C62" s="283">
        <f t="shared" si="2"/>
        <v>44433</v>
      </c>
      <c r="D62" s="333" t="s">
        <v>208</v>
      </c>
      <c r="E62" s="332"/>
      <c r="F62" s="333"/>
      <c r="G62" s="335"/>
      <c r="H62" s="295"/>
    </row>
    <row r="63" ht="15" spans="2:8">
      <c r="B63" s="338">
        <v>24</v>
      </c>
      <c r="C63" s="283"/>
      <c r="D63" s="339"/>
      <c r="E63" s="339"/>
      <c r="F63" s="339"/>
      <c r="G63" s="335"/>
      <c r="H63" s="340" t="s">
        <v>203</v>
      </c>
    </row>
    <row r="64" spans="2:8">
      <c r="B64" s="341" t="s">
        <v>204</v>
      </c>
      <c r="C64" s="342"/>
      <c r="D64" s="343"/>
      <c r="E64" s="344" t="s">
        <v>209</v>
      </c>
      <c r="F64" s="345"/>
      <c r="G64" s="346" t="s">
        <v>210</v>
      </c>
      <c r="H64" s="303">
        <f>E66</f>
        <v>665.244047619048</v>
      </c>
    </row>
    <row r="65" spans="2:8">
      <c r="B65" s="350"/>
      <c r="C65" s="351"/>
      <c r="D65" s="352"/>
      <c r="E65" s="353"/>
      <c r="F65" s="354"/>
      <c r="G65" s="355"/>
      <c r="H65" s="356">
        <v>667.679</v>
      </c>
    </row>
    <row r="66" ht="15" spans="2:8">
      <c r="B66" s="357"/>
      <c r="C66" s="358">
        <f>(E66+4.9)*G66*1.13</f>
        <v>4906.14717475011</v>
      </c>
      <c r="D66" s="359"/>
      <c r="E66" s="305">
        <f>AVERAGE(E40:E63)</f>
        <v>665.244047619048</v>
      </c>
      <c r="F66" s="305"/>
      <c r="G66" s="360">
        <f>AVERAGE(G40:G63)</f>
        <v>6.47879090909091</v>
      </c>
      <c r="H66" s="312">
        <f>H64-H65</f>
        <v>-2.43495238095238</v>
      </c>
    </row>
    <row r="67" spans="2:8">
      <c r="B67" s="361"/>
      <c r="C67" s="362"/>
      <c r="D67" s="361"/>
      <c r="E67" s="363"/>
      <c r="F67" s="363"/>
      <c r="G67" s="364"/>
      <c r="H67" s="365"/>
    </row>
    <row r="68" spans="2:8">
      <c r="B68" s="361"/>
      <c r="C68" s="362"/>
      <c r="D68" s="361"/>
      <c r="E68" s="363"/>
      <c r="F68" s="363"/>
      <c r="G68" s="364"/>
      <c r="H68" s="365"/>
    </row>
    <row r="69" spans="2:8">
      <c r="B69" s="361"/>
      <c r="C69" s="362"/>
      <c r="D69" s="361"/>
      <c r="E69" s="363"/>
      <c r="F69" s="363"/>
      <c r="G69" s="364"/>
      <c r="H69" s="365"/>
    </row>
    <row r="70" spans="2:8">
      <c r="B70" s="361"/>
      <c r="C70" s="362"/>
      <c r="D70" s="361"/>
      <c r="E70" s="363"/>
      <c r="F70" s="363"/>
      <c r="G70" s="364"/>
      <c r="H70" s="365"/>
    </row>
    <row r="71" ht="15" spans="2:8">
      <c r="B71" s="361"/>
      <c r="C71" s="362"/>
      <c r="D71" s="361"/>
      <c r="E71" s="363"/>
      <c r="F71" s="363"/>
      <c r="G71" s="364"/>
      <c r="H71" s="365"/>
    </row>
    <row r="72" ht="18" customHeight="1" spans="2:8">
      <c r="B72" s="366" t="s">
        <v>91</v>
      </c>
      <c r="C72" s="367" t="s">
        <v>211</v>
      </c>
      <c r="D72" s="368"/>
      <c r="E72" s="368"/>
      <c r="F72" s="368"/>
      <c r="G72" s="368"/>
      <c r="H72" s="369"/>
    </row>
    <row r="73" ht="18" customHeight="1" spans="1:8">
      <c r="A73" s="370">
        <f>B73*1.13</f>
        <v>5270.56628831908</v>
      </c>
      <c r="B73" s="371">
        <f>(0.3693*(E66+4.9)*1.13*G66+0.6307*(E66+6)*1.13*G66+318*1.13)/1.13</f>
        <v>4664.21795426467</v>
      </c>
      <c r="C73" s="372" t="s">
        <v>212</v>
      </c>
      <c r="D73" s="373"/>
      <c r="E73" s="373"/>
      <c r="F73" s="373"/>
      <c r="G73" s="373"/>
      <c r="H73" s="374"/>
    </row>
    <row r="74" ht="18" customHeight="1" spans="2:8">
      <c r="B74" s="375" t="s">
        <v>213</v>
      </c>
      <c r="C74" s="372"/>
      <c r="D74" s="373"/>
      <c r="E74" s="373"/>
      <c r="F74" s="373"/>
      <c r="G74" s="373"/>
      <c r="H74" s="374"/>
    </row>
    <row r="75" ht="18" customHeight="1" spans="2:8">
      <c r="B75" s="375">
        <f>(0.4389*(E66+4.9)*1.13*G66+0.5611*C83+378*1.13)/1.13</f>
        <v>4756.43918424449</v>
      </c>
      <c r="C75" s="372"/>
      <c r="D75" s="373"/>
      <c r="E75" s="373"/>
      <c r="F75" s="373"/>
      <c r="G75" s="373"/>
      <c r="H75" s="374"/>
    </row>
    <row r="76" ht="18" customHeight="1" spans="2:8">
      <c r="B76" s="376" t="s">
        <v>214</v>
      </c>
      <c r="C76" s="377" t="s">
        <v>66</v>
      </c>
      <c r="D76" s="378" t="s">
        <v>65</v>
      </c>
      <c r="E76" s="378" t="s">
        <v>67</v>
      </c>
      <c r="F76" s="379" t="s">
        <v>215</v>
      </c>
      <c r="G76" s="380"/>
      <c r="H76" s="381"/>
    </row>
    <row r="77" ht="18" customHeight="1" spans="2:8">
      <c r="B77" s="382" t="s">
        <v>216</v>
      </c>
      <c r="C77" s="383">
        <f>($E$66+35)*$G$66*1.17+100</f>
        <v>5407.97968073539</v>
      </c>
      <c r="D77" s="384"/>
      <c r="E77" s="384">
        <f t="shared" ref="E77:E82" si="6">C77*D77</f>
        <v>0</v>
      </c>
      <c r="F77" s="385" t="s">
        <v>217</v>
      </c>
      <c r="G77" s="386"/>
      <c r="H77" s="387"/>
    </row>
    <row r="78" ht="18" customHeight="1" spans="2:8">
      <c r="B78" s="382" t="s">
        <v>218</v>
      </c>
      <c r="C78" s="383">
        <f>($E$66+35)*$G$66*1.17+65</f>
        <v>5372.97968073539</v>
      </c>
      <c r="D78" s="384"/>
      <c r="E78" s="384">
        <f t="shared" si="6"/>
        <v>0</v>
      </c>
      <c r="F78" s="385" t="s">
        <v>219</v>
      </c>
      <c r="G78" s="386"/>
      <c r="H78" s="387"/>
    </row>
    <row r="79" ht="18" customHeight="1" spans="2:8">
      <c r="B79" s="382" t="s">
        <v>220</v>
      </c>
      <c r="C79" s="383">
        <f>($E$66+35)*$G$66*1.17+90</f>
        <v>5397.97968073539</v>
      </c>
      <c r="D79" s="384"/>
      <c r="E79" s="384">
        <f t="shared" si="6"/>
        <v>0</v>
      </c>
      <c r="F79" s="385" t="s">
        <v>221</v>
      </c>
      <c r="G79" s="386"/>
      <c r="H79" s="387"/>
    </row>
    <row r="80" ht="18" customHeight="1" spans="2:8">
      <c r="B80" s="382" t="s">
        <v>222</v>
      </c>
      <c r="C80" s="383">
        <f>($E$66+35)*$G$66*1.17+130</f>
        <v>5437.97968073539</v>
      </c>
      <c r="D80" s="384"/>
      <c r="E80" s="384">
        <f t="shared" si="6"/>
        <v>0</v>
      </c>
      <c r="F80" s="385" t="s">
        <v>223</v>
      </c>
      <c r="G80" s="386"/>
      <c r="H80" s="387"/>
    </row>
    <row r="81" ht="18" customHeight="1" spans="2:8">
      <c r="B81" s="388" t="s">
        <v>224</v>
      </c>
      <c r="C81" s="383">
        <f>($E$66+35)*$G$66*1.17</f>
        <v>5307.97968073539</v>
      </c>
      <c r="D81" s="384"/>
      <c r="E81" s="384">
        <f t="shared" si="6"/>
        <v>0</v>
      </c>
      <c r="F81" s="385" t="s">
        <v>225</v>
      </c>
      <c r="G81" s="386"/>
      <c r="H81" s="387"/>
    </row>
    <row r="82" ht="18" customHeight="1" spans="2:8">
      <c r="B82" s="382" t="s">
        <v>226</v>
      </c>
      <c r="C82" s="383">
        <f>($E$66+15)*$G$66*1.13</f>
        <v>4980.08961539556</v>
      </c>
      <c r="D82" s="384">
        <v>1</v>
      </c>
      <c r="E82" s="389">
        <f t="shared" si="6"/>
        <v>4980.08961539556</v>
      </c>
      <c r="F82" s="385" t="s">
        <v>225</v>
      </c>
      <c r="G82" s="386"/>
      <c r="H82" s="387"/>
    </row>
    <row r="83" ht="18" customHeight="1" spans="2:8">
      <c r="B83" s="390" t="s">
        <v>51</v>
      </c>
      <c r="C83" s="391">
        <f>E83/D83</f>
        <v>4980.08961539556</v>
      </c>
      <c r="D83" s="392">
        <f>SUM(D77:D82)</f>
        <v>1</v>
      </c>
      <c r="E83" s="393">
        <f>SUM(E77:E82)</f>
        <v>4980.08961539556</v>
      </c>
      <c r="F83" s="394" t="s">
        <v>227</v>
      </c>
      <c r="G83" s="395"/>
      <c r="H83" s="311"/>
    </row>
    <row r="84" spans="2:8">
      <c r="B84" s="361"/>
      <c r="C84" s="362"/>
      <c r="D84" s="361"/>
      <c r="E84" s="363"/>
      <c r="F84" s="363"/>
      <c r="G84" s="364"/>
      <c r="H84" s="365"/>
    </row>
    <row r="85" spans="4:4">
      <c r="D85" s="396"/>
    </row>
    <row r="86" spans="1:14">
      <c r="A86" s="272"/>
      <c r="B86" s="272"/>
      <c r="C86" s="272"/>
      <c r="D86" s="272"/>
      <c r="E86" s="272"/>
      <c r="F86" s="272"/>
      <c r="G86" s="397"/>
      <c r="H86" s="272"/>
      <c r="I86" s="272"/>
      <c r="J86" s="272"/>
      <c r="K86" s="272"/>
      <c r="L86" s="272"/>
      <c r="M86" s="272"/>
      <c r="N86" s="272"/>
    </row>
    <row r="88" ht="15" spans="3:8">
      <c r="C88" s="398"/>
      <c r="D88" s="399"/>
      <c r="E88" s="400"/>
      <c r="F88" s="400"/>
      <c r="G88" s="400"/>
      <c r="H88" s="400"/>
    </row>
    <row r="89" spans="2:8">
      <c r="B89" s="276" t="s">
        <v>73</v>
      </c>
      <c r="C89" s="401" t="s">
        <v>194</v>
      </c>
      <c r="D89" s="402" t="s">
        <v>228</v>
      </c>
      <c r="E89" s="403"/>
      <c r="F89" s="404" t="s">
        <v>196</v>
      </c>
      <c r="G89" s="404" t="s">
        <v>197</v>
      </c>
      <c r="H89" s="405" t="s">
        <v>198</v>
      </c>
    </row>
    <row r="90" spans="2:8">
      <c r="B90" s="282">
        <v>1</v>
      </c>
      <c r="C90" s="283">
        <f>C40</f>
        <v>44403</v>
      </c>
      <c r="D90" s="284" t="s">
        <v>73</v>
      </c>
      <c r="E90" s="285"/>
      <c r="F90" s="286"/>
      <c r="G90" s="287">
        <v>6200</v>
      </c>
      <c r="H90" s="330"/>
    </row>
    <row r="91" spans="2:8">
      <c r="B91" s="282">
        <v>2</v>
      </c>
      <c r="C91" s="283">
        <f t="shared" ref="C91:C112" si="7">C41</f>
        <v>44404</v>
      </c>
      <c r="D91" s="284" t="s">
        <v>73</v>
      </c>
      <c r="E91" s="285"/>
      <c r="F91" s="286"/>
      <c r="G91" s="287">
        <f>G90</f>
        <v>6200</v>
      </c>
      <c r="H91" s="288">
        <f>G91-G90</f>
        <v>0</v>
      </c>
    </row>
    <row r="92" spans="2:8">
      <c r="B92" s="282">
        <v>3</v>
      </c>
      <c r="C92" s="283">
        <f t="shared" si="7"/>
        <v>44405</v>
      </c>
      <c r="D92" s="284" t="s">
        <v>73</v>
      </c>
      <c r="E92" s="285"/>
      <c r="F92" s="286"/>
      <c r="G92" s="287">
        <f t="shared" ref="G92:G111" si="8">G91</f>
        <v>6200</v>
      </c>
      <c r="H92" s="288">
        <f t="shared" ref="H92:H109" si="9">G92-G91</f>
        <v>0</v>
      </c>
    </row>
    <row r="93" spans="2:8">
      <c r="B93" s="282">
        <v>4</v>
      </c>
      <c r="C93" s="283">
        <f t="shared" si="7"/>
        <v>44406</v>
      </c>
      <c r="D93" s="284" t="s">
        <v>73</v>
      </c>
      <c r="E93" s="285"/>
      <c r="F93" s="286"/>
      <c r="G93" s="287">
        <f t="shared" si="8"/>
        <v>6200</v>
      </c>
      <c r="H93" s="288">
        <f t="shared" si="9"/>
        <v>0</v>
      </c>
    </row>
    <row r="94" spans="2:8">
      <c r="B94" s="282">
        <v>5</v>
      </c>
      <c r="C94" s="283">
        <f t="shared" si="7"/>
        <v>44407</v>
      </c>
      <c r="D94" s="284" t="s">
        <v>73</v>
      </c>
      <c r="E94" s="285"/>
      <c r="F94" s="286"/>
      <c r="G94" s="287">
        <f t="shared" si="8"/>
        <v>6200</v>
      </c>
      <c r="H94" s="288">
        <f t="shared" si="9"/>
        <v>0</v>
      </c>
    </row>
    <row r="95" spans="2:8">
      <c r="B95" s="282">
        <v>6</v>
      </c>
      <c r="C95" s="283">
        <f t="shared" si="7"/>
        <v>44410</v>
      </c>
      <c r="D95" s="284" t="s">
        <v>73</v>
      </c>
      <c r="E95" s="285"/>
      <c r="F95" s="286"/>
      <c r="G95" s="287">
        <v>6300</v>
      </c>
      <c r="H95" s="288">
        <f t="shared" si="9"/>
        <v>100</v>
      </c>
    </row>
    <row r="96" spans="2:8">
      <c r="B96" s="282">
        <v>7</v>
      </c>
      <c r="C96" s="283">
        <f t="shared" si="7"/>
        <v>44411</v>
      </c>
      <c r="D96" s="284" t="s">
        <v>73</v>
      </c>
      <c r="E96" s="285"/>
      <c r="F96" s="286"/>
      <c r="G96" s="287">
        <f t="shared" si="8"/>
        <v>6300</v>
      </c>
      <c r="H96" s="288">
        <f t="shared" si="9"/>
        <v>0</v>
      </c>
    </row>
    <row r="97" spans="2:8">
      <c r="B97" s="282">
        <v>8</v>
      </c>
      <c r="C97" s="283">
        <f t="shared" si="7"/>
        <v>44412</v>
      </c>
      <c r="D97" s="284" t="s">
        <v>73</v>
      </c>
      <c r="E97" s="285"/>
      <c r="F97" s="286"/>
      <c r="G97" s="287">
        <f t="shared" si="8"/>
        <v>6300</v>
      </c>
      <c r="H97" s="288"/>
    </row>
    <row r="98" spans="2:8">
      <c r="B98" s="282">
        <v>9</v>
      </c>
      <c r="C98" s="283">
        <f t="shared" si="7"/>
        <v>44413</v>
      </c>
      <c r="D98" s="284" t="s">
        <v>73</v>
      </c>
      <c r="E98" s="285"/>
      <c r="F98" s="286"/>
      <c r="G98" s="287">
        <f t="shared" si="8"/>
        <v>6300</v>
      </c>
      <c r="H98" s="288">
        <f t="shared" si="9"/>
        <v>0</v>
      </c>
    </row>
    <row r="99" spans="2:8">
      <c r="B99" s="282">
        <v>10</v>
      </c>
      <c r="C99" s="283">
        <f t="shared" si="7"/>
        <v>44414</v>
      </c>
      <c r="D99" s="284" t="s">
        <v>73</v>
      </c>
      <c r="E99" s="285"/>
      <c r="F99" s="286"/>
      <c r="G99" s="287">
        <f t="shared" si="8"/>
        <v>6300</v>
      </c>
      <c r="H99" s="288">
        <f t="shared" si="9"/>
        <v>0</v>
      </c>
    </row>
    <row r="100" spans="2:8">
      <c r="B100" s="282">
        <v>11</v>
      </c>
      <c r="C100" s="283">
        <f t="shared" si="7"/>
        <v>44417</v>
      </c>
      <c r="D100" s="284" t="s">
        <v>73</v>
      </c>
      <c r="E100" s="285"/>
      <c r="F100" s="286"/>
      <c r="G100" s="287">
        <f t="shared" si="8"/>
        <v>6300</v>
      </c>
      <c r="H100" s="288">
        <f t="shared" si="9"/>
        <v>0</v>
      </c>
    </row>
    <row r="101" spans="2:8">
      <c r="B101" s="282">
        <v>12</v>
      </c>
      <c r="C101" s="283">
        <f t="shared" si="7"/>
        <v>44418</v>
      </c>
      <c r="D101" s="284" t="s">
        <v>73</v>
      </c>
      <c r="E101" s="285"/>
      <c r="F101" s="286"/>
      <c r="G101" s="287">
        <f t="shared" si="8"/>
        <v>6300</v>
      </c>
      <c r="H101" s="288">
        <f t="shared" si="9"/>
        <v>0</v>
      </c>
    </row>
    <row r="102" spans="2:8">
      <c r="B102" s="282">
        <v>13</v>
      </c>
      <c r="C102" s="283">
        <f t="shared" si="7"/>
        <v>44419</v>
      </c>
      <c r="D102" s="284" t="s">
        <v>73</v>
      </c>
      <c r="E102" s="285"/>
      <c r="F102" s="286"/>
      <c r="G102" s="287">
        <f t="shared" si="8"/>
        <v>6300</v>
      </c>
      <c r="H102" s="288">
        <f t="shared" si="9"/>
        <v>0</v>
      </c>
    </row>
    <row r="103" spans="2:8">
      <c r="B103" s="282">
        <v>14</v>
      </c>
      <c r="C103" s="283">
        <f t="shared" si="7"/>
        <v>44420</v>
      </c>
      <c r="D103" s="284" t="s">
        <v>73</v>
      </c>
      <c r="E103" s="285"/>
      <c r="F103" s="286"/>
      <c r="G103" s="287">
        <f t="shared" si="8"/>
        <v>6300</v>
      </c>
      <c r="H103" s="288">
        <f t="shared" si="9"/>
        <v>0</v>
      </c>
    </row>
    <row r="104" spans="2:8">
      <c r="B104" s="282">
        <v>15</v>
      </c>
      <c r="C104" s="283">
        <f t="shared" si="7"/>
        <v>44421</v>
      </c>
      <c r="D104" s="284" t="s">
        <v>73</v>
      </c>
      <c r="E104" s="285"/>
      <c r="F104" s="286"/>
      <c r="G104" s="287">
        <f t="shared" si="8"/>
        <v>6300</v>
      </c>
      <c r="H104" s="288">
        <f t="shared" si="9"/>
        <v>0</v>
      </c>
    </row>
    <row r="105" spans="2:8">
      <c r="B105" s="282">
        <v>16</v>
      </c>
      <c r="C105" s="283">
        <f t="shared" si="7"/>
        <v>44424</v>
      </c>
      <c r="D105" s="284" t="s">
        <v>73</v>
      </c>
      <c r="E105" s="285"/>
      <c r="F105" s="286"/>
      <c r="G105" s="287">
        <f t="shared" si="8"/>
        <v>6300</v>
      </c>
      <c r="H105" s="288">
        <f t="shared" si="9"/>
        <v>0</v>
      </c>
    </row>
    <row r="106" spans="2:8">
      <c r="B106" s="282">
        <v>17</v>
      </c>
      <c r="C106" s="283">
        <f t="shared" si="7"/>
        <v>44425</v>
      </c>
      <c r="D106" s="284" t="s">
        <v>73</v>
      </c>
      <c r="E106" s="285"/>
      <c r="F106" s="286"/>
      <c r="G106" s="287">
        <f t="shared" si="8"/>
        <v>6300</v>
      </c>
      <c r="H106" s="288">
        <f t="shared" si="9"/>
        <v>0</v>
      </c>
    </row>
    <row r="107" spans="2:8">
      <c r="B107" s="282">
        <v>18</v>
      </c>
      <c r="C107" s="283">
        <f t="shared" si="7"/>
        <v>44426</v>
      </c>
      <c r="D107" s="284" t="s">
        <v>73</v>
      </c>
      <c r="E107" s="285"/>
      <c r="F107" s="286"/>
      <c r="G107" s="287">
        <f t="shared" si="8"/>
        <v>6300</v>
      </c>
      <c r="H107" s="288">
        <f t="shared" si="9"/>
        <v>0</v>
      </c>
    </row>
    <row r="108" spans="2:8">
      <c r="B108" s="282">
        <v>19</v>
      </c>
      <c r="C108" s="283">
        <f t="shared" si="7"/>
        <v>44427</v>
      </c>
      <c r="D108" s="284" t="s">
        <v>73</v>
      </c>
      <c r="E108" s="285"/>
      <c r="F108" s="286"/>
      <c r="G108" s="287">
        <f t="shared" si="8"/>
        <v>6300</v>
      </c>
      <c r="H108" s="288">
        <f t="shared" si="9"/>
        <v>0</v>
      </c>
    </row>
    <row r="109" spans="2:8">
      <c r="B109" s="282">
        <v>20</v>
      </c>
      <c r="C109" s="283">
        <f t="shared" si="7"/>
        <v>44428</v>
      </c>
      <c r="D109" s="284" t="s">
        <v>73</v>
      </c>
      <c r="E109" s="285"/>
      <c r="F109" s="286"/>
      <c r="G109" s="287">
        <f t="shared" si="8"/>
        <v>6300</v>
      </c>
      <c r="H109" s="288">
        <f t="shared" si="9"/>
        <v>0</v>
      </c>
    </row>
    <row r="110" spans="2:8">
      <c r="B110" s="282"/>
      <c r="C110" s="283">
        <f t="shared" si="7"/>
        <v>44431</v>
      </c>
      <c r="D110" s="284" t="s">
        <v>73</v>
      </c>
      <c r="E110" s="285"/>
      <c r="F110" s="286"/>
      <c r="G110" s="287">
        <f t="shared" si="8"/>
        <v>6300</v>
      </c>
      <c r="H110" s="288"/>
    </row>
    <row r="111" spans="2:8">
      <c r="B111" s="282"/>
      <c r="C111" s="283">
        <f t="shared" si="7"/>
        <v>44432</v>
      </c>
      <c r="D111" s="284" t="s">
        <v>73</v>
      </c>
      <c r="E111" s="285"/>
      <c r="F111" s="286"/>
      <c r="G111" s="287">
        <f t="shared" si="8"/>
        <v>6300</v>
      </c>
      <c r="H111" s="288"/>
    </row>
    <row r="112" spans="2:8">
      <c r="B112" s="282"/>
      <c r="C112" s="283">
        <f t="shared" si="7"/>
        <v>44433</v>
      </c>
      <c r="D112" s="284" t="s">
        <v>73</v>
      </c>
      <c r="E112" s="285"/>
      <c r="F112" s="286"/>
      <c r="G112" s="287"/>
      <c r="H112" s="288"/>
    </row>
    <row r="113" ht="15" spans="2:8">
      <c r="B113" s="289"/>
      <c r="C113" s="290"/>
      <c r="D113" s="291"/>
      <c r="E113" s="292"/>
      <c r="F113" s="293"/>
      <c r="G113" s="294"/>
      <c r="H113" s="295"/>
    </row>
    <row r="114" ht="16.5" customHeight="1" spans="2:8">
      <c r="B114" s="366" t="s">
        <v>229</v>
      </c>
      <c r="C114" s="406"/>
      <c r="D114" s="407" t="s">
        <v>230</v>
      </c>
      <c r="E114" s="407"/>
      <c r="F114" s="407" t="s">
        <v>231</v>
      </c>
      <c r="G114" s="408" t="s">
        <v>202</v>
      </c>
      <c r="H114" s="409"/>
    </row>
    <row r="115" ht="8.25" customHeight="1" spans="2:8">
      <c r="B115" s="375"/>
      <c r="C115" s="410"/>
      <c r="D115" s="298"/>
      <c r="E115" s="298"/>
      <c r="F115" s="298"/>
      <c r="G115" s="411"/>
      <c r="H115" s="412"/>
    </row>
    <row r="116" spans="2:8">
      <c r="B116" s="375"/>
      <c r="C116" s="410"/>
      <c r="D116" s="298"/>
      <c r="E116" s="298"/>
      <c r="F116" s="298"/>
      <c r="G116" s="411"/>
      <c r="H116" s="412"/>
    </row>
    <row r="117" ht="4.5" customHeight="1" spans="2:8">
      <c r="B117" s="375"/>
      <c r="C117" s="410"/>
      <c r="D117" s="298"/>
      <c r="E117" s="298"/>
      <c r="F117" s="298"/>
      <c r="G117" s="413"/>
      <c r="H117" s="412"/>
    </row>
    <row r="118" ht="15" spans="2:8">
      <c r="B118" s="414">
        <f>AVERAGE(D118:F118)</f>
        <v>6127.27272727273</v>
      </c>
      <c r="C118" s="415"/>
      <c r="D118" s="391">
        <f>G118-90</f>
        <v>6187.27272727273</v>
      </c>
      <c r="E118" s="391"/>
      <c r="F118" s="393">
        <f>G118-210</f>
        <v>6067.27272727273</v>
      </c>
      <c r="G118" s="416">
        <f>AVERAGE(G90:G116)</f>
        <v>6277.27272727273</v>
      </c>
      <c r="H118" s="417"/>
    </row>
    <row r="119" ht="15" spans="3:8">
      <c r="C119" s="418"/>
      <c r="D119" s="316"/>
      <c r="E119" s="419"/>
      <c r="F119" s="419"/>
      <c r="G119" s="420"/>
      <c r="H119" s="419"/>
    </row>
    <row r="120" spans="3:7">
      <c r="C120" s="421"/>
      <c r="D120" s="422"/>
      <c r="E120" s="423"/>
      <c r="G120" s="424"/>
    </row>
    <row r="121" spans="1:14">
      <c r="A121" s="425"/>
      <c r="B121" s="425"/>
      <c r="C121" s="426"/>
      <c r="D121" s="427"/>
      <c r="E121" s="426"/>
      <c r="F121" s="425"/>
      <c r="G121" s="428"/>
      <c r="H121" s="425"/>
      <c r="I121" s="272"/>
      <c r="J121" s="272"/>
      <c r="K121" s="272"/>
      <c r="L121" s="272"/>
      <c r="M121" s="272"/>
      <c r="N121" s="272"/>
    </row>
    <row r="122" ht="3" customHeight="1" spans="1:14">
      <c r="A122" s="425"/>
      <c r="B122" s="425"/>
      <c r="C122" s="426"/>
      <c r="D122" s="427"/>
      <c r="E122" s="426"/>
      <c r="F122" s="425"/>
      <c r="G122" s="428"/>
      <c r="H122" s="425"/>
      <c r="I122" s="272"/>
      <c r="J122" s="272"/>
      <c r="K122" s="272"/>
      <c r="L122" s="272"/>
      <c r="M122" s="272"/>
      <c r="N122" s="272"/>
    </row>
    <row r="123" ht="15" spans="3:7">
      <c r="C123" s="429"/>
      <c r="D123" s="422"/>
      <c r="E123" s="430"/>
      <c r="G123" s="424"/>
    </row>
    <row r="124" ht="21.75" customHeight="1" spans="2:8">
      <c r="B124" s="276" t="s">
        <v>71</v>
      </c>
      <c r="C124" s="401" t="s">
        <v>194</v>
      </c>
      <c r="D124" s="404" t="s">
        <v>232</v>
      </c>
      <c r="E124" s="431"/>
      <c r="F124" s="404"/>
      <c r="G124" s="404" t="s">
        <v>196</v>
      </c>
      <c r="H124" s="324" t="s">
        <v>198</v>
      </c>
    </row>
    <row r="125" spans="2:8">
      <c r="B125" s="282">
        <v>1</v>
      </c>
      <c r="C125" s="283">
        <v>44402</v>
      </c>
      <c r="D125" s="286" t="s">
        <v>71</v>
      </c>
      <c r="E125" s="285" t="s">
        <v>233</v>
      </c>
      <c r="F125" s="286"/>
      <c r="G125" s="287">
        <v>8150</v>
      </c>
      <c r="H125" s="330"/>
    </row>
    <row r="126" spans="2:8">
      <c r="B126" s="282">
        <v>2</v>
      </c>
      <c r="C126" s="283">
        <v>44403</v>
      </c>
      <c r="D126" s="286" t="s">
        <v>71</v>
      </c>
      <c r="E126" s="285" t="s">
        <v>233</v>
      </c>
      <c r="F126" s="286"/>
      <c r="G126" s="287">
        <v>8150</v>
      </c>
      <c r="H126" s="288">
        <f>G126-G125</f>
        <v>0</v>
      </c>
    </row>
    <row r="127" spans="2:8">
      <c r="B127" s="282">
        <v>3</v>
      </c>
      <c r="C127" s="283">
        <v>44404</v>
      </c>
      <c r="D127" s="286" t="s">
        <v>71</v>
      </c>
      <c r="E127" s="285" t="s">
        <v>233</v>
      </c>
      <c r="F127" s="286"/>
      <c r="G127" s="287">
        <v>8150</v>
      </c>
      <c r="H127" s="288">
        <f t="shared" ref="H127:H152" si="10">G127-G126</f>
        <v>0</v>
      </c>
    </row>
    <row r="128" spans="2:8">
      <c r="B128" s="282">
        <v>4</v>
      </c>
      <c r="C128" s="283">
        <v>44405</v>
      </c>
      <c r="D128" s="286" t="s">
        <v>71</v>
      </c>
      <c r="E128" s="285" t="s">
        <v>233</v>
      </c>
      <c r="F128" s="286"/>
      <c r="G128" s="287">
        <v>8150</v>
      </c>
      <c r="H128" s="288">
        <f t="shared" si="10"/>
        <v>0</v>
      </c>
    </row>
    <row r="129" spans="2:8">
      <c r="B129" s="282">
        <v>5</v>
      </c>
      <c r="C129" s="283">
        <v>44406</v>
      </c>
      <c r="D129" s="286" t="s">
        <v>71</v>
      </c>
      <c r="E129" s="285" t="s">
        <v>233</v>
      </c>
      <c r="F129" s="286"/>
      <c r="G129" s="287">
        <f>G128</f>
        <v>8150</v>
      </c>
      <c r="H129" s="288">
        <f t="shared" si="10"/>
        <v>0</v>
      </c>
    </row>
    <row r="130" spans="2:8">
      <c r="B130" s="282">
        <v>6</v>
      </c>
      <c r="C130" s="283">
        <v>44407</v>
      </c>
      <c r="D130" s="286" t="s">
        <v>71</v>
      </c>
      <c r="E130" s="285" t="s">
        <v>233</v>
      </c>
      <c r="F130" s="286"/>
      <c r="G130" s="287">
        <f t="shared" ref="G130:G155" si="11">G129</f>
        <v>8150</v>
      </c>
      <c r="H130" s="288">
        <f t="shared" si="10"/>
        <v>0</v>
      </c>
    </row>
    <row r="131" spans="2:8">
      <c r="B131" s="282">
        <v>7</v>
      </c>
      <c r="C131" s="283">
        <v>44408</v>
      </c>
      <c r="D131" s="286" t="s">
        <v>71</v>
      </c>
      <c r="E131" s="285" t="s">
        <v>233</v>
      </c>
      <c r="F131" s="286"/>
      <c r="G131" s="287">
        <f t="shared" si="11"/>
        <v>8150</v>
      </c>
      <c r="H131" s="288">
        <f t="shared" si="10"/>
        <v>0</v>
      </c>
    </row>
    <row r="132" spans="2:8">
      <c r="B132" s="282">
        <v>8</v>
      </c>
      <c r="C132" s="283">
        <v>44409</v>
      </c>
      <c r="D132" s="286" t="s">
        <v>71</v>
      </c>
      <c r="E132" s="285" t="s">
        <v>233</v>
      </c>
      <c r="F132" s="286"/>
      <c r="G132" s="287">
        <f t="shared" si="11"/>
        <v>8150</v>
      </c>
      <c r="H132" s="288">
        <f t="shared" si="10"/>
        <v>0</v>
      </c>
    </row>
    <row r="133" spans="2:8">
      <c r="B133" s="282">
        <v>9</v>
      </c>
      <c r="C133" s="283">
        <v>44410</v>
      </c>
      <c r="D133" s="286" t="s">
        <v>71</v>
      </c>
      <c r="E133" s="285" t="s">
        <v>233</v>
      </c>
      <c r="F133" s="286"/>
      <c r="G133" s="287">
        <v>7900</v>
      </c>
      <c r="H133" s="288">
        <f t="shared" si="10"/>
        <v>-250</v>
      </c>
    </row>
    <row r="134" spans="2:8">
      <c r="B134" s="282">
        <v>10</v>
      </c>
      <c r="C134" s="283">
        <v>44411</v>
      </c>
      <c r="D134" s="286" t="s">
        <v>71</v>
      </c>
      <c r="E134" s="285" t="s">
        <v>233</v>
      </c>
      <c r="F134" s="286"/>
      <c r="G134" s="287">
        <f t="shared" si="11"/>
        <v>7900</v>
      </c>
      <c r="H134" s="288">
        <f t="shared" si="10"/>
        <v>0</v>
      </c>
    </row>
    <row r="135" spans="2:8">
      <c r="B135" s="282">
        <v>11</v>
      </c>
      <c r="C135" s="283">
        <v>44412</v>
      </c>
      <c r="D135" s="286" t="s">
        <v>71</v>
      </c>
      <c r="E135" s="285" t="s">
        <v>233</v>
      </c>
      <c r="F135" s="286"/>
      <c r="G135" s="287">
        <v>7700</v>
      </c>
      <c r="H135" s="288">
        <f t="shared" si="10"/>
        <v>-200</v>
      </c>
    </row>
    <row r="136" spans="2:8">
      <c r="B136" s="282">
        <v>12</v>
      </c>
      <c r="C136" s="283">
        <v>44413</v>
      </c>
      <c r="D136" s="286" t="s">
        <v>71</v>
      </c>
      <c r="E136" s="285" t="s">
        <v>233</v>
      </c>
      <c r="F136" s="286"/>
      <c r="G136" s="287">
        <f t="shared" si="11"/>
        <v>7700</v>
      </c>
      <c r="H136" s="288">
        <f t="shared" si="10"/>
        <v>0</v>
      </c>
    </row>
    <row r="137" spans="2:8">
      <c r="B137" s="282">
        <v>13</v>
      </c>
      <c r="C137" s="283">
        <v>44414</v>
      </c>
      <c r="D137" s="286" t="s">
        <v>71</v>
      </c>
      <c r="E137" s="285" t="s">
        <v>233</v>
      </c>
      <c r="F137" s="286"/>
      <c r="G137" s="287">
        <f t="shared" si="11"/>
        <v>7700</v>
      </c>
      <c r="H137" s="288">
        <f t="shared" si="10"/>
        <v>0</v>
      </c>
    </row>
    <row r="138" spans="2:8">
      <c r="B138" s="282">
        <v>14</v>
      </c>
      <c r="C138" s="283">
        <v>44415</v>
      </c>
      <c r="D138" s="286" t="s">
        <v>71</v>
      </c>
      <c r="E138" s="285" t="s">
        <v>233</v>
      </c>
      <c r="F138" s="286"/>
      <c r="G138" s="287">
        <f t="shared" si="11"/>
        <v>7700</v>
      </c>
      <c r="H138" s="288">
        <f t="shared" si="10"/>
        <v>0</v>
      </c>
    </row>
    <row r="139" spans="2:8">
      <c r="B139" s="282">
        <v>15</v>
      </c>
      <c r="C139" s="283">
        <v>44416</v>
      </c>
      <c r="D139" s="286" t="s">
        <v>71</v>
      </c>
      <c r="E139" s="285" t="s">
        <v>233</v>
      </c>
      <c r="F139" s="286"/>
      <c r="G139" s="287">
        <f t="shared" si="11"/>
        <v>7700</v>
      </c>
      <c r="H139" s="288">
        <f t="shared" si="10"/>
        <v>0</v>
      </c>
    </row>
    <row r="140" spans="2:8">
      <c r="B140" s="282">
        <v>16</v>
      </c>
      <c r="C140" s="283">
        <v>44417</v>
      </c>
      <c r="D140" s="286" t="s">
        <v>71</v>
      </c>
      <c r="E140" s="285" t="s">
        <v>233</v>
      </c>
      <c r="F140" s="286"/>
      <c r="G140" s="287">
        <v>7550</v>
      </c>
      <c r="H140" s="288">
        <f t="shared" si="10"/>
        <v>-150</v>
      </c>
    </row>
    <row r="141" spans="2:8">
      <c r="B141" s="282">
        <v>17</v>
      </c>
      <c r="C141" s="283">
        <v>44418</v>
      </c>
      <c r="D141" s="286" t="s">
        <v>71</v>
      </c>
      <c r="E141" s="285" t="s">
        <v>233</v>
      </c>
      <c r="F141" s="286"/>
      <c r="G141" s="287">
        <f t="shared" si="11"/>
        <v>7550</v>
      </c>
      <c r="H141" s="288">
        <f t="shared" si="10"/>
        <v>0</v>
      </c>
    </row>
    <row r="142" spans="2:8">
      <c r="B142" s="282">
        <v>18</v>
      </c>
      <c r="C142" s="283">
        <v>44419</v>
      </c>
      <c r="D142" s="286" t="s">
        <v>71</v>
      </c>
      <c r="E142" s="285" t="s">
        <v>233</v>
      </c>
      <c r="F142" s="286"/>
      <c r="G142" s="287">
        <f t="shared" si="11"/>
        <v>7550</v>
      </c>
      <c r="H142" s="288">
        <f t="shared" si="10"/>
        <v>0</v>
      </c>
    </row>
    <row r="143" spans="2:8">
      <c r="B143" s="282">
        <v>19</v>
      </c>
      <c r="C143" s="283">
        <v>44420</v>
      </c>
      <c r="D143" s="286" t="s">
        <v>71</v>
      </c>
      <c r="E143" s="285" t="s">
        <v>233</v>
      </c>
      <c r="F143" s="286"/>
      <c r="G143" s="287">
        <f t="shared" si="11"/>
        <v>7550</v>
      </c>
      <c r="H143" s="288">
        <f t="shared" si="10"/>
        <v>0</v>
      </c>
    </row>
    <row r="144" spans="2:8">
      <c r="B144" s="282">
        <v>20</v>
      </c>
      <c r="C144" s="283">
        <v>44421</v>
      </c>
      <c r="D144" s="286" t="s">
        <v>71</v>
      </c>
      <c r="E144" s="285" t="s">
        <v>233</v>
      </c>
      <c r="F144" s="286"/>
      <c r="G144" s="287">
        <f t="shared" si="11"/>
        <v>7550</v>
      </c>
      <c r="H144" s="288">
        <f t="shared" si="10"/>
        <v>0</v>
      </c>
    </row>
    <row r="145" spans="2:8">
      <c r="B145" s="282">
        <v>21</v>
      </c>
      <c r="C145" s="283">
        <v>44422</v>
      </c>
      <c r="D145" s="286" t="s">
        <v>71</v>
      </c>
      <c r="E145" s="285" t="s">
        <v>233</v>
      </c>
      <c r="F145" s="286"/>
      <c r="G145" s="287">
        <f t="shared" si="11"/>
        <v>7550</v>
      </c>
      <c r="H145" s="288">
        <f t="shared" si="10"/>
        <v>0</v>
      </c>
    </row>
    <row r="146" spans="2:8">
      <c r="B146" s="282">
        <v>22</v>
      </c>
      <c r="C146" s="283">
        <v>44423</v>
      </c>
      <c r="D146" s="286" t="s">
        <v>71</v>
      </c>
      <c r="E146" s="285" t="s">
        <v>233</v>
      </c>
      <c r="F146" s="286"/>
      <c r="G146" s="287">
        <f t="shared" si="11"/>
        <v>7550</v>
      </c>
      <c r="H146" s="288">
        <f t="shared" si="10"/>
        <v>0</v>
      </c>
    </row>
    <row r="147" spans="2:8">
      <c r="B147" s="282">
        <v>23</v>
      </c>
      <c r="C147" s="283">
        <v>44424</v>
      </c>
      <c r="D147" s="286" t="s">
        <v>71</v>
      </c>
      <c r="E147" s="285" t="s">
        <v>233</v>
      </c>
      <c r="F147" s="286"/>
      <c r="G147" s="287">
        <f t="shared" si="11"/>
        <v>7550</v>
      </c>
      <c r="H147" s="288">
        <f t="shared" si="10"/>
        <v>0</v>
      </c>
    </row>
    <row r="148" customHeight="1" spans="2:8">
      <c r="B148" s="282">
        <v>24</v>
      </c>
      <c r="C148" s="283">
        <v>44425</v>
      </c>
      <c r="D148" s="286" t="s">
        <v>71</v>
      </c>
      <c r="E148" s="285" t="s">
        <v>233</v>
      </c>
      <c r="F148" s="286"/>
      <c r="G148" s="287">
        <f t="shared" si="11"/>
        <v>7550</v>
      </c>
      <c r="H148" s="288">
        <f t="shared" si="10"/>
        <v>0</v>
      </c>
    </row>
    <row r="149" customHeight="1" spans="2:8">
      <c r="B149" s="282">
        <v>25</v>
      </c>
      <c r="C149" s="283">
        <v>44426</v>
      </c>
      <c r="D149" s="286" t="s">
        <v>71</v>
      </c>
      <c r="E149" s="285" t="s">
        <v>233</v>
      </c>
      <c r="F149" s="432"/>
      <c r="G149" s="287">
        <f t="shared" si="11"/>
        <v>7550</v>
      </c>
      <c r="H149" s="288">
        <f t="shared" si="10"/>
        <v>0</v>
      </c>
    </row>
    <row r="150" spans="2:8">
      <c r="B150" s="282">
        <v>26</v>
      </c>
      <c r="C150" s="283">
        <v>44427</v>
      </c>
      <c r="D150" s="286" t="s">
        <v>71</v>
      </c>
      <c r="E150" s="285" t="s">
        <v>233</v>
      </c>
      <c r="F150" s="432"/>
      <c r="G150" s="287">
        <f t="shared" si="11"/>
        <v>7550</v>
      </c>
      <c r="H150" s="288">
        <f t="shared" si="10"/>
        <v>0</v>
      </c>
    </row>
    <row r="151" spans="2:8">
      <c r="B151" s="282">
        <v>27</v>
      </c>
      <c r="C151" s="283">
        <v>44428</v>
      </c>
      <c r="D151" s="286" t="s">
        <v>71</v>
      </c>
      <c r="E151" s="285" t="s">
        <v>233</v>
      </c>
      <c r="F151" s="432"/>
      <c r="G151" s="287">
        <f t="shared" si="11"/>
        <v>7550</v>
      </c>
      <c r="H151" s="288">
        <f t="shared" si="10"/>
        <v>0</v>
      </c>
    </row>
    <row r="152" spans="2:8">
      <c r="B152" s="282">
        <v>28</v>
      </c>
      <c r="C152" s="283">
        <v>44429</v>
      </c>
      <c r="D152" s="286" t="s">
        <v>71</v>
      </c>
      <c r="E152" s="285" t="s">
        <v>233</v>
      </c>
      <c r="F152" s="432"/>
      <c r="G152" s="287">
        <f t="shared" si="11"/>
        <v>7550</v>
      </c>
      <c r="H152" s="288">
        <f t="shared" si="10"/>
        <v>0</v>
      </c>
    </row>
    <row r="153" spans="2:8">
      <c r="B153" s="282">
        <v>29</v>
      </c>
      <c r="C153" s="283">
        <v>44430</v>
      </c>
      <c r="D153" s="286" t="s">
        <v>71</v>
      </c>
      <c r="E153" s="285" t="s">
        <v>233</v>
      </c>
      <c r="F153" s="432"/>
      <c r="G153" s="287">
        <f t="shared" si="11"/>
        <v>7550</v>
      </c>
      <c r="H153" s="288"/>
    </row>
    <row r="154" spans="2:8">
      <c r="B154" s="282">
        <v>30</v>
      </c>
      <c r="C154" s="283">
        <v>44431</v>
      </c>
      <c r="D154" s="286" t="s">
        <v>71</v>
      </c>
      <c r="E154" s="285" t="s">
        <v>233</v>
      </c>
      <c r="F154" s="432"/>
      <c r="G154" s="287">
        <f t="shared" si="11"/>
        <v>7550</v>
      </c>
      <c r="H154" s="288"/>
    </row>
    <row r="155" spans="2:8">
      <c r="B155" s="282">
        <v>31</v>
      </c>
      <c r="C155" s="283">
        <v>44432</v>
      </c>
      <c r="D155" s="286" t="s">
        <v>71</v>
      </c>
      <c r="E155" s="285" t="s">
        <v>233</v>
      </c>
      <c r="F155" s="432"/>
      <c r="G155" s="287">
        <f t="shared" si="11"/>
        <v>7550</v>
      </c>
      <c r="H155" s="288"/>
    </row>
    <row r="156" spans="2:8">
      <c r="B156" s="433"/>
      <c r="C156" s="283"/>
      <c r="D156" s="286"/>
      <c r="E156" s="432"/>
      <c r="F156" s="434"/>
      <c r="G156" s="432"/>
      <c r="H156" s="330"/>
    </row>
    <row r="157" spans="2:8">
      <c r="B157" s="375" t="s">
        <v>234</v>
      </c>
      <c r="C157" s="410"/>
      <c r="D157" s="298" t="s">
        <v>235</v>
      </c>
      <c r="E157" s="298"/>
      <c r="F157" s="298" t="s">
        <v>236</v>
      </c>
      <c r="G157" s="298" t="s">
        <v>202</v>
      </c>
      <c r="H157" s="435" t="s">
        <v>203</v>
      </c>
    </row>
    <row r="158" spans="2:8">
      <c r="B158" s="375"/>
      <c r="C158" s="410"/>
      <c r="D158" s="298"/>
      <c r="E158" s="298"/>
      <c r="F158" s="298"/>
      <c r="G158" s="298"/>
      <c r="H158" s="435"/>
    </row>
    <row r="159" spans="2:8">
      <c r="B159" s="375"/>
      <c r="C159" s="410"/>
      <c r="D159" s="298"/>
      <c r="E159" s="298"/>
      <c r="F159" s="298"/>
      <c r="G159" s="298"/>
      <c r="H159" s="436">
        <f>G161</f>
        <v>7751.61290322581</v>
      </c>
    </row>
    <row r="160" spans="2:8">
      <c r="B160" s="375"/>
      <c r="C160" s="410"/>
      <c r="D160" s="298"/>
      <c r="E160" s="298"/>
      <c r="F160" s="298"/>
      <c r="G160" s="298"/>
      <c r="H160" s="437"/>
    </row>
    <row r="161" ht="15" spans="2:8">
      <c r="B161" s="438">
        <f>((销售收入!D6-6000-16000)*D161+6000*价格依据!F161+16000*价格依据!D161)/销售收入!D6</f>
        <v>7711.97126500055</v>
      </c>
      <c r="C161" s="439"/>
      <c r="D161" s="391">
        <f>G161-55</f>
        <v>7696.61290322581</v>
      </c>
      <c r="E161" s="391"/>
      <c r="F161" s="393">
        <f>G161+20</f>
        <v>7771.61290322581</v>
      </c>
      <c r="G161" s="393">
        <f>AVERAGE(G125:G159)</f>
        <v>7751.61290322581</v>
      </c>
      <c r="H161" s="440">
        <f>H159-H160</f>
        <v>7751.61290322581</v>
      </c>
    </row>
    <row r="162" ht="15" spans="3:8">
      <c r="C162" s="441"/>
      <c r="D162" s="316"/>
      <c r="E162" s="442"/>
      <c r="F162" s="396"/>
      <c r="G162" s="271"/>
      <c r="H162" s="271"/>
    </row>
    <row r="163" s="272" customFormat="1" ht="21" customHeight="1" spans="3:8">
      <c r="C163" s="443"/>
      <c r="D163" s="444"/>
      <c r="E163" s="445"/>
      <c r="F163" s="446"/>
      <c r="H163" s="447"/>
    </row>
    <row r="164" ht="15.75" customHeight="1" spans="3:8">
      <c r="C164" s="441"/>
      <c r="D164" s="448"/>
      <c r="E164" s="423"/>
      <c r="F164" s="396"/>
      <c r="G164" s="271"/>
      <c r="H164" s="449"/>
    </row>
    <row r="165" ht="16.15" customHeight="1" spans="3:8">
      <c r="C165" s="421"/>
      <c r="D165" s="448"/>
      <c r="E165" s="450"/>
      <c r="F165" s="271"/>
      <c r="G165" s="271"/>
      <c r="H165" s="449"/>
    </row>
    <row r="166" ht="16.15" customHeight="1" spans="2:8">
      <c r="B166" s="276" t="s">
        <v>76</v>
      </c>
      <c r="C166" s="401" t="s">
        <v>194</v>
      </c>
      <c r="D166" s="402" t="s">
        <v>237</v>
      </c>
      <c r="E166" s="403"/>
      <c r="F166" s="404" t="s">
        <v>238</v>
      </c>
      <c r="G166" s="404"/>
      <c r="H166" s="405" t="s">
        <v>198</v>
      </c>
    </row>
    <row r="167" ht="15" customHeight="1" spans="1:8">
      <c r="A167" s="451"/>
      <c r="B167" s="282">
        <v>1</v>
      </c>
      <c r="C167" s="283">
        <v>44409</v>
      </c>
      <c r="D167" s="284" t="s">
        <v>239</v>
      </c>
      <c r="E167" s="285"/>
      <c r="F167" s="287">
        <v>6250</v>
      </c>
      <c r="G167" s="287"/>
      <c r="H167" s="330"/>
    </row>
    <row r="168" ht="15" customHeight="1" spans="1:8">
      <c r="A168" s="451"/>
      <c r="B168" s="282">
        <v>2</v>
      </c>
      <c r="C168" s="283">
        <v>44410</v>
      </c>
      <c r="D168" s="284" t="s">
        <v>239</v>
      </c>
      <c r="E168" s="285"/>
      <c r="F168" s="287">
        <f>F167</f>
        <v>6250</v>
      </c>
      <c r="G168" s="287"/>
      <c r="H168" s="288">
        <f>F168-F167</f>
        <v>0</v>
      </c>
    </row>
    <row r="169" ht="15" customHeight="1" spans="1:8">
      <c r="A169" s="451"/>
      <c r="B169" s="282">
        <v>3</v>
      </c>
      <c r="C169" s="283">
        <v>44411</v>
      </c>
      <c r="D169" s="284" t="s">
        <v>239</v>
      </c>
      <c r="E169" s="285"/>
      <c r="F169" s="287">
        <v>6225</v>
      </c>
      <c r="G169" s="287"/>
      <c r="H169" s="288">
        <f t="shared" ref="H169:H185" si="12">F169-F168</f>
        <v>-25</v>
      </c>
    </row>
    <row r="170" ht="15" customHeight="1" spans="1:8">
      <c r="A170" s="451"/>
      <c r="B170" s="282">
        <v>4</v>
      </c>
      <c r="C170" s="283">
        <v>44412</v>
      </c>
      <c r="D170" s="284" t="s">
        <v>239</v>
      </c>
      <c r="E170" s="285"/>
      <c r="F170" s="287">
        <v>6200</v>
      </c>
      <c r="G170" s="287"/>
      <c r="H170" s="288">
        <f t="shared" si="12"/>
        <v>-25</v>
      </c>
    </row>
    <row r="171" ht="15" customHeight="1" spans="1:8">
      <c r="A171" s="451"/>
      <c r="B171" s="282">
        <v>5</v>
      </c>
      <c r="C171" s="283">
        <v>44413</v>
      </c>
      <c r="D171" s="284" t="s">
        <v>239</v>
      </c>
      <c r="E171" s="285"/>
      <c r="F171" s="287">
        <v>6175</v>
      </c>
      <c r="G171" s="287"/>
      <c r="H171" s="288">
        <f t="shared" si="12"/>
        <v>-25</v>
      </c>
    </row>
    <row r="172" ht="15" customHeight="1" spans="1:8">
      <c r="A172" s="451"/>
      <c r="B172" s="282">
        <v>6</v>
      </c>
      <c r="C172" s="283">
        <v>44414</v>
      </c>
      <c r="D172" s="284" t="s">
        <v>239</v>
      </c>
      <c r="E172" s="285"/>
      <c r="F172" s="287">
        <v>6150</v>
      </c>
      <c r="G172" s="287"/>
      <c r="H172" s="288">
        <f t="shared" si="12"/>
        <v>-25</v>
      </c>
    </row>
    <row r="173" ht="15" customHeight="1" spans="1:8">
      <c r="A173" s="451"/>
      <c r="B173" s="282">
        <v>7</v>
      </c>
      <c r="C173" s="283">
        <v>44417</v>
      </c>
      <c r="D173" s="284" t="s">
        <v>239</v>
      </c>
      <c r="E173" s="285"/>
      <c r="F173" s="287">
        <f t="shared" ref="F169:F189" si="13">F172</f>
        <v>6150</v>
      </c>
      <c r="G173" s="287"/>
      <c r="H173" s="288">
        <f t="shared" si="12"/>
        <v>0</v>
      </c>
    </row>
    <row r="174" ht="15" customHeight="1" spans="1:8">
      <c r="A174" s="451"/>
      <c r="B174" s="282">
        <v>8</v>
      </c>
      <c r="C174" s="283">
        <v>44418</v>
      </c>
      <c r="D174" s="284" t="s">
        <v>239</v>
      </c>
      <c r="E174" s="285"/>
      <c r="F174" s="287">
        <v>6140</v>
      </c>
      <c r="G174" s="287"/>
      <c r="H174" s="288">
        <f t="shared" si="12"/>
        <v>-10</v>
      </c>
    </row>
    <row r="175" ht="15" customHeight="1" spans="1:8">
      <c r="A175" s="451"/>
      <c r="B175" s="282">
        <v>9</v>
      </c>
      <c r="C175" s="283">
        <v>44419</v>
      </c>
      <c r="D175" s="284" t="s">
        <v>239</v>
      </c>
      <c r="E175" s="285"/>
      <c r="F175" s="287">
        <f t="shared" si="13"/>
        <v>6140</v>
      </c>
      <c r="G175" s="287"/>
      <c r="H175" s="288">
        <f t="shared" si="12"/>
        <v>0</v>
      </c>
    </row>
    <row r="176" ht="15" customHeight="1" spans="1:8">
      <c r="A176" s="451"/>
      <c r="B176" s="282">
        <v>10</v>
      </c>
      <c r="C176" s="283">
        <v>44420</v>
      </c>
      <c r="D176" s="284" t="s">
        <v>239</v>
      </c>
      <c r="E176" s="285"/>
      <c r="F176" s="287">
        <f t="shared" si="13"/>
        <v>6140</v>
      </c>
      <c r="G176" s="287"/>
      <c r="H176" s="288">
        <f t="shared" si="12"/>
        <v>0</v>
      </c>
    </row>
    <row r="177" ht="15" customHeight="1" spans="1:8">
      <c r="A177" s="451"/>
      <c r="B177" s="282">
        <v>11</v>
      </c>
      <c r="C177" s="283">
        <v>44421</v>
      </c>
      <c r="D177" s="284" t="s">
        <v>239</v>
      </c>
      <c r="E177" s="285"/>
      <c r="F177" s="287">
        <f t="shared" si="13"/>
        <v>6140</v>
      </c>
      <c r="G177" s="287"/>
      <c r="H177" s="288">
        <f t="shared" si="12"/>
        <v>0</v>
      </c>
    </row>
    <row r="178" ht="15" customHeight="1" spans="1:8">
      <c r="A178" s="451"/>
      <c r="B178" s="282">
        <v>12</v>
      </c>
      <c r="C178" s="283">
        <v>44424</v>
      </c>
      <c r="D178" s="284" t="s">
        <v>239</v>
      </c>
      <c r="E178" s="285"/>
      <c r="F178" s="287">
        <f t="shared" si="13"/>
        <v>6140</v>
      </c>
      <c r="G178" s="287"/>
      <c r="H178" s="288">
        <f t="shared" si="12"/>
        <v>0</v>
      </c>
    </row>
    <row r="179" ht="15" customHeight="1" spans="1:8">
      <c r="A179" s="451"/>
      <c r="B179" s="282">
        <v>13</v>
      </c>
      <c r="C179" s="283">
        <v>44425</v>
      </c>
      <c r="D179" s="284" t="s">
        <v>239</v>
      </c>
      <c r="E179" s="285"/>
      <c r="F179" s="287">
        <v>6125</v>
      </c>
      <c r="G179" s="287"/>
      <c r="H179" s="288">
        <f t="shared" si="12"/>
        <v>-15</v>
      </c>
    </row>
    <row r="180" ht="15" customHeight="1" spans="1:8">
      <c r="A180" s="451"/>
      <c r="B180" s="282">
        <v>14</v>
      </c>
      <c r="C180" s="283">
        <v>44426</v>
      </c>
      <c r="D180" s="284" t="s">
        <v>239</v>
      </c>
      <c r="E180" s="285"/>
      <c r="F180" s="287">
        <v>6100</v>
      </c>
      <c r="G180" s="287"/>
      <c r="H180" s="288">
        <f t="shared" si="12"/>
        <v>-25</v>
      </c>
    </row>
    <row r="181" ht="15" customHeight="1" spans="1:8">
      <c r="A181" s="451"/>
      <c r="B181" s="282">
        <v>15</v>
      </c>
      <c r="C181" s="283">
        <v>44427</v>
      </c>
      <c r="D181" s="284" t="s">
        <v>239</v>
      </c>
      <c r="E181" s="285"/>
      <c r="F181" s="287">
        <f t="shared" si="13"/>
        <v>6100</v>
      </c>
      <c r="G181" s="287"/>
      <c r="H181" s="288">
        <f t="shared" si="12"/>
        <v>0</v>
      </c>
    </row>
    <row r="182" ht="15" customHeight="1" spans="1:8">
      <c r="A182" s="451"/>
      <c r="B182" s="282">
        <v>16</v>
      </c>
      <c r="C182" s="283">
        <v>44428</v>
      </c>
      <c r="D182" s="284" t="s">
        <v>239</v>
      </c>
      <c r="E182" s="285"/>
      <c r="F182" s="287">
        <f t="shared" si="13"/>
        <v>6100</v>
      </c>
      <c r="G182" s="287"/>
      <c r="H182" s="288">
        <f t="shared" si="12"/>
        <v>0</v>
      </c>
    </row>
    <row r="183" ht="15" customHeight="1" spans="1:8">
      <c r="A183" s="451"/>
      <c r="B183" s="282">
        <v>17</v>
      </c>
      <c r="C183" s="283">
        <v>44431</v>
      </c>
      <c r="D183" s="284" t="s">
        <v>239</v>
      </c>
      <c r="E183" s="285"/>
      <c r="F183" s="287">
        <f t="shared" si="13"/>
        <v>6100</v>
      </c>
      <c r="G183" s="287"/>
      <c r="H183" s="288">
        <f t="shared" si="12"/>
        <v>0</v>
      </c>
    </row>
    <row r="184" ht="15" customHeight="1" spans="1:8">
      <c r="A184" s="451"/>
      <c r="B184" s="282">
        <v>18</v>
      </c>
      <c r="C184" s="283">
        <v>44432</v>
      </c>
      <c r="D184" s="284" t="s">
        <v>239</v>
      </c>
      <c r="E184" s="285"/>
      <c r="F184" s="287">
        <f t="shared" si="13"/>
        <v>6100</v>
      </c>
      <c r="G184" s="287"/>
      <c r="H184" s="288">
        <f t="shared" si="12"/>
        <v>0</v>
      </c>
    </row>
    <row r="185" ht="15" customHeight="1" spans="1:8">
      <c r="A185" s="451"/>
      <c r="B185" s="282">
        <v>19</v>
      </c>
      <c r="C185" s="283">
        <v>44433</v>
      </c>
      <c r="D185" s="284" t="s">
        <v>239</v>
      </c>
      <c r="E185" s="285"/>
      <c r="F185" s="287">
        <f t="shared" si="13"/>
        <v>6100</v>
      </c>
      <c r="G185" s="287"/>
      <c r="H185" s="288">
        <f t="shared" si="12"/>
        <v>0</v>
      </c>
    </row>
    <row r="186" ht="15" customHeight="1" spans="1:8">
      <c r="A186" s="451"/>
      <c r="B186" s="282"/>
      <c r="C186" s="283">
        <v>44434</v>
      </c>
      <c r="D186" s="284" t="s">
        <v>239</v>
      </c>
      <c r="E186" s="285"/>
      <c r="F186" s="287">
        <f t="shared" si="13"/>
        <v>6100</v>
      </c>
      <c r="G186" s="287"/>
      <c r="H186" s="288"/>
    </row>
    <row r="187" ht="15" customHeight="1" spans="1:8">
      <c r="A187" s="451"/>
      <c r="B187" s="282"/>
      <c r="C187" s="283">
        <v>44435</v>
      </c>
      <c r="D187" s="284" t="s">
        <v>239</v>
      </c>
      <c r="E187" s="285"/>
      <c r="F187" s="287">
        <f t="shared" si="13"/>
        <v>6100</v>
      </c>
      <c r="G187" s="287"/>
      <c r="H187" s="288"/>
    </row>
    <row r="188" ht="15" customHeight="1" spans="1:8">
      <c r="A188" s="451"/>
      <c r="B188" s="282"/>
      <c r="C188" s="283">
        <v>44438</v>
      </c>
      <c r="D188" s="284" t="s">
        <v>239</v>
      </c>
      <c r="E188" s="285"/>
      <c r="F188" s="287">
        <f t="shared" si="13"/>
        <v>6100</v>
      </c>
      <c r="G188" s="287"/>
      <c r="H188" s="288"/>
    </row>
    <row r="189" ht="15" customHeight="1" spans="1:8">
      <c r="A189" s="451"/>
      <c r="B189" s="282"/>
      <c r="C189" s="283">
        <v>44439</v>
      </c>
      <c r="D189" s="284"/>
      <c r="E189" s="285"/>
      <c r="F189" s="287">
        <f t="shared" si="13"/>
        <v>6100</v>
      </c>
      <c r="G189" s="287"/>
      <c r="H189" s="288"/>
    </row>
    <row r="190" ht="15" customHeight="1" spans="1:8">
      <c r="A190" s="451"/>
      <c r="B190" s="282"/>
      <c r="C190" s="283"/>
      <c r="D190" s="284"/>
      <c r="E190" s="285"/>
      <c r="F190" s="286"/>
      <c r="G190" s="287"/>
      <c r="H190" s="288"/>
    </row>
    <row r="191" ht="15" customHeight="1" spans="1:8">
      <c r="A191" s="451"/>
      <c r="B191" s="289"/>
      <c r="C191" s="290"/>
      <c r="D191" s="291"/>
      <c r="E191" s="292"/>
      <c r="F191" s="293"/>
      <c r="G191" s="294"/>
      <c r="H191" s="295"/>
    </row>
    <row r="192" ht="16.15" customHeight="1" spans="1:8">
      <c r="A192" s="451"/>
      <c r="B192" s="375" t="s">
        <v>76</v>
      </c>
      <c r="C192" s="410" t="s">
        <v>240</v>
      </c>
      <c r="D192" s="410" t="s">
        <v>241</v>
      </c>
      <c r="E192" s="410"/>
      <c r="F192" s="452">
        <v>1411.2</v>
      </c>
      <c r="G192" s="453" t="s">
        <v>242</v>
      </c>
      <c r="H192" s="454">
        <v>2105.2</v>
      </c>
    </row>
    <row r="193" ht="16.15" customHeight="1" spans="1:8">
      <c r="A193" s="451"/>
      <c r="B193" s="455">
        <f>C193-F193+H193</f>
        <v>7030.77762330435</v>
      </c>
      <c r="C193" s="456">
        <f>AVERAGE(F167:F191)</f>
        <v>6140.21739130435</v>
      </c>
      <c r="D193" s="457" t="s">
        <v>243</v>
      </c>
      <c r="E193" s="457"/>
      <c r="F193" s="458">
        <v>1810.8913536</v>
      </c>
      <c r="G193" s="458" t="s">
        <v>244</v>
      </c>
      <c r="H193" s="459">
        <v>2701.4515856</v>
      </c>
    </row>
    <row r="194" s="273" customFormat="1" ht="16.15" customHeight="1" spans="1:8">
      <c r="A194" s="451"/>
      <c r="B194" s="451"/>
      <c r="C194" s="460"/>
      <c r="D194" s="461"/>
      <c r="E194" s="462"/>
      <c r="F194" s="451"/>
      <c r="G194" s="451"/>
      <c r="H194" s="451"/>
    </row>
    <row r="195" s="272" customFormat="1" ht="26.25" customHeight="1" spans="1:8">
      <c r="A195" s="463"/>
      <c r="B195" s="463"/>
      <c r="C195" s="464"/>
      <c r="D195" s="465"/>
      <c r="E195" s="464"/>
      <c r="F195" s="463"/>
      <c r="G195" s="463"/>
      <c r="H195" s="466"/>
    </row>
    <row r="196" ht="16.15" customHeight="1" spans="1:8">
      <c r="A196" s="451"/>
      <c r="B196" s="451"/>
      <c r="C196" s="460"/>
      <c r="D196" s="467"/>
      <c r="E196" s="460"/>
      <c r="F196" s="451"/>
      <c r="G196" s="451"/>
      <c r="H196" s="468"/>
    </row>
    <row r="197" ht="16.15" customHeight="1" spans="1:8">
      <c r="A197" s="451"/>
      <c r="B197" s="451"/>
      <c r="C197" s="460"/>
      <c r="D197" s="467"/>
      <c r="E197" s="460"/>
      <c r="F197" s="451"/>
      <c r="G197" s="451"/>
      <c r="H197" s="468"/>
    </row>
    <row r="198" ht="16.15" customHeight="1" spans="1:10">
      <c r="A198" s="451"/>
      <c r="B198" s="469" t="s">
        <v>74</v>
      </c>
      <c r="C198" s="401" t="s">
        <v>194</v>
      </c>
      <c r="D198" s="402" t="s">
        <v>245</v>
      </c>
      <c r="E198" s="403"/>
      <c r="F198" s="404" t="s">
        <v>206</v>
      </c>
      <c r="G198" s="402" t="s">
        <v>246</v>
      </c>
      <c r="H198" s="404" t="s">
        <v>206</v>
      </c>
      <c r="I198" s="405" t="s">
        <v>198</v>
      </c>
      <c r="J198" s="451"/>
    </row>
    <row r="199" ht="16.15" customHeight="1" spans="1:10">
      <c r="A199" s="451"/>
      <c r="B199" s="282">
        <v>1</v>
      </c>
      <c r="C199" s="283">
        <f>C90</f>
        <v>44403</v>
      </c>
      <c r="D199" s="284" t="s">
        <v>74</v>
      </c>
      <c r="E199" s="285"/>
      <c r="F199" s="287">
        <v>5950</v>
      </c>
      <c r="G199" s="470" t="s">
        <v>93</v>
      </c>
      <c r="H199" s="470">
        <v>5840</v>
      </c>
      <c r="I199" s="330"/>
      <c r="J199" s="451"/>
    </row>
    <row r="200" ht="16.15" customHeight="1" spans="1:10">
      <c r="A200" s="451"/>
      <c r="B200" s="282">
        <v>2</v>
      </c>
      <c r="C200" s="283">
        <f t="shared" ref="C200:C221" si="14">C91</f>
        <v>44404</v>
      </c>
      <c r="D200" s="284" t="s">
        <v>74</v>
      </c>
      <c r="E200" s="285"/>
      <c r="F200" s="287">
        <v>5950</v>
      </c>
      <c r="G200" s="470" t="s">
        <v>93</v>
      </c>
      <c r="H200" s="470">
        <v>5835</v>
      </c>
      <c r="I200" s="288">
        <f>F200-F199</f>
        <v>0</v>
      </c>
      <c r="J200" s="451"/>
    </row>
    <row r="201" ht="16.15" customHeight="1" spans="1:10">
      <c r="A201" s="451"/>
      <c r="B201" s="282">
        <v>3</v>
      </c>
      <c r="C201" s="283">
        <f t="shared" si="14"/>
        <v>44405</v>
      </c>
      <c r="D201" s="284" t="s">
        <v>74</v>
      </c>
      <c r="E201" s="285"/>
      <c r="F201" s="287">
        <v>5950</v>
      </c>
      <c r="G201" s="470" t="s">
        <v>93</v>
      </c>
      <c r="H201" s="470">
        <v>5820</v>
      </c>
      <c r="I201" s="288">
        <f t="shared" ref="I201:I221" si="15">F201-F200</f>
        <v>0</v>
      </c>
      <c r="J201" s="451"/>
    </row>
    <row r="202" ht="16.15" customHeight="1" spans="1:10">
      <c r="A202" s="451"/>
      <c r="B202" s="282">
        <v>4</v>
      </c>
      <c r="C202" s="283">
        <f t="shared" si="14"/>
        <v>44406</v>
      </c>
      <c r="D202" s="284" t="s">
        <v>74</v>
      </c>
      <c r="E202" s="285"/>
      <c r="F202" s="287">
        <v>6000</v>
      </c>
      <c r="G202" s="470" t="s">
        <v>93</v>
      </c>
      <c r="H202" s="470">
        <v>5840</v>
      </c>
      <c r="I202" s="288">
        <f t="shared" si="15"/>
        <v>50</v>
      </c>
      <c r="J202" s="451"/>
    </row>
    <row r="203" ht="16.15" customHeight="1" spans="1:10">
      <c r="A203" s="451"/>
      <c r="B203" s="282">
        <v>5</v>
      </c>
      <c r="C203" s="283">
        <f t="shared" si="14"/>
        <v>44407</v>
      </c>
      <c r="D203" s="284" t="s">
        <v>74</v>
      </c>
      <c r="E203" s="285"/>
      <c r="F203" s="287">
        <v>6000</v>
      </c>
      <c r="G203" s="470" t="s">
        <v>93</v>
      </c>
      <c r="H203" s="470">
        <v>5870</v>
      </c>
      <c r="I203" s="288">
        <f t="shared" si="15"/>
        <v>0</v>
      </c>
      <c r="J203" s="451"/>
    </row>
    <row r="204" ht="16.15" customHeight="1" spans="1:10">
      <c r="A204" s="451"/>
      <c r="B204" s="282">
        <v>6</v>
      </c>
      <c r="C204" s="283">
        <f t="shared" si="14"/>
        <v>44410</v>
      </c>
      <c r="D204" s="284" t="s">
        <v>74</v>
      </c>
      <c r="E204" s="285"/>
      <c r="F204" s="287">
        <v>6035</v>
      </c>
      <c r="G204" s="470" t="s">
        <v>93</v>
      </c>
      <c r="H204" s="470">
        <v>5850</v>
      </c>
      <c r="I204" s="288">
        <f t="shared" si="15"/>
        <v>35</v>
      </c>
      <c r="J204" s="451"/>
    </row>
    <row r="205" ht="16.15" customHeight="1" spans="1:10">
      <c r="A205" s="451"/>
      <c r="B205" s="282">
        <v>7</v>
      </c>
      <c r="C205" s="283">
        <f t="shared" si="14"/>
        <v>44411</v>
      </c>
      <c r="D205" s="284" t="s">
        <v>74</v>
      </c>
      <c r="E205" s="285"/>
      <c r="F205" s="287">
        <v>6000</v>
      </c>
      <c r="G205" s="470" t="s">
        <v>93</v>
      </c>
      <c r="H205" s="470">
        <v>5780</v>
      </c>
      <c r="I205" s="288">
        <f t="shared" si="15"/>
        <v>-35</v>
      </c>
      <c r="J205" s="451"/>
    </row>
    <row r="206" ht="16.15" customHeight="1" spans="1:10">
      <c r="A206" s="451"/>
      <c r="B206" s="282">
        <v>8</v>
      </c>
      <c r="C206" s="283">
        <f t="shared" si="14"/>
        <v>44412</v>
      </c>
      <c r="D206" s="284" t="s">
        <v>74</v>
      </c>
      <c r="E206" s="285"/>
      <c r="F206" s="287">
        <f t="shared" ref="F205:F220" si="16">F205</f>
        <v>6000</v>
      </c>
      <c r="G206" s="470" t="s">
        <v>93</v>
      </c>
      <c r="H206" s="470">
        <v>5810</v>
      </c>
      <c r="I206" s="288">
        <f t="shared" si="15"/>
        <v>0</v>
      </c>
      <c r="J206" s="451"/>
    </row>
    <row r="207" ht="16.15" customHeight="1" spans="1:10">
      <c r="A207" s="451"/>
      <c r="B207" s="282">
        <v>9</v>
      </c>
      <c r="C207" s="283">
        <f t="shared" si="14"/>
        <v>44413</v>
      </c>
      <c r="D207" s="284" t="s">
        <v>74</v>
      </c>
      <c r="E207" s="285"/>
      <c r="F207" s="287">
        <v>5975</v>
      </c>
      <c r="G207" s="470" t="s">
        <v>93</v>
      </c>
      <c r="H207" s="470">
        <v>5785</v>
      </c>
      <c r="I207" s="288">
        <f t="shared" si="15"/>
        <v>-25</v>
      </c>
      <c r="J207" s="451"/>
    </row>
    <row r="208" ht="16.15" customHeight="1" spans="1:10">
      <c r="A208" s="451"/>
      <c r="B208" s="282">
        <v>10</v>
      </c>
      <c r="C208" s="283">
        <f t="shared" si="14"/>
        <v>44414</v>
      </c>
      <c r="D208" s="284" t="s">
        <v>74</v>
      </c>
      <c r="E208" s="285"/>
      <c r="F208" s="287">
        <v>5900</v>
      </c>
      <c r="G208" s="470" t="s">
        <v>93</v>
      </c>
      <c r="H208" s="470">
        <v>5810</v>
      </c>
      <c r="I208" s="288">
        <f t="shared" si="15"/>
        <v>-75</v>
      </c>
      <c r="J208" s="451"/>
    </row>
    <row r="209" ht="16.15" customHeight="1" spans="1:10">
      <c r="A209" s="451"/>
      <c r="B209" s="282">
        <v>11</v>
      </c>
      <c r="C209" s="283">
        <f t="shared" si="14"/>
        <v>44417</v>
      </c>
      <c r="D209" s="284" t="s">
        <v>74</v>
      </c>
      <c r="E209" s="285"/>
      <c r="F209" s="287">
        <v>5875</v>
      </c>
      <c r="G209" s="470" t="s">
        <v>93</v>
      </c>
      <c r="H209" s="470">
        <v>5775</v>
      </c>
      <c r="I209" s="288">
        <f t="shared" si="15"/>
        <v>-25</v>
      </c>
      <c r="J209" s="451"/>
    </row>
    <row r="210" ht="16.15" customHeight="1" spans="1:10">
      <c r="A210" s="451"/>
      <c r="B210" s="282">
        <v>12</v>
      </c>
      <c r="C210" s="283">
        <f t="shared" si="14"/>
        <v>44418</v>
      </c>
      <c r="D210" s="284" t="s">
        <v>74</v>
      </c>
      <c r="E210" s="285"/>
      <c r="F210" s="287">
        <f t="shared" si="16"/>
        <v>5875</v>
      </c>
      <c r="G210" s="470" t="s">
        <v>93</v>
      </c>
      <c r="H210" s="470">
        <v>5775</v>
      </c>
      <c r="I210" s="288">
        <f t="shared" si="15"/>
        <v>0</v>
      </c>
      <c r="J210" s="451"/>
    </row>
    <row r="211" ht="16.15" customHeight="1" spans="1:10">
      <c r="A211" s="451"/>
      <c r="B211" s="282">
        <v>13</v>
      </c>
      <c r="C211" s="283">
        <f t="shared" si="14"/>
        <v>44419</v>
      </c>
      <c r="D211" s="284" t="s">
        <v>74</v>
      </c>
      <c r="E211" s="285"/>
      <c r="F211" s="287">
        <v>5900</v>
      </c>
      <c r="G211" s="470" t="s">
        <v>93</v>
      </c>
      <c r="H211" s="470">
        <v>5785</v>
      </c>
      <c r="I211" s="288">
        <f t="shared" si="15"/>
        <v>25</v>
      </c>
      <c r="J211" s="451"/>
    </row>
    <row r="212" ht="16.15" customHeight="1" spans="1:10">
      <c r="A212" s="451"/>
      <c r="B212" s="282">
        <v>14</v>
      </c>
      <c r="C212" s="283">
        <f t="shared" si="14"/>
        <v>44420</v>
      </c>
      <c r="D212" s="284" t="s">
        <v>74</v>
      </c>
      <c r="E212" s="285"/>
      <c r="F212" s="287">
        <f t="shared" si="16"/>
        <v>5900</v>
      </c>
      <c r="G212" s="470" t="s">
        <v>93</v>
      </c>
      <c r="H212" s="470">
        <v>5775</v>
      </c>
      <c r="I212" s="288">
        <f t="shared" si="15"/>
        <v>0</v>
      </c>
      <c r="J212" s="451"/>
    </row>
    <row r="213" ht="16.15" customHeight="1" spans="1:10">
      <c r="A213" s="451"/>
      <c r="B213" s="282">
        <v>15</v>
      </c>
      <c r="C213" s="283">
        <f t="shared" si="14"/>
        <v>44421</v>
      </c>
      <c r="D213" s="284" t="s">
        <v>74</v>
      </c>
      <c r="E213" s="285"/>
      <c r="F213" s="287">
        <f t="shared" si="16"/>
        <v>5900</v>
      </c>
      <c r="G213" s="470" t="s">
        <v>93</v>
      </c>
      <c r="H213" s="470">
        <f>H212</f>
        <v>5775</v>
      </c>
      <c r="I213" s="288">
        <f t="shared" si="15"/>
        <v>0</v>
      </c>
      <c r="J213" s="451"/>
    </row>
    <row r="214" ht="16.15" customHeight="1" spans="1:10">
      <c r="A214" s="451"/>
      <c r="B214" s="282">
        <v>16</v>
      </c>
      <c r="C214" s="283">
        <f t="shared" si="14"/>
        <v>44424</v>
      </c>
      <c r="D214" s="284" t="s">
        <v>74</v>
      </c>
      <c r="E214" s="285"/>
      <c r="F214" s="287">
        <v>5875</v>
      </c>
      <c r="G214" s="470" t="s">
        <v>93</v>
      </c>
      <c r="H214" s="470">
        <v>5760</v>
      </c>
      <c r="I214" s="288">
        <f t="shared" si="15"/>
        <v>-25</v>
      </c>
      <c r="J214" s="451"/>
    </row>
    <row r="215" ht="16.15" customHeight="1" spans="1:10">
      <c r="A215" s="451"/>
      <c r="B215" s="282">
        <v>17</v>
      </c>
      <c r="C215" s="283">
        <f t="shared" si="14"/>
        <v>44425</v>
      </c>
      <c r="D215" s="284" t="s">
        <v>74</v>
      </c>
      <c r="E215" s="285"/>
      <c r="F215" s="287">
        <v>5825</v>
      </c>
      <c r="G215" s="470" t="s">
        <v>93</v>
      </c>
      <c r="H215" s="470">
        <v>5755</v>
      </c>
      <c r="I215" s="288">
        <f t="shared" si="15"/>
        <v>-50</v>
      </c>
      <c r="J215" s="451"/>
    </row>
    <row r="216" ht="16.15" customHeight="1" spans="1:10">
      <c r="A216" s="451"/>
      <c r="B216" s="282">
        <v>18</v>
      </c>
      <c r="C216" s="283">
        <f t="shared" si="14"/>
        <v>44426</v>
      </c>
      <c r="D216" s="284" t="s">
        <v>74</v>
      </c>
      <c r="E216" s="285"/>
      <c r="F216" s="287">
        <f t="shared" si="16"/>
        <v>5825</v>
      </c>
      <c r="G216" s="470" t="s">
        <v>93</v>
      </c>
      <c r="H216" s="470">
        <v>5760</v>
      </c>
      <c r="I216" s="288">
        <f t="shared" si="15"/>
        <v>0</v>
      </c>
      <c r="J216" s="451"/>
    </row>
    <row r="217" ht="16.15" customHeight="1" spans="1:10">
      <c r="A217" s="451"/>
      <c r="B217" s="282">
        <v>19</v>
      </c>
      <c r="C217" s="283">
        <f t="shared" si="14"/>
        <v>44427</v>
      </c>
      <c r="D217" s="284" t="s">
        <v>74</v>
      </c>
      <c r="E217" s="285"/>
      <c r="F217" s="287">
        <f t="shared" si="16"/>
        <v>5825</v>
      </c>
      <c r="G217" s="470" t="s">
        <v>93</v>
      </c>
      <c r="H217" s="470">
        <f t="shared" ref="H215:H220" si="17">H216</f>
        <v>5760</v>
      </c>
      <c r="I217" s="288">
        <f t="shared" si="15"/>
        <v>0</v>
      </c>
      <c r="J217" s="451"/>
    </row>
    <row r="218" ht="16.15" customHeight="1" spans="1:10">
      <c r="A218" s="451"/>
      <c r="B218" s="282">
        <v>20</v>
      </c>
      <c r="C218" s="283">
        <f t="shared" si="14"/>
        <v>44428</v>
      </c>
      <c r="D218" s="284" t="s">
        <v>74</v>
      </c>
      <c r="E218" s="285"/>
      <c r="F218" s="287">
        <f t="shared" si="16"/>
        <v>5825</v>
      </c>
      <c r="G218" s="470" t="s">
        <v>93</v>
      </c>
      <c r="H218" s="470">
        <f t="shared" si="17"/>
        <v>5760</v>
      </c>
      <c r="I218" s="288">
        <f t="shared" si="15"/>
        <v>0</v>
      </c>
      <c r="J218" s="451"/>
    </row>
    <row r="219" ht="16.15" customHeight="1" spans="1:10">
      <c r="A219" s="451"/>
      <c r="B219" s="282">
        <v>20</v>
      </c>
      <c r="C219" s="283">
        <f t="shared" si="14"/>
        <v>44431</v>
      </c>
      <c r="D219" s="284" t="s">
        <v>74</v>
      </c>
      <c r="E219" s="285"/>
      <c r="F219" s="287">
        <f t="shared" si="16"/>
        <v>5825</v>
      </c>
      <c r="G219" s="470" t="s">
        <v>93</v>
      </c>
      <c r="H219" s="470">
        <f t="shared" si="17"/>
        <v>5760</v>
      </c>
      <c r="I219" s="288">
        <f t="shared" si="15"/>
        <v>0</v>
      </c>
      <c r="J219" s="451"/>
    </row>
    <row r="220" ht="16.15" customHeight="1" spans="1:10">
      <c r="A220" s="451"/>
      <c r="B220" s="282">
        <v>20</v>
      </c>
      <c r="C220" s="283">
        <f t="shared" si="14"/>
        <v>44432</v>
      </c>
      <c r="D220" s="284" t="s">
        <v>74</v>
      </c>
      <c r="E220" s="285"/>
      <c r="F220" s="287">
        <f t="shared" si="16"/>
        <v>5825</v>
      </c>
      <c r="G220" s="470" t="s">
        <v>93</v>
      </c>
      <c r="H220" s="470">
        <f t="shared" si="17"/>
        <v>5760</v>
      </c>
      <c r="I220" s="288">
        <f t="shared" si="15"/>
        <v>0</v>
      </c>
      <c r="J220" s="451"/>
    </row>
    <row r="221" ht="16.15" customHeight="1" spans="1:10">
      <c r="A221" s="451"/>
      <c r="B221" s="282">
        <v>20</v>
      </c>
      <c r="C221" s="283">
        <f t="shared" si="14"/>
        <v>44433</v>
      </c>
      <c r="D221" s="284" t="s">
        <v>74</v>
      </c>
      <c r="E221" s="285"/>
      <c r="F221" s="287"/>
      <c r="G221" s="470"/>
      <c r="H221" s="470"/>
      <c r="I221" s="288">
        <f t="shared" si="15"/>
        <v>-5825</v>
      </c>
      <c r="J221" s="451"/>
    </row>
    <row r="222" ht="16.15" customHeight="1" spans="1:10">
      <c r="A222" s="451"/>
      <c r="B222" s="282"/>
      <c r="C222" s="283"/>
      <c r="D222" s="284"/>
      <c r="E222" s="285"/>
      <c r="F222" s="286"/>
      <c r="G222" s="284"/>
      <c r="H222" s="284"/>
      <c r="I222" s="288"/>
      <c r="J222" s="451"/>
    </row>
    <row r="223" ht="16.15" customHeight="1" spans="1:10">
      <c r="A223" s="451"/>
      <c r="B223" s="289"/>
      <c r="C223" s="290"/>
      <c r="D223" s="291"/>
      <c r="E223" s="292"/>
      <c r="F223" s="293"/>
      <c r="G223" s="471"/>
      <c r="H223" s="471"/>
      <c r="I223" s="295"/>
      <c r="J223" s="451"/>
    </row>
    <row r="224" ht="16.15" customHeight="1" spans="1:10">
      <c r="A224" s="451"/>
      <c r="B224" s="375" t="s">
        <v>74</v>
      </c>
      <c r="C224" s="410"/>
      <c r="D224" s="410"/>
      <c r="E224" s="410"/>
      <c r="F224" s="452" t="s">
        <v>202</v>
      </c>
      <c r="G224" s="452"/>
      <c r="H224" s="452" t="s">
        <v>202</v>
      </c>
      <c r="I224" s="477" t="s">
        <v>93</v>
      </c>
      <c r="J224" s="451"/>
    </row>
    <row r="225" ht="16.15" customHeight="1" spans="1:10">
      <c r="A225" s="451">
        <v>5375</v>
      </c>
      <c r="B225" s="455">
        <f>F225/1.13</f>
        <v>5230.69187449718</v>
      </c>
      <c r="C225" s="456"/>
      <c r="D225" s="457"/>
      <c r="E225" s="457"/>
      <c r="F225" s="458">
        <f t="shared" ref="F225:H225" si="18">AVERAGE(F199:F223)</f>
        <v>5910.68181818182</v>
      </c>
      <c r="G225" s="458"/>
      <c r="H225" s="458">
        <f t="shared" si="18"/>
        <v>5792.72727272727</v>
      </c>
      <c r="I225" s="478">
        <f>H225-260</f>
        <v>5532.72727272727</v>
      </c>
      <c r="J225" s="451"/>
    </row>
    <row r="226" ht="15.6" customHeight="1" spans="1:8">
      <c r="A226" s="451"/>
      <c r="B226" s="451"/>
      <c r="C226" s="451"/>
      <c r="D226" s="451"/>
      <c r="E226" s="451"/>
      <c r="F226" s="451"/>
      <c r="G226" s="451"/>
      <c r="H226" s="451"/>
    </row>
    <row r="227" ht="15.6" customHeight="1" spans="1:8">
      <c r="A227" s="451"/>
      <c r="B227" s="451"/>
      <c r="C227" s="451"/>
      <c r="D227" s="451"/>
      <c r="E227" s="451"/>
      <c r="F227" s="451"/>
      <c r="G227" s="451"/>
      <c r="H227" s="451"/>
    </row>
    <row r="228" ht="15.6" customHeight="1" spans="1:8">
      <c r="A228" s="451"/>
      <c r="B228" s="451"/>
      <c r="C228" s="451"/>
      <c r="D228" s="451"/>
      <c r="E228" s="451"/>
      <c r="F228" s="451"/>
      <c r="G228" s="451"/>
      <c r="H228" s="451"/>
    </row>
    <row r="229" ht="15.6" customHeight="1" spans="1:8">
      <c r="A229" s="451"/>
      <c r="B229" s="451"/>
      <c r="C229" s="451"/>
      <c r="D229" s="451"/>
      <c r="E229" s="451"/>
      <c r="F229" s="451"/>
      <c r="G229" s="472"/>
      <c r="H229" s="451"/>
    </row>
    <row r="230" ht="15.6" customHeight="1" spans="1:8">
      <c r="A230" s="451"/>
      <c r="B230" s="451"/>
      <c r="C230" s="451"/>
      <c r="D230" s="451"/>
      <c r="E230" s="451"/>
      <c r="F230" s="451"/>
      <c r="G230" s="472"/>
      <c r="H230" s="451"/>
    </row>
    <row r="231" spans="1:8">
      <c r="A231" s="472"/>
      <c r="B231" s="451"/>
      <c r="C231" s="451"/>
      <c r="D231" s="472"/>
      <c r="E231" s="451"/>
      <c r="F231" s="451"/>
      <c r="G231" s="451"/>
      <c r="H231" s="451"/>
    </row>
    <row r="232" spans="1:8">
      <c r="A232" s="451"/>
      <c r="B232" s="451"/>
      <c r="C232" s="473"/>
      <c r="D232" s="474"/>
      <c r="E232" s="451"/>
      <c r="F232" s="451"/>
      <c r="G232" s="451"/>
      <c r="H232" s="451"/>
    </row>
    <row r="233" spans="1:8">
      <c r="A233" s="451"/>
      <c r="B233" s="451"/>
      <c r="C233" s="473"/>
      <c r="D233" s="474"/>
      <c r="E233" s="451"/>
      <c r="F233" s="451"/>
      <c r="G233" s="451"/>
      <c r="H233" s="451"/>
    </row>
    <row r="234" spans="1:8">
      <c r="A234" s="451"/>
      <c r="B234" s="451"/>
      <c r="C234" s="473"/>
      <c r="D234" s="474"/>
      <c r="E234" s="451"/>
      <c r="F234" s="451"/>
      <c r="G234" s="451"/>
      <c r="H234" s="451"/>
    </row>
    <row r="235" spans="1:8">
      <c r="A235" s="451"/>
      <c r="B235" s="451"/>
      <c r="C235" s="473"/>
      <c r="D235" s="474"/>
      <c r="E235" s="475"/>
      <c r="F235" s="451"/>
      <c r="G235" s="451"/>
      <c r="H235" s="451"/>
    </row>
    <row r="236" spans="1:8">
      <c r="A236" s="451"/>
      <c r="B236" s="451"/>
      <c r="C236" s="473"/>
      <c r="D236" s="474"/>
      <c r="E236" s="475"/>
      <c r="F236" s="451"/>
      <c r="G236" s="451"/>
      <c r="H236" s="451"/>
    </row>
    <row r="237" spans="1:8">
      <c r="A237" s="451"/>
      <c r="B237" s="451"/>
      <c r="C237" s="473"/>
      <c r="D237" s="474"/>
      <c r="E237" s="475"/>
      <c r="F237" s="451"/>
      <c r="G237" s="451"/>
      <c r="H237" s="451"/>
    </row>
    <row r="238" spans="1:8">
      <c r="A238" s="451"/>
      <c r="B238" s="451"/>
      <c r="C238" s="473"/>
      <c r="D238" s="474"/>
      <c r="E238" s="475"/>
      <c r="F238" s="451"/>
      <c r="G238" s="451"/>
      <c r="H238" s="451"/>
    </row>
    <row r="239" spans="1:8">
      <c r="A239" s="451"/>
      <c r="B239" s="451"/>
      <c r="C239" s="473"/>
      <c r="D239" s="474"/>
      <c r="E239" s="475"/>
      <c r="F239" s="451"/>
      <c r="G239" s="451"/>
      <c r="H239" s="451"/>
    </row>
    <row r="240" spans="1:8">
      <c r="A240" s="451"/>
      <c r="B240" s="451"/>
      <c r="C240" s="473"/>
      <c r="D240" s="474"/>
      <c r="E240" s="475"/>
      <c r="F240" s="451"/>
      <c r="G240" s="451"/>
      <c r="H240" s="451"/>
    </row>
    <row r="241" spans="1:8">
      <c r="A241" s="451"/>
      <c r="B241" s="451"/>
      <c r="C241" s="473"/>
      <c r="D241" s="474"/>
      <c r="E241" s="475"/>
      <c r="F241" s="451"/>
      <c r="G241" s="451"/>
      <c r="H241" s="451"/>
    </row>
    <row r="242" spans="1:8">
      <c r="A242" s="451"/>
      <c r="B242" s="451"/>
      <c r="C242" s="473"/>
      <c r="D242" s="474"/>
      <c r="E242" s="475"/>
      <c r="F242" s="451"/>
      <c r="G242" s="451"/>
      <c r="H242" s="451"/>
    </row>
    <row r="243" spans="1:8">
      <c r="A243" s="451"/>
      <c r="B243" s="451"/>
      <c r="C243" s="473"/>
      <c r="D243" s="474"/>
      <c r="E243" s="475"/>
      <c r="F243" s="451"/>
      <c r="G243" s="451"/>
      <c r="H243" s="451"/>
    </row>
    <row r="244" spans="1:8">
      <c r="A244" s="451"/>
      <c r="B244" s="451"/>
      <c r="C244" s="473"/>
      <c r="D244" s="474"/>
      <c r="E244" s="475"/>
      <c r="F244" s="451"/>
      <c r="G244" s="451"/>
      <c r="H244" s="451"/>
    </row>
    <row r="245" spans="1:8">
      <c r="A245" s="451"/>
      <c r="B245" s="451"/>
      <c r="C245" s="473"/>
      <c r="D245" s="474"/>
      <c r="E245" s="475"/>
      <c r="F245" s="451"/>
      <c r="G245" s="451"/>
      <c r="H245" s="451"/>
    </row>
    <row r="246" spans="1:8">
      <c r="A246" s="451"/>
      <c r="B246" s="451"/>
      <c r="C246" s="473"/>
      <c r="D246" s="474"/>
      <c r="E246" s="475"/>
      <c r="F246" s="451"/>
      <c r="G246" s="451"/>
      <c r="H246" s="451"/>
    </row>
    <row r="247" spans="1:8">
      <c r="A247" s="451"/>
      <c r="B247" s="451"/>
      <c r="C247" s="473"/>
      <c r="D247" s="474"/>
      <c r="E247" s="475"/>
      <c r="F247" s="451"/>
      <c r="G247" s="451"/>
      <c r="H247" s="451"/>
    </row>
    <row r="248" spans="1:8">
      <c r="A248" s="451"/>
      <c r="B248" s="451"/>
      <c r="C248" s="473"/>
      <c r="D248" s="474"/>
      <c r="E248" s="475"/>
      <c r="F248" s="451"/>
      <c r="G248" s="451"/>
      <c r="H248" s="451"/>
    </row>
    <row r="249" spans="1:8">
      <c r="A249" s="451"/>
      <c r="B249" s="451"/>
      <c r="C249" s="473"/>
      <c r="D249" s="474"/>
      <c r="E249" s="475"/>
      <c r="F249" s="451"/>
      <c r="G249" s="451"/>
      <c r="H249" s="451"/>
    </row>
    <row r="250" spans="1:8">
      <c r="A250" s="451"/>
      <c r="B250" s="451"/>
      <c r="C250" s="473"/>
      <c r="D250" s="474"/>
      <c r="E250" s="475"/>
      <c r="F250" s="451"/>
      <c r="G250" s="451"/>
      <c r="H250" s="451"/>
    </row>
    <row r="251" spans="1:8">
      <c r="A251" s="451"/>
      <c r="B251" s="451"/>
      <c r="C251" s="473"/>
      <c r="D251" s="474"/>
      <c r="E251" s="475"/>
      <c r="F251" s="451"/>
      <c r="G251" s="451"/>
      <c r="H251" s="451"/>
    </row>
    <row r="252" spans="1:8">
      <c r="A252" s="451"/>
      <c r="B252" s="451"/>
      <c r="C252" s="473"/>
      <c r="D252" s="474"/>
      <c r="E252" s="475"/>
      <c r="F252" s="451"/>
      <c r="G252" s="451"/>
      <c r="H252" s="451"/>
    </row>
    <row r="253" spans="1:8">
      <c r="A253" s="451"/>
      <c r="B253" s="451"/>
      <c r="C253" s="473"/>
      <c r="D253" s="476"/>
      <c r="E253" s="475"/>
      <c r="F253" s="451"/>
      <c r="G253" s="451"/>
      <c r="H253" s="451"/>
    </row>
    <row r="254" ht="12.75" customHeight="1" spans="1:8">
      <c r="A254" s="451"/>
      <c r="B254" s="451"/>
      <c r="C254" s="473"/>
      <c r="D254" s="476"/>
      <c r="E254" s="475"/>
      <c r="F254" s="451"/>
      <c r="G254" s="451"/>
      <c r="H254" s="451"/>
    </row>
    <row r="255" ht="12.75" customHeight="1" spans="1:8">
      <c r="A255" s="451"/>
      <c r="B255" s="451"/>
      <c r="C255" s="473"/>
      <c r="D255" s="476"/>
      <c r="E255" s="475"/>
      <c r="F255" s="451"/>
      <c r="G255" s="451"/>
      <c r="H255" s="451"/>
    </row>
    <row r="256" ht="12.75" customHeight="1" spans="1:8">
      <c r="A256" s="451"/>
      <c r="B256" s="451"/>
      <c r="C256" s="473"/>
      <c r="D256" s="476"/>
      <c r="E256" s="475"/>
      <c r="F256" s="451"/>
      <c r="G256" s="451"/>
      <c r="H256" s="451"/>
    </row>
    <row r="257" ht="12.75" customHeight="1" spans="1:8">
      <c r="A257" s="451"/>
      <c r="B257" s="451"/>
      <c r="C257" s="473"/>
      <c r="D257" s="476"/>
      <c r="E257" s="475"/>
      <c r="F257" s="451"/>
      <c r="G257" s="451"/>
      <c r="H257" s="451"/>
    </row>
    <row r="258" ht="12.75" customHeight="1" spans="1:8">
      <c r="A258" s="451"/>
      <c r="B258" s="451"/>
      <c r="C258" s="473"/>
      <c r="D258" s="476"/>
      <c r="E258" s="451"/>
      <c r="F258" s="451"/>
      <c r="G258" s="472"/>
      <c r="H258" s="451"/>
    </row>
    <row r="259" ht="12.75" customHeight="1" spans="1:8">
      <c r="A259" s="451"/>
      <c r="B259" s="451"/>
      <c r="C259" s="473"/>
      <c r="D259" s="476"/>
      <c r="E259" s="451"/>
      <c r="F259" s="451"/>
      <c r="G259" s="472"/>
      <c r="H259" s="451"/>
    </row>
    <row r="260" ht="12.75" customHeight="1" spans="1:8">
      <c r="A260" s="451"/>
      <c r="B260" s="451"/>
      <c r="C260" s="473"/>
      <c r="D260" s="476"/>
      <c r="E260" s="451"/>
      <c r="F260" s="451"/>
      <c r="G260" s="472"/>
      <c r="H260" s="451"/>
    </row>
    <row r="261" ht="12.75" customHeight="1" spans="1:8">
      <c r="A261" s="451"/>
      <c r="B261" s="451"/>
      <c r="C261" s="451"/>
      <c r="D261" s="479"/>
      <c r="E261" s="451"/>
      <c r="F261" s="451"/>
      <c r="G261" s="451"/>
      <c r="H261" s="451"/>
    </row>
    <row r="262" ht="12.75" customHeight="1" spans="1:8">
      <c r="A262" s="451"/>
      <c r="B262" s="451"/>
      <c r="C262" s="451"/>
      <c r="D262" s="451"/>
      <c r="E262" s="451"/>
      <c r="F262" s="472"/>
      <c r="G262" s="480"/>
      <c r="H262" s="451"/>
    </row>
    <row r="263" ht="12.75" customHeight="1" spans="1:8">
      <c r="A263" s="451"/>
      <c r="B263" s="451"/>
      <c r="C263" s="451"/>
      <c r="D263" s="451"/>
      <c r="E263" s="451"/>
      <c r="F263" s="472"/>
      <c r="G263" s="480"/>
      <c r="H263" s="451"/>
    </row>
    <row r="264" s="274" customFormat="1" ht="12.75" customHeight="1" spans="1:8">
      <c r="A264" s="481"/>
      <c r="B264" s="482"/>
      <c r="C264" s="483"/>
      <c r="D264" s="484"/>
      <c r="E264" s="485"/>
      <c r="F264" s="480"/>
      <c r="G264" s="480"/>
      <c r="H264" s="480"/>
    </row>
    <row r="265" s="274" customFormat="1" ht="12.75" customHeight="1" spans="1:8">
      <c r="A265" s="481"/>
      <c r="B265" s="482"/>
      <c r="C265" s="483"/>
      <c r="D265" s="484"/>
      <c r="E265" s="486"/>
      <c r="F265" s="480"/>
      <c r="G265" s="480"/>
      <c r="H265" s="480"/>
    </row>
    <row r="266" s="274" customFormat="1" ht="12.75" customHeight="1" spans="1:8">
      <c r="A266" s="480"/>
      <c r="B266" s="482"/>
      <c r="C266" s="483"/>
      <c r="D266" s="483"/>
      <c r="E266" s="480"/>
      <c r="F266" s="480"/>
      <c r="G266" s="480"/>
      <c r="H266" s="480"/>
    </row>
    <row r="267" s="274" customFormat="1" ht="12.75" customHeight="1" spans="1:8">
      <c r="A267" s="487"/>
      <c r="B267" s="488"/>
      <c r="C267" s="487"/>
      <c r="D267" s="487"/>
      <c r="E267" s="487"/>
      <c r="F267" s="487"/>
      <c r="G267" s="487"/>
      <c r="H267" s="487"/>
    </row>
    <row r="268" s="274" customFormat="1" ht="12.75" customHeight="1" spans="1:8">
      <c r="A268" s="489"/>
      <c r="B268" s="490"/>
      <c r="C268" s="491"/>
      <c r="D268" s="492"/>
      <c r="E268" s="493"/>
      <c r="F268" s="493"/>
      <c r="G268" s="493"/>
      <c r="H268" s="493"/>
    </row>
    <row r="269" s="274" customFormat="1" ht="12.75" customHeight="1" spans="1:8">
      <c r="A269" s="489"/>
      <c r="B269" s="490"/>
      <c r="C269" s="491"/>
      <c r="D269" s="492"/>
      <c r="E269" s="493"/>
      <c r="F269" s="493"/>
      <c r="G269" s="493"/>
      <c r="H269" s="493"/>
    </row>
    <row r="270" s="274" customFormat="1" ht="12.75" customHeight="1" spans="1:8">
      <c r="A270" s="489"/>
      <c r="B270" s="490"/>
      <c r="C270" s="491"/>
      <c r="D270" s="492"/>
      <c r="E270" s="493"/>
      <c r="F270" s="493"/>
      <c r="G270" s="493"/>
      <c r="H270" s="493"/>
    </row>
    <row r="271" s="274" customFormat="1" ht="12.75" customHeight="1" spans="1:8">
      <c r="A271" s="489"/>
      <c r="B271" s="490"/>
      <c r="C271" s="491"/>
      <c r="D271" s="492"/>
      <c r="E271" s="493"/>
      <c r="F271" s="493"/>
      <c r="G271" s="493"/>
      <c r="H271" s="493"/>
    </row>
    <row r="272" ht="12.75" customHeight="1" spans="1:8">
      <c r="A272" s="451"/>
      <c r="B272" s="490"/>
      <c r="C272" s="491"/>
      <c r="D272" s="492"/>
      <c r="E272" s="493"/>
      <c r="F272" s="493"/>
      <c r="G272" s="493"/>
      <c r="H272" s="493"/>
    </row>
    <row r="273" s="274" customFormat="1" ht="12.75" customHeight="1" spans="1:8">
      <c r="A273" s="489"/>
      <c r="B273" s="490"/>
      <c r="C273" s="491"/>
      <c r="D273" s="492"/>
      <c r="E273" s="493"/>
      <c r="F273" s="493"/>
      <c r="G273" s="493"/>
      <c r="H273" s="493"/>
    </row>
    <row r="274" s="274" customFormat="1" ht="12.75" customHeight="1" spans="1:8">
      <c r="A274" s="487"/>
      <c r="B274" s="487"/>
      <c r="C274" s="492"/>
      <c r="D274" s="492"/>
      <c r="E274" s="480"/>
      <c r="F274" s="480"/>
      <c r="G274" s="480"/>
      <c r="H274" s="480"/>
    </row>
    <row r="275" ht="12.75" customHeight="1" spans="1:8">
      <c r="A275" s="451"/>
      <c r="B275" s="451"/>
      <c r="C275" s="451"/>
      <c r="D275" s="451"/>
      <c r="E275" s="494"/>
      <c r="F275" s="451"/>
      <c r="G275" s="451"/>
      <c r="H275" s="451"/>
    </row>
    <row r="276" ht="12.75" customHeight="1" spans="1:8">
      <c r="A276" s="451"/>
      <c r="B276" s="451"/>
      <c r="C276" s="451"/>
      <c r="D276" s="451"/>
      <c r="E276" s="451"/>
      <c r="F276" s="451"/>
      <c r="G276" s="451"/>
      <c r="H276" s="451"/>
    </row>
    <row r="277" ht="12.75" customHeight="1"/>
    <row r="278" ht="12.75" customHeight="1" spans="1:4">
      <c r="A278" s="396" t="s">
        <v>247</v>
      </c>
      <c r="B278" s="396" t="s">
        <v>248</v>
      </c>
      <c r="C278" s="396" t="s">
        <v>249</v>
      </c>
      <c r="D278" s="396" t="s">
        <v>250</v>
      </c>
    </row>
    <row r="279" ht="12.75" customHeight="1" spans="1:6">
      <c r="A279" s="495" t="s">
        <v>251</v>
      </c>
      <c r="B279" s="495" t="s">
        <v>252</v>
      </c>
      <c r="C279" s="496"/>
      <c r="D279" s="497"/>
      <c r="E279" s="496"/>
      <c r="F279" s="497"/>
    </row>
    <row r="280" ht="12.75" customHeight="1" spans="1:6">
      <c r="A280" s="498"/>
      <c r="B280" s="499"/>
      <c r="C280" s="500" t="s">
        <v>253</v>
      </c>
      <c r="D280" s="501"/>
      <c r="E280" s="501"/>
      <c r="F280" s="498"/>
    </row>
    <row r="281" ht="12.75" customHeight="1" spans="1:8">
      <c r="A281" s="502" t="s">
        <v>254</v>
      </c>
      <c r="C281" s="503"/>
      <c r="D281" s="504"/>
      <c r="E281" s="503"/>
      <c r="F281" s="505"/>
      <c r="G281" s="449"/>
      <c r="H281" s="449"/>
    </row>
    <row r="282" ht="12.75" customHeight="1" spans="1:8">
      <c r="A282" s="502" t="s">
        <v>254</v>
      </c>
      <c r="B282" s="506">
        <f>D115</f>
        <v>0</v>
      </c>
      <c r="C282" s="503">
        <v>3425</v>
      </c>
      <c r="D282" s="507"/>
      <c r="E282" s="503"/>
      <c r="F282" s="505"/>
      <c r="G282" s="449"/>
      <c r="H282" s="449"/>
    </row>
    <row r="283" ht="12.75" customHeight="1" spans="1:8">
      <c r="A283" s="502" t="s">
        <v>254</v>
      </c>
      <c r="B283" s="506" t="str">
        <f>D114</f>
        <v>汽运</v>
      </c>
      <c r="C283" s="503">
        <v>3425</v>
      </c>
      <c r="D283" s="507">
        <f t="shared" ref="D283:D302" si="19">C283-C282</f>
        <v>0</v>
      </c>
      <c r="E283" s="503"/>
      <c r="F283" s="505"/>
      <c r="G283" s="449"/>
      <c r="H283" s="449"/>
    </row>
    <row r="284" ht="12.75" customHeight="1" spans="1:8">
      <c r="A284" s="502" t="s">
        <v>254</v>
      </c>
      <c r="B284" s="506">
        <f>D113</f>
        <v>0</v>
      </c>
      <c r="C284" s="503">
        <v>3425</v>
      </c>
      <c r="D284" s="507">
        <f t="shared" si="19"/>
        <v>0</v>
      </c>
      <c r="E284" s="503"/>
      <c r="F284" s="505"/>
      <c r="G284" s="449"/>
      <c r="H284" s="449"/>
    </row>
    <row r="285" ht="12.75" customHeight="1" spans="1:8">
      <c r="A285" s="502" t="s">
        <v>254</v>
      </c>
      <c r="B285" s="506" t="str">
        <f>D112</f>
        <v>邻二甲苯</v>
      </c>
      <c r="C285" s="503">
        <v>3350</v>
      </c>
      <c r="D285" s="507">
        <f t="shared" si="19"/>
        <v>-75</v>
      </c>
      <c r="E285" s="503"/>
      <c r="F285" s="505"/>
      <c r="G285" s="449"/>
      <c r="H285" s="449"/>
    </row>
    <row r="286" ht="12.75" customHeight="1" spans="1:8">
      <c r="A286" s="502" t="s">
        <v>254</v>
      </c>
      <c r="B286" s="506" t="str">
        <f>D111</f>
        <v>邻二甲苯</v>
      </c>
      <c r="C286" s="503">
        <v>3350</v>
      </c>
      <c r="D286" s="507">
        <f t="shared" si="19"/>
        <v>0</v>
      </c>
      <c r="E286" s="503"/>
      <c r="F286" s="505"/>
      <c r="G286" s="449"/>
      <c r="H286" s="449"/>
    </row>
    <row r="287" ht="12.75" customHeight="1" spans="1:8">
      <c r="A287" s="502" t="s">
        <v>254</v>
      </c>
      <c r="B287" s="506" t="str">
        <f>D110</f>
        <v>邻二甲苯</v>
      </c>
      <c r="C287" s="503">
        <v>3375</v>
      </c>
      <c r="D287" s="507">
        <f t="shared" si="19"/>
        <v>25</v>
      </c>
      <c r="E287" s="503"/>
      <c r="F287" s="505"/>
      <c r="G287" s="449"/>
      <c r="H287" s="449"/>
    </row>
    <row r="288" ht="12.75" customHeight="1" spans="1:8">
      <c r="A288" s="502" t="s">
        <v>254</v>
      </c>
      <c r="B288" s="506" t="str">
        <f>D109</f>
        <v>邻二甲苯</v>
      </c>
      <c r="C288" s="503">
        <f t="shared" ref="C288:C303" si="20">C287</f>
        <v>3375</v>
      </c>
      <c r="D288" s="507">
        <f t="shared" si="19"/>
        <v>0</v>
      </c>
      <c r="E288" s="503"/>
      <c r="F288" s="505"/>
      <c r="G288" s="449"/>
      <c r="H288" s="449"/>
    </row>
    <row r="289" ht="12.75" customHeight="1" spans="1:8">
      <c r="A289" s="502" t="s">
        <v>254</v>
      </c>
      <c r="B289" s="506" t="str">
        <f>D108</f>
        <v>邻二甲苯</v>
      </c>
      <c r="C289" s="503">
        <f t="shared" si="20"/>
        <v>3375</v>
      </c>
      <c r="D289" s="507">
        <f t="shared" si="19"/>
        <v>0</v>
      </c>
      <c r="E289" s="503"/>
      <c r="F289" s="505"/>
      <c r="G289" s="449"/>
      <c r="H289" s="449"/>
    </row>
    <row r="290" ht="12.75" customHeight="1" spans="1:8">
      <c r="A290" s="502" t="s">
        <v>254</v>
      </c>
      <c r="B290" s="506" t="str">
        <f>D107</f>
        <v>邻二甲苯</v>
      </c>
      <c r="C290" s="503">
        <v>3350</v>
      </c>
      <c r="D290" s="507">
        <f t="shared" si="19"/>
        <v>-25</v>
      </c>
      <c r="E290" s="503"/>
      <c r="F290" s="505"/>
      <c r="G290" s="449"/>
      <c r="H290" s="449"/>
    </row>
    <row r="291" ht="12.75" customHeight="1" spans="1:8">
      <c r="A291" s="502" t="s">
        <v>254</v>
      </c>
      <c r="B291" s="506" t="str">
        <f>D106</f>
        <v>邻二甲苯</v>
      </c>
      <c r="C291" s="503">
        <f t="shared" si="20"/>
        <v>3350</v>
      </c>
      <c r="D291" s="507">
        <f t="shared" si="19"/>
        <v>0</v>
      </c>
      <c r="E291" s="503"/>
      <c r="F291" s="505"/>
      <c r="G291" s="449"/>
      <c r="H291" s="449"/>
    </row>
    <row r="292" ht="12.75" customHeight="1" spans="1:8">
      <c r="A292" s="502" t="s">
        <v>254</v>
      </c>
      <c r="B292" s="506" t="str">
        <f>D105</f>
        <v>邻二甲苯</v>
      </c>
      <c r="C292" s="503">
        <f t="shared" si="20"/>
        <v>3350</v>
      </c>
      <c r="D292" s="507">
        <f t="shared" si="19"/>
        <v>0</v>
      </c>
      <c r="E292" s="503"/>
      <c r="F292" s="505"/>
      <c r="G292" s="449"/>
      <c r="H292" s="449"/>
    </row>
    <row r="293" ht="12.75" customHeight="1" spans="1:8">
      <c r="A293" s="502" t="s">
        <v>254</v>
      </c>
      <c r="B293" s="506" t="str">
        <f>D104</f>
        <v>邻二甲苯</v>
      </c>
      <c r="C293" s="503">
        <v>3450</v>
      </c>
      <c r="D293" s="507">
        <f t="shared" si="19"/>
        <v>100</v>
      </c>
      <c r="E293" s="503"/>
      <c r="F293" s="505"/>
      <c r="G293" s="449"/>
      <c r="H293" s="449"/>
    </row>
    <row r="294" ht="12.75" customHeight="1" spans="1:8">
      <c r="A294" s="502" t="s">
        <v>254</v>
      </c>
      <c r="B294" s="506" t="str">
        <f>D103</f>
        <v>邻二甲苯</v>
      </c>
      <c r="C294" s="503">
        <v>3475</v>
      </c>
      <c r="D294" s="507">
        <f t="shared" si="19"/>
        <v>25</v>
      </c>
      <c r="E294" s="503"/>
      <c r="F294" s="505"/>
      <c r="G294" s="449"/>
      <c r="H294" s="449"/>
    </row>
    <row r="295" ht="15" spans="1:8">
      <c r="A295" s="502" t="s">
        <v>254</v>
      </c>
      <c r="B295" s="506" t="str">
        <f>D102</f>
        <v>邻二甲苯</v>
      </c>
      <c r="C295" s="503">
        <v>3575</v>
      </c>
      <c r="D295" s="507">
        <f t="shared" si="19"/>
        <v>100</v>
      </c>
      <c r="E295" s="503"/>
      <c r="F295" s="505"/>
      <c r="G295" s="449"/>
      <c r="H295" s="449"/>
    </row>
    <row r="296" ht="15" spans="1:8">
      <c r="A296" s="502" t="s">
        <v>254</v>
      </c>
      <c r="B296" s="506" t="str">
        <f>D101</f>
        <v>邻二甲苯</v>
      </c>
      <c r="C296" s="503">
        <v>3550</v>
      </c>
      <c r="D296" s="507">
        <f t="shared" si="19"/>
        <v>-25</v>
      </c>
      <c r="E296" s="503"/>
      <c r="F296" s="505"/>
      <c r="G296" s="449"/>
      <c r="H296" s="449"/>
    </row>
    <row r="297" ht="15" spans="1:8">
      <c r="A297" s="502" t="s">
        <v>254</v>
      </c>
      <c r="B297" s="506" t="str">
        <f>D100</f>
        <v>邻二甲苯</v>
      </c>
      <c r="C297" s="503">
        <f t="shared" si="20"/>
        <v>3550</v>
      </c>
      <c r="D297" s="507">
        <f t="shared" si="19"/>
        <v>0</v>
      </c>
      <c r="E297" s="503"/>
      <c r="F297" s="505"/>
      <c r="G297" s="449"/>
      <c r="H297" s="449"/>
    </row>
    <row r="298" ht="15" spans="1:8">
      <c r="A298" s="502" t="s">
        <v>254</v>
      </c>
      <c r="B298" s="506" t="str">
        <f>D99</f>
        <v>邻二甲苯</v>
      </c>
      <c r="C298" s="503">
        <f t="shared" si="20"/>
        <v>3550</v>
      </c>
      <c r="D298" s="507">
        <f t="shared" si="19"/>
        <v>0</v>
      </c>
      <c r="E298" s="503"/>
      <c r="F298" s="505"/>
      <c r="G298" s="449"/>
      <c r="H298" s="449"/>
    </row>
    <row r="299" ht="15" spans="1:8">
      <c r="A299" s="502" t="s">
        <v>254</v>
      </c>
      <c r="B299" s="506" t="str">
        <f>D98</f>
        <v>邻二甲苯</v>
      </c>
      <c r="C299" s="503">
        <f t="shared" si="20"/>
        <v>3550</v>
      </c>
      <c r="D299" s="507">
        <f t="shared" si="19"/>
        <v>0</v>
      </c>
      <c r="E299" s="503"/>
      <c r="F299" s="505"/>
      <c r="G299" s="449"/>
      <c r="H299" s="449"/>
    </row>
    <row r="300" ht="15" spans="1:8">
      <c r="A300" s="502" t="s">
        <v>254</v>
      </c>
      <c r="B300" s="506" t="str">
        <f>D97</f>
        <v>邻二甲苯</v>
      </c>
      <c r="C300" s="503">
        <f t="shared" si="20"/>
        <v>3550</v>
      </c>
      <c r="D300" s="507">
        <f t="shared" si="19"/>
        <v>0</v>
      </c>
      <c r="E300" s="503"/>
      <c r="F300" s="505"/>
      <c r="G300" s="449"/>
      <c r="H300" s="449"/>
    </row>
    <row r="301" ht="15.75" spans="1:8">
      <c r="A301" s="502" t="s">
        <v>254</v>
      </c>
      <c r="B301" s="506" t="str">
        <f>D96</f>
        <v>邻二甲苯</v>
      </c>
      <c r="C301" s="503">
        <f t="shared" si="20"/>
        <v>3550</v>
      </c>
      <c r="D301" s="507">
        <f t="shared" si="19"/>
        <v>0</v>
      </c>
      <c r="E301" s="503"/>
      <c r="F301" s="505"/>
      <c r="G301" s="449"/>
      <c r="H301" s="449"/>
    </row>
    <row r="302" ht="15.75" spans="1:8">
      <c r="A302" s="502" t="s">
        <v>254</v>
      </c>
      <c r="B302" s="506" t="str">
        <f>D95</f>
        <v>邻二甲苯</v>
      </c>
      <c r="C302" s="503">
        <f t="shared" si="20"/>
        <v>3550</v>
      </c>
      <c r="D302" s="507">
        <f t="shared" si="19"/>
        <v>0</v>
      </c>
      <c r="E302" s="508"/>
      <c r="F302" s="509"/>
      <c r="G302" s="449"/>
      <c r="H302" s="449"/>
    </row>
    <row r="303" ht="15" spans="1:8">
      <c r="A303" s="502" t="s">
        <v>254</v>
      </c>
      <c r="B303" s="506" t="str">
        <f>D94</f>
        <v>邻二甲苯</v>
      </c>
      <c r="C303" s="503">
        <f t="shared" si="20"/>
        <v>3550</v>
      </c>
      <c r="D303" s="507"/>
      <c r="G303" s="449"/>
      <c r="H303" s="510"/>
    </row>
    <row r="304" ht="15.75" spans="1:4">
      <c r="A304" s="502" t="s">
        <v>254</v>
      </c>
      <c r="B304" s="506" t="str">
        <f>D93</f>
        <v>邻二甲苯</v>
      </c>
      <c r="C304" s="503"/>
      <c r="D304" s="507"/>
    </row>
    <row r="305" ht="15.75" spans="1:4">
      <c r="A305" s="511"/>
      <c r="B305" s="506"/>
      <c r="C305" s="503"/>
      <c r="D305" s="275">
        <f>C305/1.13</f>
        <v>0</v>
      </c>
    </row>
    <row r="306" ht="15.75" spans="1:3">
      <c r="A306" s="511"/>
      <c r="B306" s="506"/>
      <c r="C306" s="503">
        <f>AVERAGE(C282:C303)</f>
        <v>3456.81818181818</v>
      </c>
    </row>
    <row r="307" ht="15.75" spans="1:3">
      <c r="A307" s="511"/>
      <c r="B307" s="506"/>
      <c r="C307" s="503"/>
    </row>
    <row r="308" ht="15.75" spans="1:3">
      <c r="A308" s="511"/>
      <c r="B308" s="506"/>
      <c r="C308" s="503"/>
    </row>
    <row r="309" ht="15.75" spans="1:3">
      <c r="A309" s="511"/>
      <c r="B309" s="506"/>
      <c r="C309" s="503"/>
    </row>
    <row r="310" ht="15.75" spans="1:3">
      <c r="A310" s="511"/>
      <c r="B310" s="506"/>
      <c r="C310" s="503"/>
    </row>
    <row r="311" ht="15.75" spans="1:3">
      <c r="A311" s="511"/>
      <c r="B311" s="506"/>
      <c r="C311" s="503"/>
    </row>
    <row r="312" spans="3:3">
      <c r="C312" s="512">
        <f>AVERAGE(C281:C311)/1.13</f>
        <v>3059.13113435237</v>
      </c>
    </row>
  </sheetData>
  <mergeCells count="153"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B31:C31"/>
    <mergeCell ref="D31:E31"/>
    <mergeCell ref="C72:H72"/>
    <mergeCell ref="C73:H73"/>
    <mergeCell ref="C74:H74"/>
    <mergeCell ref="C75:H75"/>
    <mergeCell ref="F76:H76"/>
    <mergeCell ref="F77:H77"/>
    <mergeCell ref="F78:H78"/>
    <mergeCell ref="F79:H79"/>
    <mergeCell ref="F80:H80"/>
    <mergeCell ref="F81:H81"/>
    <mergeCell ref="F82:H82"/>
    <mergeCell ref="F83:H83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B118:C118"/>
    <mergeCell ref="D118:E118"/>
    <mergeCell ref="B161:C161"/>
    <mergeCell ref="D161:E161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E267:H267"/>
    <mergeCell ref="E268:H268"/>
    <mergeCell ref="E269:H269"/>
    <mergeCell ref="E270:H270"/>
    <mergeCell ref="E271:H271"/>
    <mergeCell ref="E272:H272"/>
    <mergeCell ref="E273:H273"/>
    <mergeCell ref="C279:D279"/>
    <mergeCell ref="E279:F279"/>
    <mergeCell ref="A279:A280"/>
    <mergeCell ref="B279:B280"/>
    <mergeCell ref="E64:E65"/>
    <mergeCell ref="F27:F30"/>
    <mergeCell ref="F114:F117"/>
    <mergeCell ref="F157:F160"/>
    <mergeCell ref="G27:G30"/>
    <mergeCell ref="G64:G65"/>
    <mergeCell ref="G114:G117"/>
    <mergeCell ref="G157:G160"/>
    <mergeCell ref="H27:H28"/>
    <mergeCell ref="H114:H118"/>
    <mergeCell ref="H157:H158"/>
    <mergeCell ref="B157:C160"/>
    <mergeCell ref="D157:E160"/>
    <mergeCell ref="B114:C117"/>
    <mergeCell ref="D114:E117"/>
    <mergeCell ref="B64:D65"/>
    <mergeCell ref="B27:C30"/>
    <mergeCell ref="D27:E3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pageSetUpPr fitToPage="1"/>
  </sheetPr>
  <dimension ref="A1:BM124"/>
  <sheetViews>
    <sheetView topLeftCell="C1" workbookViewId="0">
      <selection activeCell="K11" sqref="K11"/>
    </sheetView>
  </sheetViews>
  <sheetFormatPr defaultColWidth="9" defaultRowHeight="14.25"/>
  <cols>
    <col min="1" max="1" width="2.5" style="1" customWidth="1"/>
    <col min="2" max="2" width="20.625" style="1"/>
    <col min="3" max="3" width="7.5" style="1"/>
    <col min="4" max="4" width="13" style="1" customWidth="1"/>
    <col min="5" max="5" width="17.875" style="5" customWidth="1"/>
    <col min="6" max="6" width="17.625" style="5" customWidth="1"/>
    <col min="7" max="7" width="20" style="1"/>
    <col min="8" max="8" width="13.5" style="1" customWidth="1"/>
    <col min="9" max="10" width="16.125" style="1"/>
    <col min="11" max="11" width="19.375" style="1"/>
    <col min="12" max="12" width="18" style="1"/>
    <col min="13" max="13" width="12.625" style="1" customWidth="1"/>
    <col min="14" max="14" width="17.125" style="1" customWidth="1"/>
    <col min="15" max="15" width="11.5" style="1" customWidth="1"/>
    <col min="16" max="16" width="18.25" style="1" customWidth="1"/>
    <col min="17" max="17" width="13.125" style="1"/>
    <col min="18" max="18" width="17.25" style="1"/>
    <col min="19" max="19" width="14.125" style="1"/>
    <col min="20" max="20" width="13.125" style="1"/>
    <col min="21" max="21" width="4.25" style="1" customWidth="1" outlineLevel="1"/>
    <col min="22" max="22" width="18.375" style="1" customWidth="1" outlineLevel="1"/>
    <col min="23" max="23" width="9" style="1" customWidth="1" outlineLevel="1"/>
    <col min="24" max="24" width="15.375" style="1" customWidth="1" outlineLevel="1"/>
    <col min="25" max="26" width="9" style="1" customWidth="1" outlineLevel="1"/>
    <col min="27" max="27" width="18.25" style="1" customWidth="1" outlineLevel="1"/>
    <col min="28" max="28" width="12.125" style="1" customWidth="1" outlineLevel="1"/>
    <col min="29" max="29" width="15.125" style="1" customWidth="1" outlineLevel="1"/>
    <col min="30" max="30" width="13.75" style="1" customWidth="1" outlineLevel="1"/>
    <col min="31" max="31" width="14.875" style="1" customWidth="1" outlineLevel="1"/>
    <col min="32" max="32" width="18.25" style="1" customWidth="1" outlineLevel="1"/>
    <col min="33" max="33" width="10.375" style="1" customWidth="1" outlineLevel="1"/>
    <col min="34" max="34" width="14.125" style="1" outlineLevel="1"/>
    <col min="35" max="35" width="9" style="1" customWidth="1" outlineLevel="1"/>
    <col min="36" max="36" width="18.25" style="1" customWidth="1" outlineLevel="1"/>
    <col min="37" max="37" width="9.5" style="1" customWidth="1" outlineLevel="1"/>
    <col min="38" max="38" width="14.625" style="1" customWidth="1" outlineLevel="1"/>
    <col min="39" max="40" width="11.25" style="1" customWidth="1"/>
    <col min="41" max="41" width="5.375" style="1" customWidth="1" outlineLevel="1"/>
    <col min="42" max="42" width="14.125" style="1" customWidth="1" outlineLevel="1"/>
    <col min="43" max="43" width="9" style="1" customWidth="1" outlineLevel="1"/>
    <col min="44" max="44" width="14" style="1" customWidth="1" outlineLevel="1"/>
    <col min="45" max="46" width="9" style="1" customWidth="1" outlineLevel="1"/>
    <col min="47" max="47" width="20.25" style="1" customWidth="1" outlineLevel="1"/>
    <col min="48" max="48" width="10.875" style="1" customWidth="1" outlineLevel="1"/>
    <col min="49" max="49" width="15" style="1" customWidth="1" outlineLevel="1"/>
    <col min="50" max="50" width="13.75" style="1" customWidth="1" outlineLevel="1"/>
    <col min="51" max="51" width="14.875" style="1" customWidth="1" outlineLevel="1"/>
    <col min="52" max="52" width="18.25" style="1" customWidth="1" outlineLevel="1"/>
    <col min="53" max="53" width="10.375" style="1" customWidth="1" outlineLevel="1"/>
    <col min="54" max="54" width="14.875" style="1" customWidth="1" outlineLevel="1"/>
    <col min="55" max="55" width="9.375" style="1" customWidth="1" outlineLevel="1"/>
    <col min="56" max="56" width="18.25" style="1" customWidth="1" outlineLevel="1"/>
    <col min="57" max="57" width="10.125" style="1" outlineLevel="1"/>
    <col min="58" max="58" width="18.625" style="1" customWidth="1" outlineLevel="1"/>
    <col min="59" max="59" width="21.375" style="1"/>
    <col min="60" max="60" width="12.25" style="1"/>
    <col min="61" max="62" width="9" style="1"/>
    <col min="63" max="63" width="11.25" style="1"/>
    <col min="64" max="64" width="9" style="1"/>
    <col min="65" max="65" width="18" style="1"/>
    <col min="66" max="16384" width="9" style="1"/>
  </cols>
  <sheetData>
    <row r="1" s="1" customFormat="1" ht="20.25" customHeight="1" spans="1:58">
      <c r="A1" s="6" t="s">
        <v>255</v>
      </c>
      <c r="B1" s="7"/>
      <c r="C1" s="7"/>
      <c r="D1" s="7"/>
      <c r="E1" s="7"/>
      <c r="F1" s="7"/>
      <c r="G1" s="7"/>
      <c r="H1" s="7"/>
      <c r="U1" s="115" t="s">
        <v>256</v>
      </c>
      <c r="V1" s="116"/>
      <c r="W1" s="116"/>
      <c r="X1" s="116"/>
      <c r="Y1" s="116"/>
      <c r="Z1" s="116"/>
      <c r="AA1" s="116"/>
      <c r="AB1" s="116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O1" s="115" t="s">
        <v>257</v>
      </c>
      <c r="AP1" s="116"/>
      <c r="AQ1" s="116"/>
      <c r="AR1" s="116"/>
      <c r="AS1" s="116"/>
      <c r="AT1" s="116"/>
      <c r="AU1" s="116"/>
      <c r="AV1" s="116"/>
      <c r="AW1" s="117"/>
      <c r="AX1" s="117"/>
      <c r="AY1" s="117"/>
      <c r="AZ1" s="117"/>
      <c r="BA1" s="117"/>
      <c r="BB1" s="117"/>
      <c r="BC1" s="117"/>
      <c r="BD1" s="117"/>
      <c r="BE1" s="117"/>
      <c r="BF1" s="117"/>
    </row>
    <row r="2" s="1" customFormat="1" ht="4.5" customHeight="1" spans="5:58">
      <c r="E2" s="5"/>
      <c r="F2" s="5"/>
      <c r="U2" s="117"/>
      <c r="V2" s="117"/>
      <c r="W2" s="117"/>
      <c r="X2" s="117"/>
      <c r="Y2" s="147"/>
      <c r="Z2" s="14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O2" s="117"/>
      <c r="AP2" s="117"/>
      <c r="AQ2" s="117"/>
      <c r="AR2" s="117"/>
      <c r="AS2" s="147"/>
      <c r="AT2" s="14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</row>
    <row r="3" s="2" customFormat="1" ht="12" spans="1:58">
      <c r="A3" s="8" t="s">
        <v>82</v>
      </c>
      <c r="B3" s="9"/>
      <c r="C3" s="9"/>
      <c r="D3" s="9"/>
      <c r="E3" s="10">
        <v>44407</v>
      </c>
      <c r="F3" s="11"/>
      <c r="G3" s="12"/>
      <c r="H3" s="13"/>
      <c r="I3" s="69"/>
      <c r="J3" s="69"/>
      <c r="K3" s="69"/>
      <c r="L3" s="70"/>
      <c r="U3" s="118" t="s">
        <v>82</v>
      </c>
      <c r="V3" s="119"/>
      <c r="W3" s="119"/>
      <c r="X3" s="119"/>
      <c r="Y3" s="148">
        <f>E3</f>
        <v>44407</v>
      </c>
      <c r="Z3" s="149"/>
      <c r="AA3" s="150"/>
      <c r="AB3" s="151"/>
      <c r="AC3" s="152"/>
      <c r="AD3" s="152"/>
      <c r="AE3" s="152"/>
      <c r="AF3" s="151"/>
      <c r="AG3" s="151"/>
      <c r="AH3" s="151"/>
      <c r="AI3" s="151"/>
      <c r="AJ3" s="151"/>
      <c r="AK3" s="151"/>
      <c r="AL3" s="151"/>
      <c r="AO3" s="118" t="s">
        <v>82</v>
      </c>
      <c r="AP3" s="119"/>
      <c r="AQ3" s="119"/>
      <c r="AR3" s="119"/>
      <c r="AS3" s="148">
        <v>44377</v>
      </c>
      <c r="AT3" s="149"/>
      <c r="AU3" s="150"/>
      <c r="AV3" s="151"/>
      <c r="AW3" s="152"/>
      <c r="AX3" s="152"/>
      <c r="AY3" s="152"/>
      <c r="AZ3" s="151"/>
      <c r="BA3" s="151"/>
      <c r="BB3" s="151"/>
      <c r="BC3" s="151"/>
      <c r="BD3" s="151"/>
      <c r="BE3" s="151"/>
      <c r="BF3" s="151"/>
    </row>
    <row r="4" s="3" customFormat="1" ht="27" customHeight="1" spans="1:58">
      <c r="A4" s="14" t="s">
        <v>41</v>
      </c>
      <c r="B4" s="14" t="s">
        <v>83</v>
      </c>
      <c r="C4" s="15" t="s">
        <v>84</v>
      </c>
      <c r="D4" s="14" t="s">
        <v>65</v>
      </c>
      <c r="E4" s="14" t="s">
        <v>258</v>
      </c>
      <c r="F4" s="14" t="s">
        <v>259</v>
      </c>
      <c r="G4" s="14" t="s">
        <v>260</v>
      </c>
      <c r="H4" s="14" t="s">
        <v>3</v>
      </c>
      <c r="I4" s="71" t="s">
        <v>261</v>
      </c>
      <c r="J4" s="72"/>
      <c r="K4" s="72"/>
      <c r="L4" s="72"/>
      <c r="M4" s="72">
        <v>174800</v>
      </c>
      <c r="N4" s="72">
        <f>M4/D5</f>
        <v>0.981761036667764</v>
      </c>
      <c r="O4" s="72"/>
      <c r="P4" s="72"/>
      <c r="Q4" s="72"/>
      <c r="R4" s="72"/>
      <c r="U4" s="120" t="s">
        <v>41</v>
      </c>
      <c r="V4" s="121" t="s">
        <v>83</v>
      </c>
      <c r="W4" s="122" t="s">
        <v>84</v>
      </c>
      <c r="X4" s="120" t="s">
        <v>65</v>
      </c>
      <c r="Y4" s="121" t="s">
        <v>258</v>
      </c>
      <c r="Z4" s="121" t="s">
        <v>259</v>
      </c>
      <c r="AA4" s="121" t="s">
        <v>260</v>
      </c>
      <c r="AB4" s="121" t="s">
        <v>3</v>
      </c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O4" s="120" t="s">
        <v>41</v>
      </c>
      <c r="AP4" s="121" t="s">
        <v>83</v>
      </c>
      <c r="AQ4" s="120" t="s">
        <v>84</v>
      </c>
      <c r="AR4" s="120" t="s">
        <v>65</v>
      </c>
      <c r="AS4" s="121" t="s">
        <v>258</v>
      </c>
      <c r="AT4" s="121" t="s">
        <v>259</v>
      </c>
      <c r="AU4" s="121" t="s">
        <v>260</v>
      </c>
      <c r="AV4" s="121" t="s">
        <v>3</v>
      </c>
      <c r="AW4" s="153"/>
      <c r="AX4" s="153"/>
      <c r="AY4" s="153"/>
      <c r="AZ4" s="153"/>
      <c r="BA4" s="153"/>
      <c r="BB4" s="153"/>
      <c r="BC4" s="153"/>
      <c r="BD4" s="153"/>
      <c r="BE4" s="153"/>
      <c r="BF4" s="153"/>
    </row>
    <row r="5" s="2" customFormat="1" ht="15.95" customHeight="1" spans="1:58">
      <c r="A5" s="16">
        <v>1</v>
      </c>
      <c r="B5" s="17" t="s">
        <v>262</v>
      </c>
      <c r="C5" s="18"/>
      <c r="D5" s="19">
        <f>SUM(D6:D10)</f>
        <v>178047.4</v>
      </c>
      <c r="E5" s="20">
        <f>F5*1.13</f>
        <v>5445.89856077314</v>
      </c>
      <c r="F5" s="20">
        <f>IF(D5=0,0,G5/D5)</f>
        <v>4819.37925732137</v>
      </c>
      <c r="G5" s="20">
        <f>SUM(G6:G10)</f>
        <v>858077946.38</v>
      </c>
      <c r="H5" s="20"/>
      <c r="I5" s="28"/>
      <c r="J5" s="73"/>
      <c r="K5" s="74"/>
      <c r="L5" s="73"/>
      <c r="M5" s="73"/>
      <c r="N5" s="73"/>
      <c r="O5" s="73"/>
      <c r="P5" s="73"/>
      <c r="Q5" s="73"/>
      <c r="R5" s="73"/>
      <c r="U5" s="123">
        <v>1</v>
      </c>
      <c r="V5" s="124" t="s">
        <v>262</v>
      </c>
      <c r="W5" s="125"/>
      <c r="X5" s="19">
        <f>SUM(X6:X10)</f>
        <v>1054893.53</v>
      </c>
      <c r="Y5" s="54">
        <f>AA5/X5*1.13</f>
        <v>4830.33784918398</v>
      </c>
      <c r="Z5" s="54">
        <f>AA5/X5</f>
        <v>4274.63526476459</v>
      </c>
      <c r="AA5" s="54">
        <f>SUM(AA6:AA10)</f>
        <v>4509285083.91</v>
      </c>
      <c r="AB5" s="54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O5" s="123">
        <v>1</v>
      </c>
      <c r="AP5" s="124" t="s">
        <v>262</v>
      </c>
      <c r="AQ5" s="125"/>
      <c r="AR5" s="19">
        <v>876846.13</v>
      </c>
      <c r="AS5" s="54">
        <v>4705.34558373303</v>
      </c>
      <c r="AT5" s="54">
        <v>4164.02264047171</v>
      </c>
      <c r="AU5" s="54">
        <v>3651207137.53</v>
      </c>
      <c r="AV5" s="54"/>
      <c r="AW5" s="151"/>
      <c r="AX5" s="151"/>
      <c r="AY5" s="151"/>
      <c r="AZ5" s="151"/>
      <c r="BA5" s="151"/>
      <c r="BB5" s="151"/>
      <c r="BC5" s="151"/>
      <c r="BD5" s="151"/>
      <c r="BE5" s="151"/>
      <c r="BF5" s="151"/>
    </row>
    <row r="6" s="2" customFormat="1" ht="15.95" customHeight="1" spans="1:58">
      <c r="A6" s="16">
        <v>2</v>
      </c>
      <c r="B6" s="21" t="s">
        <v>263</v>
      </c>
      <c r="C6" s="22" t="s">
        <v>90</v>
      </c>
      <c r="D6" s="23">
        <v>4405.4</v>
      </c>
      <c r="E6" s="24">
        <v>8690.05</v>
      </c>
      <c r="F6" s="25">
        <f t="shared" ref="F6:F10" si="0">E6/1.13</f>
        <v>7690.30973451327</v>
      </c>
      <c r="G6" s="26">
        <f t="shared" ref="G6:G10" si="1">ROUND(D6*F6,2)</f>
        <v>33878890.5</v>
      </c>
      <c r="H6" s="27"/>
      <c r="I6" s="28"/>
      <c r="K6" s="75"/>
      <c r="L6" s="76"/>
      <c r="M6" s="73"/>
      <c r="N6" s="73"/>
      <c r="O6" s="73"/>
      <c r="P6" s="73"/>
      <c r="Q6" s="73"/>
      <c r="R6" s="73"/>
      <c r="U6" s="16">
        <v>2</v>
      </c>
      <c r="V6" s="21" t="s">
        <v>263</v>
      </c>
      <c r="W6" s="126" t="s">
        <v>90</v>
      </c>
      <c r="X6" s="127">
        <f t="shared" ref="X6:X10" si="2">AR6+D6</f>
        <v>22591.41</v>
      </c>
      <c r="Y6" s="154">
        <f t="shared" ref="Y6:Y10" si="3">Z6*1.13</f>
        <v>8120.27136272592</v>
      </c>
      <c r="Z6" s="154">
        <f t="shared" ref="Z6:Z10" si="4">IF(X6=0,0,AA6/X6)</f>
        <v>7186.08085196984</v>
      </c>
      <c r="AA6" s="155">
        <f t="shared" ref="AA6:AA11" si="5">AU6+G6</f>
        <v>162343698.82</v>
      </c>
      <c r="AB6" s="54"/>
      <c r="AC6" s="156"/>
      <c r="AD6" s="156"/>
      <c r="AE6" s="156"/>
      <c r="AF6" s="157"/>
      <c r="AG6" s="151"/>
      <c r="AH6" s="151"/>
      <c r="AI6" s="151"/>
      <c r="AJ6" s="151"/>
      <c r="AK6" s="151"/>
      <c r="AL6" s="151"/>
      <c r="AO6" s="123">
        <v>2</v>
      </c>
      <c r="AP6" s="184" t="s">
        <v>263</v>
      </c>
      <c r="AQ6" s="185" t="s">
        <v>90</v>
      </c>
      <c r="AR6" s="127">
        <v>18186.01</v>
      </c>
      <c r="AS6" s="154">
        <v>7982.24752991998</v>
      </c>
      <c r="AT6" s="154">
        <v>7063.93586718582</v>
      </c>
      <c r="AU6" s="155">
        <v>128464808.32</v>
      </c>
      <c r="AV6" s="54"/>
      <c r="AW6" s="156"/>
      <c r="AX6" s="156"/>
      <c r="AY6" s="156"/>
      <c r="AZ6" s="157"/>
      <c r="BA6" s="151"/>
      <c r="BB6" s="151"/>
      <c r="BC6" s="151"/>
      <c r="BD6" s="151"/>
      <c r="BE6" s="151"/>
      <c r="BF6" s="151"/>
    </row>
    <row r="7" s="2" customFormat="1" ht="15.95" customHeight="1" spans="1:58">
      <c r="A7" s="16">
        <v>3</v>
      </c>
      <c r="B7" s="21" t="s">
        <v>264</v>
      </c>
      <c r="C7" s="22" t="s">
        <v>90</v>
      </c>
      <c r="D7" s="23">
        <v>156107.53</v>
      </c>
      <c r="E7" s="24">
        <v>5355.39</v>
      </c>
      <c r="F7" s="25">
        <f t="shared" si="0"/>
        <v>4739.28318584071</v>
      </c>
      <c r="G7" s="26">
        <f>ROUND(D7*F7,2)+0.02</f>
        <v>739837792.13</v>
      </c>
      <c r="H7" s="20"/>
      <c r="I7" s="28"/>
      <c r="J7" s="77">
        <v>218516641.67</v>
      </c>
      <c r="K7" s="75">
        <v>521321150.46</v>
      </c>
      <c r="L7" s="76">
        <f>J7+K7</f>
        <v>739837792.13</v>
      </c>
      <c r="M7" s="73"/>
      <c r="N7" s="73"/>
      <c r="O7" s="73"/>
      <c r="P7" s="73"/>
      <c r="Q7" s="73"/>
      <c r="R7" s="73"/>
      <c r="U7" s="16">
        <v>3</v>
      </c>
      <c r="V7" s="21" t="s">
        <v>264</v>
      </c>
      <c r="W7" s="126" t="s">
        <v>90</v>
      </c>
      <c r="X7" s="127">
        <f t="shared" si="2"/>
        <v>944018.24</v>
      </c>
      <c r="Y7" s="154">
        <f t="shared" si="3"/>
        <v>4733.18465964566</v>
      </c>
      <c r="Z7" s="154">
        <f t="shared" si="4"/>
        <v>4188.65899083687</v>
      </c>
      <c r="AA7" s="155">
        <f t="shared" si="5"/>
        <v>3954170488.49</v>
      </c>
      <c r="AB7" s="54"/>
      <c r="AC7" s="156"/>
      <c r="AD7" s="158"/>
      <c r="AE7" s="156"/>
      <c r="AF7" s="157"/>
      <c r="AG7" s="151"/>
      <c r="AH7" s="151"/>
      <c r="AI7" s="151"/>
      <c r="AJ7" s="151"/>
      <c r="AK7" s="151"/>
      <c r="AL7" s="151"/>
      <c r="AO7" s="123">
        <v>3</v>
      </c>
      <c r="AP7" s="184" t="s">
        <v>264</v>
      </c>
      <c r="AQ7" s="185" t="s">
        <v>90</v>
      </c>
      <c r="AR7" s="127">
        <v>787910.71</v>
      </c>
      <c r="AS7" s="154">
        <v>4609.90807814606</v>
      </c>
      <c r="AT7" s="154">
        <v>4079.56467092572</v>
      </c>
      <c r="AU7" s="155">
        <v>3214332696.36</v>
      </c>
      <c r="AV7" s="54"/>
      <c r="AW7" s="156"/>
      <c r="AX7" s="158"/>
      <c r="AY7" s="156"/>
      <c r="AZ7" s="157"/>
      <c r="BA7" s="151"/>
      <c r="BB7" s="151"/>
      <c r="BC7" s="151"/>
      <c r="BD7" s="151"/>
      <c r="BE7" s="151"/>
      <c r="BF7" s="151"/>
    </row>
    <row r="8" s="2" customFormat="1" ht="13.5" customHeight="1" spans="1:58">
      <c r="A8" s="16">
        <v>4</v>
      </c>
      <c r="B8" s="28" t="s">
        <v>265</v>
      </c>
      <c r="C8" s="22" t="s">
        <v>90</v>
      </c>
      <c r="D8" s="23">
        <v>4501</v>
      </c>
      <c r="E8" s="24">
        <v>4910.07</v>
      </c>
      <c r="F8" s="25">
        <f t="shared" si="0"/>
        <v>4345.19469026549</v>
      </c>
      <c r="G8" s="26">
        <f t="shared" si="1"/>
        <v>19557721.3</v>
      </c>
      <c r="H8" s="29"/>
      <c r="I8" s="78"/>
      <c r="J8" s="79"/>
      <c r="K8" s="75"/>
      <c r="L8" s="76"/>
      <c r="M8" s="73"/>
      <c r="N8" s="73"/>
      <c r="O8" s="73"/>
      <c r="P8" s="73"/>
      <c r="Q8" s="73"/>
      <c r="R8" s="73"/>
      <c r="U8" s="123">
        <v>4</v>
      </c>
      <c r="V8" s="28" t="s">
        <v>265</v>
      </c>
      <c r="W8" s="126" t="s">
        <v>90</v>
      </c>
      <c r="X8" s="127">
        <f t="shared" si="2"/>
        <v>18074</v>
      </c>
      <c r="Y8" s="154">
        <f t="shared" si="3"/>
        <v>4642.49597256833</v>
      </c>
      <c r="Z8" s="154">
        <f t="shared" si="4"/>
        <v>4108.40351554719</v>
      </c>
      <c r="AA8" s="155">
        <f t="shared" si="5"/>
        <v>74255285.14</v>
      </c>
      <c r="AB8" s="159" t="s">
        <v>266</v>
      </c>
      <c r="AC8" s="156"/>
      <c r="AD8" s="156"/>
      <c r="AE8" s="160"/>
      <c r="AF8" s="157"/>
      <c r="AG8" s="151"/>
      <c r="AH8" s="151"/>
      <c r="AI8" s="151"/>
      <c r="AJ8" s="151"/>
      <c r="AK8" s="151"/>
      <c r="AL8" s="151"/>
      <c r="AO8" s="123">
        <v>4</v>
      </c>
      <c r="AP8" s="18" t="s">
        <v>265</v>
      </c>
      <c r="AQ8" s="185" t="s">
        <v>90</v>
      </c>
      <c r="AR8" s="127">
        <v>13573</v>
      </c>
      <c r="AS8" s="154">
        <v>4553.76461645915</v>
      </c>
      <c r="AT8" s="154">
        <v>4029.88019155677</v>
      </c>
      <c r="AU8" s="155">
        <v>54697563.84</v>
      </c>
      <c r="AV8" s="159" t="s">
        <v>266</v>
      </c>
      <c r="AW8" s="156"/>
      <c r="AX8" s="156"/>
      <c r="AY8" s="160"/>
      <c r="AZ8" s="157"/>
      <c r="BA8" s="151"/>
      <c r="BB8" s="151"/>
      <c r="BC8" s="151"/>
      <c r="BD8" s="151"/>
      <c r="BE8" s="151"/>
      <c r="BF8" s="151"/>
    </row>
    <row r="9" s="2" customFormat="1" ht="13.5" customHeight="1" spans="1:58">
      <c r="A9" s="16">
        <v>5</v>
      </c>
      <c r="B9" s="28" t="s">
        <v>267</v>
      </c>
      <c r="C9" s="22"/>
      <c r="D9" s="23">
        <v>9711</v>
      </c>
      <c r="E9" s="24">
        <v>5482.38</v>
      </c>
      <c r="F9" s="25">
        <f t="shared" si="0"/>
        <v>4851.66371681416</v>
      </c>
      <c r="G9" s="26">
        <f t="shared" si="1"/>
        <v>47114506.35</v>
      </c>
      <c r="H9" s="29"/>
      <c r="I9" s="78"/>
      <c r="J9" s="79"/>
      <c r="K9" s="75"/>
      <c r="L9" s="76"/>
      <c r="M9" s="73"/>
      <c r="N9" s="73"/>
      <c r="O9" s="73"/>
      <c r="P9" s="73"/>
      <c r="Q9" s="73"/>
      <c r="R9" s="73"/>
      <c r="U9" s="16">
        <v>5</v>
      </c>
      <c r="V9" s="28" t="s">
        <v>267</v>
      </c>
      <c r="W9" s="126" t="s">
        <v>90</v>
      </c>
      <c r="X9" s="127">
        <f t="shared" si="2"/>
        <v>14833.03</v>
      </c>
      <c r="Y9" s="154">
        <f t="shared" si="3"/>
        <v>5471.90667248701</v>
      </c>
      <c r="Z9" s="154">
        <f t="shared" si="4"/>
        <v>4842.39528538673</v>
      </c>
      <c r="AA9" s="155">
        <f t="shared" si="5"/>
        <v>71827394.54</v>
      </c>
      <c r="AB9" s="159"/>
      <c r="AC9" s="156"/>
      <c r="AD9" s="156"/>
      <c r="AE9" s="160"/>
      <c r="AF9" s="157"/>
      <c r="AG9" s="151"/>
      <c r="AH9" s="151"/>
      <c r="AI9" s="151"/>
      <c r="AJ9" s="151"/>
      <c r="AK9" s="151"/>
      <c r="AL9" s="151"/>
      <c r="AO9" s="123">
        <v>5</v>
      </c>
      <c r="AP9" s="18" t="s">
        <v>267</v>
      </c>
      <c r="AQ9" s="185" t="s">
        <v>90</v>
      </c>
      <c r="AR9" s="127">
        <v>5122.03</v>
      </c>
      <c r="AS9" s="154">
        <v>5452.0499986724</v>
      </c>
      <c r="AT9" s="154">
        <v>4824.82300767469</v>
      </c>
      <c r="AU9" s="155">
        <v>24712888.19</v>
      </c>
      <c r="AV9" s="159"/>
      <c r="AW9" s="156"/>
      <c r="AX9" s="156"/>
      <c r="AY9" s="160"/>
      <c r="AZ9" s="157"/>
      <c r="BA9" s="151"/>
      <c r="BB9" s="151"/>
      <c r="BC9" s="151"/>
      <c r="BD9" s="151"/>
      <c r="BE9" s="151"/>
      <c r="BF9" s="151"/>
    </row>
    <row r="10" s="2" customFormat="1" ht="15.95" customHeight="1" spans="1:58">
      <c r="A10" s="16">
        <v>6</v>
      </c>
      <c r="B10" s="28" t="s">
        <v>94</v>
      </c>
      <c r="C10" s="22" t="s">
        <v>90</v>
      </c>
      <c r="D10" s="23">
        <v>3322.47</v>
      </c>
      <c r="E10" s="24">
        <v>6016.19</v>
      </c>
      <c r="F10" s="25">
        <f t="shared" si="0"/>
        <v>5324.06194690266</v>
      </c>
      <c r="G10" s="26">
        <f t="shared" si="1"/>
        <v>17689036.1</v>
      </c>
      <c r="H10" s="30" t="s">
        <v>266</v>
      </c>
      <c r="I10" s="78"/>
      <c r="J10" s="79"/>
      <c r="K10" s="80"/>
      <c r="L10" s="76"/>
      <c r="M10" s="73"/>
      <c r="N10" s="73"/>
      <c r="O10" s="73"/>
      <c r="P10" s="73"/>
      <c r="Q10" s="73"/>
      <c r="R10" s="73"/>
      <c r="U10" s="16">
        <v>6</v>
      </c>
      <c r="V10" s="28" t="s">
        <v>94</v>
      </c>
      <c r="W10" s="126" t="s">
        <v>90</v>
      </c>
      <c r="X10" s="127">
        <f t="shared" si="2"/>
        <v>55376.85</v>
      </c>
      <c r="Y10" s="154">
        <f t="shared" si="3"/>
        <v>5033.83065522145</v>
      </c>
      <c r="Z10" s="154">
        <f t="shared" si="4"/>
        <v>4454.71739400128</v>
      </c>
      <c r="AA10" s="161">
        <f t="shared" si="5"/>
        <v>246688216.92</v>
      </c>
      <c r="AB10" s="159"/>
      <c r="AC10" s="156"/>
      <c r="AD10" s="156"/>
      <c r="AE10" s="160"/>
      <c r="AF10" s="157"/>
      <c r="AG10" s="151"/>
      <c r="AH10" s="151"/>
      <c r="AI10" s="151"/>
      <c r="AJ10" s="151"/>
      <c r="AK10" s="151"/>
      <c r="AL10" s="151"/>
      <c r="AO10" s="123">
        <v>6</v>
      </c>
      <c r="AP10" s="135" t="s">
        <v>94</v>
      </c>
      <c r="AQ10" s="185" t="s">
        <v>90</v>
      </c>
      <c r="AR10" s="127">
        <v>52054.38</v>
      </c>
      <c r="AS10" s="154">
        <v>4971.12969795433</v>
      </c>
      <c r="AT10" s="154">
        <v>4399.22982119852</v>
      </c>
      <c r="AU10" s="161">
        <v>228999180.82</v>
      </c>
      <c r="AV10" s="159"/>
      <c r="AW10" s="156"/>
      <c r="AX10" s="156"/>
      <c r="AY10" s="160"/>
      <c r="AZ10" s="157"/>
      <c r="BA10" s="151"/>
      <c r="BB10" s="151"/>
      <c r="BC10" s="151"/>
      <c r="BD10" s="151"/>
      <c r="BE10" s="151"/>
      <c r="BF10" s="151"/>
    </row>
    <row r="11" s="2" customFormat="1" ht="15.95" customHeight="1" spans="1:58">
      <c r="A11" s="16">
        <v>7</v>
      </c>
      <c r="B11" s="31" t="s">
        <v>268</v>
      </c>
      <c r="C11" s="22"/>
      <c r="D11" s="32"/>
      <c r="E11" s="33"/>
      <c r="F11" s="34">
        <f>IF(D5=0,0,G11/D5)</f>
        <v>0.01857909747629</v>
      </c>
      <c r="G11" s="35">
        <v>3307.96</v>
      </c>
      <c r="H11" s="20">
        <f>G11/D$5</f>
        <v>0.01857909747629</v>
      </c>
      <c r="I11" s="28"/>
      <c r="J11" s="73"/>
      <c r="K11" s="81">
        <f>D6/D7</f>
        <v>0.0282202914875407</v>
      </c>
      <c r="L11" s="73"/>
      <c r="M11" s="73"/>
      <c r="N11" s="73"/>
      <c r="O11" s="73"/>
      <c r="P11" s="73"/>
      <c r="Q11" s="73"/>
      <c r="R11" s="73"/>
      <c r="U11" s="123">
        <v>7</v>
      </c>
      <c r="V11" s="128" t="s">
        <v>268</v>
      </c>
      <c r="W11" s="126"/>
      <c r="X11" s="32"/>
      <c r="Y11" s="154"/>
      <c r="Z11" s="54">
        <f>AA11/X5</f>
        <v>5.70934854439765</v>
      </c>
      <c r="AA11" s="46">
        <f t="shared" si="5"/>
        <v>6022754.84</v>
      </c>
      <c r="AB11" s="54">
        <f>AA11/X$5</f>
        <v>5.70934854439765</v>
      </c>
      <c r="AC11" s="151"/>
      <c r="AD11" s="151"/>
      <c r="AE11" s="151"/>
      <c r="AF11" s="46">
        <f>AA5</f>
        <v>4509285083.91</v>
      </c>
      <c r="AG11" s="151"/>
      <c r="AH11" s="151"/>
      <c r="AI11" s="151"/>
      <c r="AJ11" s="151"/>
      <c r="AK11" s="151"/>
      <c r="AL11" s="151"/>
      <c r="AO11" s="123">
        <v>7</v>
      </c>
      <c r="AP11" s="128" t="s">
        <v>268</v>
      </c>
      <c r="AQ11" s="126"/>
      <c r="AR11" s="32"/>
      <c r="AS11" s="54"/>
      <c r="AT11" s="54">
        <v>6.86488389929941</v>
      </c>
      <c r="AU11" s="46">
        <v>6019446.88</v>
      </c>
      <c r="AV11" s="54">
        <v>6.86488389929941</v>
      </c>
      <c r="AW11" s="151"/>
      <c r="AX11" s="151"/>
      <c r="AY11" s="151"/>
      <c r="AZ11" s="101">
        <v>3651207137.53</v>
      </c>
      <c r="BA11" s="151"/>
      <c r="BB11" s="151"/>
      <c r="BC11" s="151"/>
      <c r="BD11" s="151"/>
      <c r="BE11" s="151"/>
      <c r="BF11" s="151"/>
    </row>
    <row r="12" s="2" customFormat="1" ht="15.95" customHeight="1" spans="1:58">
      <c r="A12" s="16">
        <v>8</v>
      </c>
      <c r="B12" s="31" t="s">
        <v>269</v>
      </c>
      <c r="C12" s="36"/>
      <c r="D12" s="34"/>
      <c r="E12" s="37"/>
      <c r="F12" s="34">
        <f>IF(D5=0,0,G12/D5)</f>
        <v>159.165331762031</v>
      </c>
      <c r="G12" s="35">
        <f>SUM(G13:G30)</f>
        <v>28338973.490367</v>
      </c>
      <c r="H12" s="20">
        <f>G12/D$5</f>
        <v>159.165331762031</v>
      </c>
      <c r="I12" s="28"/>
      <c r="J12" s="73">
        <f>H11+H12+H31</f>
        <v>289.020047720539</v>
      </c>
      <c r="K12" s="73"/>
      <c r="L12" s="73"/>
      <c r="M12" s="73"/>
      <c r="N12" s="73">
        <f>D14*$N$4</f>
        <v>2680043.70251742</v>
      </c>
      <c r="O12" s="73"/>
      <c r="P12" s="73"/>
      <c r="Q12" s="73"/>
      <c r="R12" s="73"/>
      <c r="U12" s="16">
        <v>8</v>
      </c>
      <c r="V12" s="128" t="s">
        <v>269</v>
      </c>
      <c r="W12" s="129"/>
      <c r="X12" s="34"/>
      <c r="Y12" s="162"/>
      <c r="Z12" s="54">
        <f>AA12/X5</f>
        <v>212.315857876545</v>
      </c>
      <c r="AA12" s="54">
        <f>SUM(AA13:AA30)</f>
        <v>223970624.790367</v>
      </c>
      <c r="AB12" s="54">
        <f>AA12/X$5</f>
        <v>212.315857876545</v>
      </c>
      <c r="AC12" s="73">
        <f>AB11+AB12+AB31</f>
        <v>381.892038322479</v>
      </c>
      <c r="AD12" s="151"/>
      <c r="AE12" s="151"/>
      <c r="AF12" s="46">
        <f>AA12</f>
        <v>223970624.790367</v>
      </c>
      <c r="AG12" s="151"/>
      <c r="AH12" s="151"/>
      <c r="AI12" s="151"/>
      <c r="AJ12" s="151"/>
      <c r="AK12" s="151"/>
      <c r="AL12" s="151"/>
      <c r="AO12" s="123">
        <v>8</v>
      </c>
      <c r="AP12" s="128" t="s">
        <v>269</v>
      </c>
      <c r="AQ12" s="129"/>
      <c r="AR12" s="34"/>
      <c r="AS12" s="54"/>
      <c r="AT12" s="54">
        <v>223.108302137343</v>
      </c>
      <c r="AU12" s="54">
        <v>195631651.3</v>
      </c>
      <c r="AV12" s="54">
        <v>223.108302137343</v>
      </c>
      <c r="AW12" s="73">
        <v>400.750097785546</v>
      </c>
      <c r="AX12" s="151"/>
      <c r="AY12" s="151"/>
      <c r="AZ12" s="101">
        <v>195631651.3</v>
      </c>
      <c r="BA12" s="151"/>
      <c r="BB12" s="151"/>
      <c r="BC12" s="151"/>
      <c r="BD12" s="151"/>
      <c r="BE12" s="151"/>
      <c r="BF12" s="151"/>
    </row>
    <row r="13" s="2" customFormat="1" ht="15.95" customHeight="1" spans="1:58">
      <c r="A13" s="16">
        <v>9</v>
      </c>
      <c r="B13" s="21" t="s">
        <v>270</v>
      </c>
      <c r="C13" s="22" t="s">
        <v>271</v>
      </c>
      <c r="D13" s="38"/>
      <c r="E13" s="33"/>
      <c r="F13" s="25"/>
      <c r="G13" s="39">
        <f t="shared" ref="G13:G16" si="6">ROUND(F13*D13,2)</f>
        <v>0</v>
      </c>
      <c r="H13" s="40">
        <f>G13/D$5</f>
        <v>0</v>
      </c>
      <c r="I13" s="28"/>
      <c r="J13" s="82">
        <f>J12+M29</f>
        <v>387.352566813769</v>
      </c>
      <c r="K13" s="83"/>
      <c r="L13" s="84"/>
      <c r="M13" s="85"/>
      <c r="N13" s="73">
        <f t="shared" ref="N13:N29" si="7">D15*$N$4</f>
        <v>1326.15593600356</v>
      </c>
      <c r="O13" s="73"/>
      <c r="P13" s="73"/>
      <c r="Q13" s="73"/>
      <c r="R13" s="73"/>
      <c r="U13" s="16">
        <v>9</v>
      </c>
      <c r="V13" s="130" t="s">
        <v>272</v>
      </c>
      <c r="W13" s="22" t="s">
        <v>271</v>
      </c>
      <c r="X13" s="127">
        <f t="shared" ref="X13:X30" si="8">AR13+D13</f>
        <v>0</v>
      </c>
      <c r="Y13" s="154">
        <f>Z13*1.13</f>
        <v>0</v>
      </c>
      <c r="Z13" s="154">
        <f t="shared" ref="Z13:Z30" si="9">IF(X13=0,0,AA13/X13)</f>
        <v>0</v>
      </c>
      <c r="AA13" s="161">
        <f t="shared" ref="AA13:AA30" si="10">AU13+G13</f>
        <v>0</v>
      </c>
      <c r="AB13" s="163">
        <f>AA13/X$5</f>
        <v>0</v>
      </c>
      <c r="AC13" s="82">
        <f>AC12+AD29</f>
        <v>456.405553513036</v>
      </c>
      <c r="AD13" s="164"/>
      <c r="AE13" s="165" t="s">
        <v>121</v>
      </c>
      <c r="AF13" s="46">
        <f>AA32+AA44</f>
        <v>95055074.19</v>
      </c>
      <c r="AG13" s="181"/>
      <c r="AH13" s="151"/>
      <c r="AI13" s="151"/>
      <c r="AJ13" s="151"/>
      <c r="AK13" s="151"/>
      <c r="AL13" s="151"/>
      <c r="AO13" s="123">
        <v>9</v>
      </c>
      <c r="AP13" s="130" t="s">
        <v>99</v>
      </c>
      <c r="AQ13" s="22" t="s">
        <v>109</v>
      </c>
      <c r="AR13" s="127">
        <v>0</v>
      </c>
      <c r="AS13" s="154">
        <v>0</v>
      </c>
      <c r="AT13" s="154">
        <v>0</v>
      </c>
      <c r="AU13" s="161">
        <v>0</v>
      </c>
      <c r="AV13" s="163">
        <v>0</v>
      </c>
      <c r="AW13" s="82">
        <v>470.42706119083</v>
      </c>
      <c r="AX13" s="164"/>
      <c r="AY13" s="165" t="s">
        <v>121</v>
      </c>
      <c r="AZ13" s="101">
        <v>81740917.52</v>
      </c>
      <c r="BA13" s="181"/>
      <c r="BB13" s="151"/>
      <c r="BC13" s="151"/>
      <c r="BD13" s="151"/>
      <c r="BE13" s="151"/>
      <c r="BF13" s="151"/>
    </row>
    <row r="14" s="2" customFormat="1" ht="15.95" customHeight="1" spans="1:58">
      <c r="A14" s="16">
        <v>10</v>
      </c>
      <c r="B14" s="21" t="s">
        <v>100</v>
      </c>
      <c r="C14" s="22" t="s">
        <v>90</v>
      </c>
      <c r="D14" s="41">
        <v>2729833.027</v>
      </c>
      <c r="E14" s="33">
        <v>0.44</v>
      </c>
      <c r="F14" s="25">
        <f t="shared" ref="F14:F17" si="11">E14/1.09</f>
        <v>0.403669724770642</v>
      </c>
      <c r="G14" s="39">
        <f>ROUND(F14*D14,2)-0.01</f>
        <v>1101950.94</v>
      </c>
      <c r="H14" s="40">
        <f>G14/D$5</f>
        <v>6.18908751265113</v>
      </c>
      <c r="I14" s="28"/>
      <c r="J14" s="86"/>
      <c r="K14" s="83"/>
      <c r="L14" s="87"/>
      <c r="M14" s="85"/>
      <c r="N14" s="73">
        <f t="shared" si="7"/>
        <v>8683.90610140895</v>
      </c>
      <c r="O14" s="73"/>
      <c r="P14" s="73"/>
      <c r="Q14" s="73"/>
      <c r="R14" s="73"/>
      <c r="U14" s="123">
        <v>10</v>
      </c>
      <c r="V14" s="130" t="s">
        <v>100</v>
      </c>
      <c r="W14" s="126" t="s">
        <v>90</v>
      </c>
      <c r="X14" s="127">
        <f t="shared" si="8"/>
        <v>17155791.459</v>
      </c>
      <c r="Y14" s="154">
        <f t="shared" ref="Y14:Y17" si="12">Z14*1.09</f>
        <v>0.439999998953123</v>
      </c>
      <c r="Z14" s="154">
        <f t="shared" si="9"/>
        <v>0.403669723810205</v>
      </c>
      <c r="AA14" s="161">
        <f t="shared" si="10"/>
        <v>6925273.6</v>
      </c>
      <c r="AB14" s="163">
        <f>AA14/X$5</f>
        <v>6.56490290541454</v>
      </c>
      <c r="AC14" s="166"/>
      <c r="AD14" s="164"/>
      <c r="AE14" s="165"/>
      <c r="AF14" s="46"/>
      <c r="AG14" s="181"/>
      <c r="AH14" s="151"/>
      <c r="AI14" s="151"/>
      <c r="AJ14" s="151"/>
      <c r="AK14" s="151"/>
      <c r="AL14" s="151"/>
      <c r="AO14" s="123">
        <v>10</v>
      </c>
      <c r="AP14" s="21" t="s">
        <v>100</v>
      </c>
      <c r="AQ14" s="185" t="s">
        <v>90</v>
      </c>
      <c r="AR14" s="127">
        <v>14425958.432</v>
      </c>
      <c r="AS14" s="154">
        <v>0.439999999259668</v>
      </c>
      <c r="AT14" s="154">
        <v>0.403669724091439</v>
      </c>
      <c r="AU14" s="161">
        <v>5823322.66</v>
      </c>
      <c r="AV14" s="163">
        <v>6.64121384672132</v>
      </c>
      <c r="AW14" s="166"/>
      <c r="AX14" s="164"/>
      <c r="AY14" s="165"/>
      <c r="AZ14" s="101"/>
      <c r="BA14" s="181"/>
      <c r="BB14" s="151"/>
      <c r="BC14" s="151"/>
      <c r="BD14" s="151"/>
      <c r="BE14" s="151"/>
      <c r="BF14" s="151"/>
    </row>
    <row r="15" s="2" customFormat="1" ht="15.95" customHeight="1" spans="1:58">
      <c r="A15" s="16">
        <v>11</v>
      </c>
      <c r="B15" s="21" t="s">
        <v>101</v>
      </c>
      <c r="C15" s="22" t="s">
        <v>90</v>
      </c>
      <c r="D15" s="41">
        <v>1350.793</v>
      </c>
      <c r="E15" s="33">
        <v>8.96</v>
      </c>
      <c r="F15" s="25">
        <f t="shared" si="11"/>
        <v>8.22018348623853</v>
      </c>
      <c r="G15" s="39">
        <f t="shared" si="6"/>
        <v>11103.77</v>
      </c>
      <c r="H15" s="40">
        <f>G15/D$5</f>
        <v>0.0623641232615584</v>
      </c>
      <c r="I15" s="28"/>
      <c r="J15" s="82"/>
      <c r="K15" s="83"/>
      <c r="L15" s="84"/>
      <c r="M15" s="85"/>
      <c r="N15" s="73">
        <f t="shared" si="7"/>
        <v>15547.7205081344</v>
      </c>
      <c r="O15" s="73"/>
      <c r="P15" s="73"/>
      <c r="Q15" s="73"/>
      <c r="R15" s="73"/>
      <c r="U15" s="16">
        <v>11</v>
      </c>
      <c r="V15" s="21" t="s">
        <v>101</v>
      </c>
      <c r="W15" s="126" t="s">
        <v>90</v>
      </c>
      <c r="X15" s="127">
        <f t="shared" si="8"/>
        <v>2277.424</v>
      </c>
      <c r="Y15" s="154">
        <f t="shared" si="12"/>
        <v>8.9599984895215</v>
      </c>
      <c r="Z15" s="154">
        <f t="shared" si="9"/>
        <v>8.22018210047844</v>
      </c>
      <c r="AA15" s="161">
        <f t="shared" si="10"/>
        <v>18720.84</v>
      </c>
      <c r="AB15" s="163">
        <f>AA15/X$5</f>
        <v>0.0177466630210539</v>
      </c>
      <c r="AC15" s="166"/>
      <c r="AD15" s="164"/>
      <c r="AE15" s="165"/>
      <c r="AF15" s="46"/>
      <c r="AG15" s="181"/>
      <c r="AH15" s="151"/>
      <c r="AI15" s="151"/>
      <c r="AJ15" s="151"/>
      <c r="AK15" s="151"/>
      <c r="AL15" s="151"/>
      <c r="AO15" s="123">
        <v>11</v>
      </c>
      <c r="AP15" s="21" t="s">
        <v>101</v>
      </c>
      <c r="AQ15" s="185" t="s">
        <v>90</v>
      </c>
      <c r="AR15" s="127">
        <v>926.631</v>
      </c>
      <c r="AS15" s="154">
        <v>8.95999194933042</v>
      </c>
      <c r="AT15" s="154">
        <v>8.22017610030314</v>
      </c>
      <c r="AU15" s="161">
        <v>7617.07</v>
      </c>
      <c r="AV15" s="163">
        <v>0.00868689470067</v>
      </c>
      <c r="AW15" s="166"/>
      <c r="AX15" s="164"/>
      <c r="AY15" s="165"/>
      <c r="AZ15" s="101"/>
      <c r="BA15" s="181"/>
      <c r="BB15" s="151"/>
      <c r="BC15" s="151"/>
      <c r="BD15" s="151"/>
      <c r="BE15" s="151"/>
      <c r="BF15" s="151"/>
    </row>
    <row r="16" s="2" customFormat="1" ht="15.95" customHeight="1" spans="1:58">
      <c r="A16" s="16">
        <v>12</v>
      </c>
      <c r="B16" s="21" t="s">
        <v>102</v>
      </c>
      <c r="C16" s="22" t="s">
        <v>90</v>
      </c>
      <c r="D16" s="41">
        <v>8845.234</v>
      </c>
      <c r="E16" s="33">
        <v>19.73</v>
      </c>
      <c r="F16" s="25">
        <f t="shared" si="11"/>
        <v>18.1009174311927</v>
      </c>
      <c r="G16" s="39">
        <f t="shared" si="6"/>
        <v>160106.85</v>
      </c>
      <c r="H16" s="40">
        <f>G16/D$5</f>
        <v>0.899237225592735</v>
      </c>
      <c r="I16" s="28"/>
      <c r="J16" s="86"/>
      <c r="K16" s="83"/>
      <c r="L16" s="84"/>
      <c r="M16" s="85"/>
      <c r="N16" s="73">
        <f t="shared" si="7"/>
        <v>11219737.0284879</v>
      </c>
      <c r="O16" s="73"/>
      <c r="P16" s="73"/>
      <c r="Q16" s="73"/>
      <c r="R16" s="73"/>
      <c r="U16" s="16">
        <v>12</v>
      </c>
      <c r="V16" s="21" t="s">
        <v>102</v>
      </c>
      <c r="W16" s="126" t="s">
        <v>90</v>
      </c>
      <c r="X16" s="127">
        <f t="shared" si="8"/>
        <v>71146.655</v>
      </c>
      <c r="Y16" s="154">
        <f t="shared" si="12"/>
        <v>19.7300003422508</v>
      </c>
      <c r="Z16" s="154">
        <f t="shared" si="9"/>
        <v>18.1009177451842</v>
      </c>
      <c r="AA16" s="161">
        <f t="shared" si="10"/>
        <v>1287819.75</v>
      </c>
      <c r="AB16" s="163">
        <f>AA16/X$5</f>
        <v>1.2208054304779</v>
      </c>
      <c r="AC16" s="166"/>
      <c r="AD16" s="164"/>
      <c r="AE16" s="165"/>
      <c r="AF16" s="46"/>
      <c r="AG16" s="181"/>
      <c r="AH16" s="151"/>
      <c r="AI16" s="151"/>
      <c r="AJ16" s="151"/>
      <c r="AK16" s="151"/>
      <c r="AL16" s="151"/>
      <c r="AO16" s="123">
        <v>12</v>
      </c>
      <c r="AP16" s="21" t="s">
        <v>102</v>
      </c>
      <c r="AQ16" s="185" t="s">
        <v>90</v>
      </c>
      <c r="AR16" s="127">
        <v>62301.421</v>
      </c>
      <c r="AS16" s="154">
        <v>19.7300003959781</v>
      </c>
      <c r="AT16" s="154">
        <v>18.1009177944753</v>
      </c>
      <c r="AU16" s="161">
        <v>1127712.9</v>
      </c>
      <c r="AV16" s="163">
        <v>1.28610124560851</v>
      </c>
      <c r="AW16" s="166"/>
      <c r="AX16" s="164"/>
      <c r="AY16" s="165"/>
      <c r="AZ16" s="101"/>
      <c r="BA16" s="181"/>
      <c r="BB16" s="151"/>
      <c r="BC16" s="151"/>
      <c r="BD16" s="151"/>
      <c r="BE16" s="151"/>
      <c r="BF16" s="151"/>
    </row>
    <row r="17" s="2" customFormat="1" ht="15.95" customHeight="1" spans="1:58">
      <c r="A17" s="16">
        <v>13</v>
      </c>
      <c r="B17" s="21" t="s">
        <v>273</v>
      </c>
      <c r="C17" s="22" t="s">
        <v>90</v>
      </c>
      <c r="D17" s="41">
        <v>15836.563</v>
      </c>
      <c r="E17" s="33">
        <v>4.73</v>
      </c>
      <c r="F17" s="25">
        <f t="shared" si="11"/>
        <v>4.3394495412844</v>
      </c>
      <c r="G17" s="39">
        <f>ROUND(F17*D17,2)-0.01</f>
        <v>68721.96</v>
      </c>
      <c r="H17" s="40">
        <f>G17/D$5</f>
        <v>0.385975644687875</v>
      </c>
      <c r="I17" s="28"/>
      <c r="J17" s="86"/>
      <c r="K17" s="83"/>
      <c r="L17" s="84"/>
      <c r="M17" s="85"/>
      <c r="N17" s="73">
        <f t="shared" si="7"/>
        <v>0</v>
      </c>
      <c r="O17" s="73"/>
      <c r="P17" s="73"/>
      <c r="Q17" s="73"/>
      <c r="R17" s="73"/>
      <c r="U17" s="123">
        <v>13</v>
      </c>
      <c r="V17" s="21" t="s">
        <v>273</v>
      </c>
      <c r="W17" s="126" t="s">
        <v>90</v>
      </c>
      <c r="X17" s="127">
        <f t="shared" si="8"/>
        <v>145642.813</v>
      </c>
      <c r="Y17" s="154">
        <f t="shared" si="12"/>
        <v>4.72999993964687</v>
      </c>
      <c r="Z17" s="154">
        <f t="shared" si="9"/>
        <v>4.33944948591456</v>
      </c>
      <c r="AA17" s="161">
        <f t="shared" si="10"/>
        <v>632009.63</v>
      </c>
      <c r="AB17" s="163">
        <f>AA17/X$5</f>
        <v>0.599121723687129</v>
      </c>
      <c r="AC17" s="166"/>
      <c r="AD17" s="164"/>
      <c r="AE17" s="165"/>
      <c r="AF17" s="46">
        <f>AA29+AA30</f>
        <v>101203193.710367</v>
      </c>
      <c r="AG17" s="181"/>
      <c r="AH17" s="151"/>
      <c r="AI17" s="151"/>
      <c r="AJ17" s="151"/>
      <c r="AK17" s="151"/>
      <c r="AL17" s="151"/>
      <c r="AO17" s="123">
        <v>13</v>
      </c>
      <c r="AP17" s="21" t="s">
        <v>273</v>
      </c>
      <c r="AQ17" s="185" t="s">
        <v>90</v>
      </c>
      <c r="AR17" s="127">
        <v>129806.25</v>
      </c>
      <c r="AS17" s="154">
        <v>4.72999998305166</v>
      </c>
      <c r="AT17" s="154">
        <v>4.33944952573547</v>
      </c>
      <c r="AU17" s="161">
        <v>563287.67</v>
      </c>
      <c r="AV17" s="163">
        <v>0.642401957114186</v>
      </c>
      <c r="AW17" s="166"/>
      <c r="AX17" s="164"/>
      <c r="AY17" s="165"/>
      <c r="AZ17" s="101">
        <v>93231818.89</v>
      </c>
      <c r="BA17" s="181"/>
      <c r="BB17" s="151"/>
      <c r="BC17" s="151"/>
      <c r="BD17" s="151"/>
      <c r="BE17" s="151"/>
      <c r="BF17" s="151"/>
    </row>
    <row r="18" s="2" customFormat="1" ht="15.95" customHeight="1" spans="1:58">
      <c r="A18" s="16">
        <v>14</v>
      </c>
      <c r="B18" s="21" t="s">
        <v>104</v>
      </c>
      <c r="C18" s="42" t="s">
        <v>105</v>
      </c>
      <c r="D18" s="41">
        <v>11428175.095</v>
      </c>
      <c r="E18" s="33">
        <v>0.63</v>
      </c>
      <c r="F18" s="25">
        <f t="shared" ref="F18:F24" si="13">E18/1.13</f>
        <v>0.557522123893805</v>
      </c>
      <c r="G18" s="39">
        <f t="shared" ref="G18:G26" si="14">ROUND(F18*D18,2)</f>
        <v>6371460.45</v>
      </c>
      <c r="H18" s="40">
        <f>G18/D$5</f>
        <v>35.7851923139568</v>
      </c>
      <c r="I18" s="28"/>
      <c r="J18" s="86"/>
      <c r="K18" s="83"/>
      <c r="L18" s="84"/>
      <c r="M18" s="85"/>
      <c r="N18" s="73">
        <f t="shared" si="7"/>
        <v>85313.3160046145</v>
      </c>
      <c r="O18" s="73"/>
      <c r="P18" s="73"/>
      <c r="Q18" s="73"/>
      <c r="R18" s="73"/>
      <c r="U18" s="16">
        <v>14</v>
      </c>
      <c r="V18" s="131" t="s">
        <v>104</v>
      </c>
      <c r="W18" s="132" t="s">
        <v>105</v>
      </c>
      <c r="X18" s="127">
        <f t="shared" si="8"/>
        <v>72335789.034</v>
      </c>
      <c r="Y18" s="154">
        <f t="shared" ref="Y18:Y24" si="15">Z18*1.13</f>
        <v>0.629999999909865</v>
      </c>
      <c r="Z18" s="154">
        <f t="shared" si="9"/>
        <v>0.55752212381404</v>
      </c>
      <c r="AA18" s="161">
        <f t="shared" si="10"/>
        <v>40328802.73</v>
      </c>
      <c r="AB18" s="163">
        <f>AA18/X$5</f>
        <v>38.2302114697774</v>
      </c>
      <c r="AC18" s="166"/>
      <c r="AD18" s="164"/>
      <c r="AE18" s="165"/>
      <c r="AF18" s="46">
        <f>AA12-AA29-AA30</f>
        <v>122767431.08</v>
      </c>
      <c r="AG18" s="181"/>
      <c r="AH18" s="151"/>
      <c r="AI18" s="151"/>
      <c r="AJ18" s="151"/>
      <c r="AK18" s="151"/>
      <c r="AL18" s="151"/>
      <c r="AO18" s="123">
        <v>14</v>
      </c>
      <c r="AP18" s="131" t="s">
        <v>104</v>
      </c>
      <c r="AQ18" s="185" t="s">
        <v>105</v>
      </c>
      <c r="AR18" s="127">
        <v>60907613.939</v>
      </c>
      <c r="AS18" s="154">
        <v>0.629999999915117</v>
      </c>
      <c r="AT18" s="154">
        <v>0.557522123818688</v>
      </c>
      <c r="AU18" s="161">
        <v>33957342.28</v>
      </c>
      <c r="AV18" s="163">
        <v>38.7266831867069</v>
      </c>
      <c r="AW18" s="166"/>
      <c r="AX18" s="164"/>
      <c r="AY18" s="165"/>
      <c r="AZ18" s="101">
        <v>102399832.41</v>
      </c>
      <c r="BA18" s="181"/>
      <c r="BB18" s="151"/>
      <c r="BC18" s="151"/>
      <c r="BD18" s="151"/>
      <c r="BE18" s="151"/>
      <c r="BF18" s="151"/>
    </row>
    <row r="19" s="2" customFormat="1" ht="15.95" customHeight="1" spans="1:58">
      <c r="A19" s="16">
        <v>15</v>
      </c>
      <c r="B19" s="21" t="s">
        <v>104</v>
      </c>
      <c r="C19" s="43" t="s">
        <v>106</v>
      </c>
      <c r="D19" s="41"/>
      <c r="E19" s="33"/>
      <c r="F19" s="25"/>
      <c r="G19" s="39">
        <f t="shared" si="14"/>
        <v>0</v>
      </c>
      <c r="H19" s="40">
        <f>G19/D$5</f>
        <v>0</v>
      </c>
      <c r="I19" s="28"/>
      <c r="J19" s="86"/>
      <c r="K19" s="83"/>
      <c r="L19" s="84"/>
      <c r="M19" s="85"/>
      <c r="N19" s="73">
        <f t="shared" si="7"/>
        <v>795125.265299016</v>
      </c>
      <c r="O19" s="73"/>
      <c r="P19" s="73"/>
      <c r="Q19" s="73"/>
      <c r="R19" s="73"/>
      <c r="U19" s="16">
        <v>15</v>
      </c>
      <c r="V19" s="131" t="s">
        <v>104</v>
      </c>
      <c r="W19" s="133" t="s">
        <v>106</v>
      </c>
      <c r="X19" s="127">
        <f t="shared" si="8"/>
        <v>0</v>
      </c>
      <c r="Y19" s="154">
        <f t="shared" si="15"/>
        <v>0</v>
      </c>
      <c r="Z19" s="154">
        <f t="shared" si="9"/>
        <v>0</v>
      </c>
      <c r="AA19" s="161">
        <f t="shared" si="10"/>
        <v>0</v>
      </c>
      <c r="AB19" s="163">
        <f>AA19/X$5</f>
        <v>0</v>
      </c>
      <c r="AC19" s="166"/>
      <c r="AD19" s="164"/>
      <c r="AE19" s="165"/>
      <c r="AF19" s="46">
        <f>AA31-AA32-AA34-AA44</f>
        <v>57659778.12</v>
      </c>
      <c r="AG19" s="181"/>
      <c r="AH19" s="151"/>
      <c r="AI19" s="151"/>
      <c r="AJ19" s="151"/>
      <c r="AK19" s="151"/>
      <c r="AL19" s="151"/>
      <c r="AO19" s="123">
        <v>15</v>
      </c>
      <c r="AP19" s="131" t="s">
        <v>104</v>
      </c>
      <c r="AQ19" s="101" t="s">
        <v>106</v>
      </c>
      <c r="AR19" s="127">
        <v>0</v>
      </c>
      <c r="AS19" s="154">
        <v>0</v>
      </c>
      <c r="AT19" s="154">
        <v>0</v>
      </c>
      <c r="AU19" s="161">
        <v>0</v>
      </c>
      <c r="AV19" s="163">
        <v>0</v>
      </c>
      <c r="AW19" s="166"/>
      <c r="AX19" s="164"/>
      <c r="AY19" s="165"/>
      <c r="AZ19" s="101">
        <v>49772564.46</v>
      </c>
      <c r="BA19" s="181"/>
      <c r="BB19" s="151"/>
      <c r="BC19" s="151"/>
      <c r="BD19" s="151"/>
      <c r="BE19" s="151"/>
      <c r="BF19" s="151"/>
    </row>
    <row r="20" s="2" customFormat="1" ht="15.95" customHeight="1" spans="1:58">
      <c r="A20" s="16">
        <v>16</v>
      </c>
      <c r="B20" s="21" t="s">
        <v>107</v>
      </c>
      <c r="C20" s="22" t="s">
        <v>90</v>
      </c>
      <c r="D20" s="41">
        <v>86898.25</v>
      </c>
      <c r="E20" s="33">
        <v>226.93</v>
      </c>
      <c r="F20" s="25">
        <f>E20/1.09</f>
        <v>208.192660550459</v>
      </c>
      <c r="G20" s="39">
        <f t="shared" si="14"/>
        <v>18091577.86</v>
      </c>
      <c r="H20" s="40">
        <f>G20/D$5</f>
        <v>101.611019649824</v>
      </c>
      <c r="I20" s="28"/>
      <c r="J20" s="86"/>
      <c r="K20" s="83"/>
      <c r="L20" s="84"/>
      <c r="M20" s="85"/>
      <c r="N20" s="73">
        <f t="shared" si="7"/>
        <v>0</v>
      </c>
      <c r="O20" s="73"/>
      <c r="P20" s="73"/>
      <c r="Q20" s="73"/>
      <c r="R20" s="73"/>
      <c r="U20" s="123">
        <v>16</v>
      </c>
      <c r="V20" s="130" t="s">
        <v>107</v>
      </c>
      <c r="W20" s="126" t="s">
        <v>90</v>
      </c>
      <c r="X20" s="127">
        <f t="shared" si="8"/>
        <v>511485.875</v>
      </c>
      <c r="Y20" s="154">
        <f>Z20*1.09</f>
        <v>226.929999999511</v>
      </c>
      <c r="Z20" s="154">
        <f t="shared" si="9"/>
        <v>208.19266055001</v>
      </c>
      <c r="AA20" s="161">
        <f t="shared" si="10"/>
        <v>106487605.15</v>
      </c>
      <c r="AB20" s="163">
        <f>AA20/X$5</f>
        <v>100.946306069391</v>
      </c>
      <c r="AC20" s="166"/>
      <c r="AD20" s="164"/>
      <c r="AE20" s="165"/>
      <c r="AF20" s="101"/>
      <c r="AG20" s="181"/>
      <c r="AH20" s="151"/>
      <c r="AI20" s="151"/>
      <c r="AJ20" s="151"/>
      <c r="AK20" s="151"/>
      <c r="AL20" s="151"/>
      <c r="AO20" s="123">
        <v>16</v>
      </c>
      <c r="AP20" s="130" t="s">
        <v>107</v>
      </c>
      <c r="AQ20" s="185" t="s">
        <v>90</v>
      </c>
      <c r="AR20" s="127">
        <v>424587.625</v>
      </c>
      <c r="AS20" s="154">
        <v>226.930000011423</v>
      </c>
      <c r="AT20" s="154">
        <v>208.192660560938</v>
      </c>
      <c r="AU20" s="161">
        <v>88396027.29</v>
      </c>
      <c r="AV20" s="163">
        <v>100.811333101282</v>
      </c>
      <c r="AW20" s="166"/>
      <c r="AX20" s="164"/>
      <c r="AY20" s="165"/>
      <c r="AZ20" s="187"/>
      <c r="BA20" s="181"/>
      <c r="BB20" s="151"/>
      <c r="BC20" s="151"/>
      <c r="BD20" s="151"/>
      <c r="BE20" s="151"/>
      <c r="BF20" s="151"/>
    </row>
    <row r="21" s="2" customFormat="1" ht="15.95" customHeight="1" spans="1:58">
      <c r="A21" s="16">
        <v>17</v>
      </c>
      <c r="B21" s="21" t="s">
        <v>108</v>
      </c>
      <c r="C21" s="22" t="s">
        <v>271</v>
      </c>
      <c r="D21" s="41">
        <v>809896.946</v>
      </c>
      <c r="E21" s="44">
        <v>0.26</v>
      </c>
      <c r="F21" s="25">
        <f t="shared" si="13"/>
        <v>0.230088495575221</v>
      </c>
      <c r="G21" s="39">
        <f t="shared" si="14"/>
        <v>186347.97</v>
      </c>
      <c r="H21" s="40">
        <f>G21/D$5</f>
        <v>1.04662000119069</v>
      </c>
      <c r="I21" s="28"/>
      <c r="J21" s="86"/>
      <c r="K21" s="83" t="s">
        <v>274</v>
      </c>
      <c r="L21" s="84"/>
      <c r="M21" s="85"/>
      <c r="N21" s="73">
        <f t="shared" si="7"/>
        <v>240346.976176007</v>
      </c>
      <c r="O21" s="73"/>
      <c r="P21" s="73"/>
      <c r="Q21" s="73"/>
      <c r="R21" s="73"/>
      <c r="U21" s="16">
        <v>17</v>
      </c>
      <c r="V21" s="130" t="s">
        <v>108</v>
      </c>
      <c r="W21" s="126" t="s">
        <v>271</v>
      </c>
      <c r="X21" s="127">
        <f t="shared" si="8"/>
        <v>6314094.869</v>
      </c>
      <c r="Y21" s="154">
        <f t="shared" si="15"/>
        <v>0.260000001910012</v>
      </c>
      <c r="Z21" s="154">
        <f t="shared" si="9"/>
        <v>0.230088497265498</v>
      </c>
      <c r="AA21" s="161">
        <f t="shared" si="10"/>
        <v>1452800.6</v>
      </c>
      <c r="AB21" s="163">
        <f>AA21/X$5</f>
        <v>1.37720116645326</v>
      </c>
      <c r="AC21" s="166"/>
      <c r="AD21" s="164"/>
      <c r="AE21" s="165"/>
      <c r="AF21" s="101"/>
      <c r="AG21" s="181"/>
      <c r="AH21" s="151"/>
      <c r="AI21" s="151"/>
      <c r="AJ21" s="151"/>
      <c r="AK21" s="151"/>
      <c r="AL21" s="151"/>
      <c r="AO21" s="123">
        <v>17</v>
      </c>
      <c r="AP21" s="130" t="s">
        <v>108</v>
      </c>
      <c r="AQ21" s="126" t="s">
        <v>109</v>
      </c>
      <c r="AR21" s="127">
        <v>5504197.923</v>
      </c>
      <c r="AS21" s="154">
        <v>0.26000000216562</v>
      </c>
      <c r="AT21" s="154">
        <v>0.230088497491699</v>
      </c>
      <c r="AU21" s="161">
        <v>1266452.63</v>
      </c>
      <c r="AV21" s="163">
        <v>1.44432710217926</v>
      </c>
      <c r="AW21" s="166"/>
      <c r="AX21" s="164"/>
      <c r="AY21" s="165"/>
      <c r="AZ21" s="187"/>
      <c r="BA21" s="181"/>
      <c r="BB21" s="151"/>
      <c r="BC21" s="151"/>
      <c r="BD21" s="151"/>
      <c r="BE21" s="151"/>
      <c r="BF21" s="151"/>
    </row>
    <row r="22" s="2" customFormat="1" ht="15.95" customHeight="1" spans="1:58">
      <c r="A22" s="16">
        <v>18</v>
      </c>
      <c r="B22" s="21" t="s">
        <v>110</v>
      </c>
      <c r="C22" s="22" t="s">
        <v>271</v>
      </c>
      <c r="D22" s="41"/>
      <c r="E22" s="44">
        <v>0.5</v>
      </c>
      <c r="F22" s="25">
        <f t="shared" si="13"/>
        <v>0.442477876106195</v>
      </c>
      <c r="G22" s="39">
        <f t="shared" si="14"/>
        <v>0</v>
      </c>
      <c r="H22" s="40">
        <f>G22/D$5</f>
        <v>0</v>
      </c>
      <c r="I22" s="28"/>
      <c r="J22" s="86"/>
      <c r="K22" s="83">
        <f>SUM(G14:G24)+G29</f>
        <v>34001646.360367</v>
      </c>
      <c r="L22" s="84"/>
      <c r="M22" s="85"/>
      <c r="N22" s="73">
        <f t="shared" si="7"/>
        <v>35.5328772001164</v>
      </c>
      <c r="O22" s="73"/>
      <c r="P22" s="73"/>
      <c r="Q22" s="73"/>
      <c r="R22" s="73"/>
      <c r="U22" s="16">
        <v>18</v>
      </c>
      <c r="V22" s="130" t="s">
        <v>110</v>
      </c>
      <c r="W22" s="126" t="s">
        <v>271</v>
      </c>
      <c r="X22" s="127">
        <f t="shared" si="8"/>
        <v>0</v>
      </c>
      <c r="Y22" s="154">
        <f t="shared" si="15"/>
        <v>0</v>
      </c>
      <c r="Z22" s="154">
        <f t="shared" si="9"/>
        <v>0</v>
      </c>
      <c r="AA22" s="161">
        <f t="shared" si="10"/>
        <v>0</v>
      </c>
      <c r="AB22" s="163">
        <f>AA22/X$5</f>
        <v>0</v>
      </c>
      <c r="AC22" s="166"/>
      <c r="AD22" s="164"/>
      <c r="AE22" s="165"/>
      <c r="AF22" s="101"/>
      <c r="AG22" s="181"/>
      <c r="AH22" s="151"/>
      <c r="AI22" s="151"/>
      <c r="AJ22" s="151"/>
      <c r="AK22" s="151"/>
      <c r="AL22" s="151"/>
      <c r="AO22" s="123">
        <v>18</v>
      </c>
      <c r="AP22" s="130" t="s">
        <v>110</v>
      </c>
      <c r="AQ22" s="126" t="s">
        <v>109</v>
      </c>
      <c r="AR22" s="127">
        <v>0</v>
      </c>
      <c r="AS22" s="154">
        <v>0</v>
      </c>
      <c r="AT22" s="154">
        <v>0</v>
      </c>
      <c r="AU22" s="161">
        <v>0</v>
      </c>
      <c r="AV22" s="163">
        <v>0</v>
      </c>
      <c r="AW22" s="166"/>
      <c r="AX22" s="164"/>
      <c r="AY22" s="165"/>
      <c r="AZ22" s="187"/>
      <c r="BA22" s="181"/>
      <c r="BB22" s="151"/>
      <c r="BC22" s="151"/>
      <c r="BD22" s="151"/>
      <c r="BE22" s="151"/>
      <c r="BF22" s="151"/>
    </row>
    <row r="23" s="2" customFormat="1" ht="15.95" customHeight="1" spans="1:58">
      <c r="A23" s="16">
        <v>19</v>
      </c>
      <c r="B23" s="21" t="s">
        <v>111</v>
      </c>
      <c r="C23" s="22" t="s">
        <v>271</v>
      </c>
      <c r="D23" s="41">
        <v>244812.095</v>
      </c>
      <c r="E23" s="33">
        <v>0.18</v>
      </c>
      <c r="F23" s="25">
        <f t="shared" si="13"/>
        <v>0.15929203539823</v>
      </c>
      <c r="G23" s="39">
        <f t="shared" si="14"/>
        <v>38996.62</v>
      </c>
      <c r="H23" s="40">
        <f>G23/D$5</f>
        <v>0.21902381051338</v>
      </c>
      <c r="I23" s="28"/>
      <c r="J23" s="86"/>
      <c r="K23" s="83">
        <f>K22-G29</f>
        <v>26030271.54</v>
      </c>
      <c r="L23" s="84"/>
      <c r="M23" s="85"/>
      <c r="N23" s="73">
        <f t="shared" si="7"/>
        <v>0</v>
      </c>
      <c r="O23" s="73"/>
      <c r="P23" s="73"/>
      <c r="Q23" s="73"/>
      <c r="R23" s="73"/>
      <c r="U23" s="123">
        <v>19</v>
      </c>
      <c r="V23" s="130" t="s">
        <v>111</v>
      </c>
      <c r="W23" s="126" t="s">
        <v>271</v>
      </c>
      <c r="X23" s="127">
        <f t="shared" si="8"/>
        <v>1470296.069</v>
      </c>
      <c r="Y23" s="154">
        <f t="shared" si="15"/>
        <v>0.180000012704924</v>
      </c>
      <c r="Z23" s="154">
        <f t="shared" si="9"/>
        <v>0.159292046641526</v>
      </c>
      <c r="AA23" s="161">
        <f t="shared" si="10"/>
        <v>234206.47</v>
      </c>
      <c r="AB23" s="163">
        <f>AA23/X$5</f>
        <v>0.222019060065711</v>
      </c>
      <c r="AC23" s="166"/>
      <c r="AD23" s="164"/>
      <c r="AE23" s="165"/>
      <c r="AF23" s="101"/>
      <c r="AG23" s="181"/>
      <c r="AH23" s="151"/>
      <c r="AI23" s="151"/>
      <c r="AJ23" s="151"/>
      <c r="AK23" s="151"/>
      <c r="AL23" s="151"/>
      <c r="AO23" s="123">
        <v>19</v>
      </c>
      <c r="AP23" s="21" t="s">
        <v>111</v>
      </c>
      <c r="AQ23" s="126" t="s">
        <v>109</v>
      </c>
      <c r="AR23" s="127">
        <v>1225483.974</v>
      </c>
      <c r="AS23" s="154">
        <v>0.180000012386943</v>
      </c>
      <c r="AT23" s="154">
        <v>0.159292046360126</v>
      </c>
      <c r="AU23" s="161">
        <v>195209.85</v>
      </c>
      <c r="AV23" s="163">
        <v>0.222627258444991</v>
      </c>
      <c r="AW23" s="166"/>
      <c r="AX23" s="164"/>
      <c r="AY23" s="165"/>
      <c r="AZ23" s="187"/>
      <c r="BA23" s="181"/>
      <c r="BB23" s="151"/>
      <c r="BC23" s="151"/>
      <c r="BD23" s="151"/>
      <c r="BE23" s="151"/>
      <c r="BF23" s="151"/>
    </row>
    <row r="24" s="2" customFormat="1" ht="15.95" customHeight="1" spans="1:58">
      <c r="A24" s="16">
        <v>20</v>
      </c>
      <c r="B24" s="21" t="s">
        <v>112</v>
      </c>
      <c r="C24" s="22" t="s">
        <v>271</v>
      </c>
      <c r="D24" s="41">
        <v>36.193</v>
      </c>
      <c r="E24" s="33">
        <v>0.16</v>
      </c>
      <c r="F24" s="25">
        <f t="shared" si="13"/>
        <v>0.141592920353982</v>
      </c>
      <c r="G24" s="39">
        <f t="shared" si="14"/>
        <v>5.12</v>
      </c>
      <c r="H24" s="40">
        <f>G24/D$5</f>
        <v>2.87563873440443e-5</v>
      </c>
      <c r="I24" s="28"/>
      <c r="J24" s="86"/>
      <c r="K24" s="83"/>
      <c r="L24" s="84"/>
      <c r="M24" s="85"/>
      <c r="N24" s="73">
        <f t="shared" si="7"/>
        <v>-39132.6267611883</v>
      </c>
      <c r="O24" s="73"/>
      <c r="P24" s="73"/>
      <c r="Q24" s="73"/>
      <c r="R24" s="73"/>
      <c r="U24" s="16">
        <v>20</v>
      </c>
      <c r="V24" s="130" t="s">
        <v>112</v>
      </c>
      <c r="W24" s="126" t="s">
        <v>271</v>
      </c>
      <c r="X24" s="127">
        <f t="shared" si="8"/>
        <v>2174.343</v>
      </c>
      <c r="Y24" s="154">
        <f t="shared" si="15"/>
        <v>0.160004378334053</v>
      </c>
      <c r="Z24" s="154">
        <f t="shared" si="9"/>
        <v>0.141596794985888</v>
      </c>
      <c r="AA24" s="161">
        <f t="shared" si="10"/>
        <v>307.88</v>
      </c>
      <c r="AB24" s="163">
        <f>AA24/X$5</f>
        <v>0.000291858838114212</v>
      </c>
      <c r="AC24" s="166"/>
      <c r="AD24" s="164"/>
      <c r="AE24" s="165"/>
      <c r="AF24" s="101"/>
      <c r="AG24" s="181"/>
      <c r="AH24" s="151"/>
      <c r="AI24" s="151"/>
      <c r="AJ24" s="151"/>
      <c r="AK24" s="151"/>
      <c r="AL24" s="151"/>
      <c r="AO24" s="123">
        <v>20</v>
      </c>
      <c r="AP24" s="21" t="s">
        <v>112</v>
      </c>
      <c r="AQ24" s="126" t="s">
        <v>109</v>
      </c>
      <c r="AR24" s="127">
        <v>2138.15</v>
      </c>
      <c r="AS24" s="154">
        <v>0.160006921871711</v>
      </c>
      <c r="AT24" s="154">
        <v>0.141599045904169</v>
      </c>
      <c r="AU24" s="161">
        <v>302.76</v>
      </c>
      <c r="AV24" s="163">
        <v>0.000345282928944443</v>
      </c>
      <c r="AW24" s="166"/>
      <c r="AX24" s="164"/>
      <c r="AY24" s="165"/>
      <c r="AZ24" s="187"/>
      <c r="BA24" s="181"/>
      <c r="BB24" s="151"/>
      <c r="BC24" s="151"/>
      <c r="BD24" s="151"/>
      <c r="BE24" s="151"/>
      <c r="BF24" s="151"/>
    </row>
    <row r="25" s="2" customFormat="1" ht="15.75" customHeight="1" spans="1:58">
      <c r="A25" s="16">
        <v>21</v>
      </c>
      <c r="B25" s="21" t="s">
        <v>275</v>
      </c>
      <c r="C25" s="22" t="s">
        <v>90</v>
      </c>
      <c r="D25" s="41"/>
      <c r="E25" s="33">
        <v>113.46</v>
      </c>
      <c r="F25" s="25">
        <f t="shared" ref="F25:F30" si="16">E25/1.09</f>
        <v>104.091743119266</v>
      </c>
      <c r="G25" s="39">
        <f t="shared" si="14"/>
        <v>0</v>
      </c>
      <c r="H25" s="40">
        <f>G25/D$5</f>
        <v>0</v>
      </c>
      <c r="I25" s="28"/>
      <c r="J25" s="86"/>
      <c r="K25" s="88"/>
      <c r="N25" s="73">
        <f t="shared" si="7"/>
        <v>-45167.7013334651</v>
      </c>
      <c r="O25" s="89"/>
      <c r="P25" s="73"/>
      <c r="Q25" s="73"/>
      <c r="R25" s="73"/>
      <c r="U25" s="16">
        <v>21</v>
      </c>
      <c r="V25" s="130" t="s">
        <v>276</v>
      </c>
      <c r="W25" s="126" t="s">
        <v>90</v>
      </c>
      <c r="X25" s="127">
        <f t="shared" si="8"/>
        <v>-34685.016</v>
      </c>
      <c r="Y25" s="154">
        <f t="shared" ref="Y25:Y28" si="17">Z25*1.09</f>
        <v>113.459999825285</v>
      </c>
      <c r="Z25" s="154">
        <f t="shared" si="9"/>
        <v>104.091742958977</v>
      </c>
      <c r="AA25" s="161">
        <f t="shared" si="10"/>
        <v>-3610423.77</v>
      </c>
      <c r="AB25" s="163">
        <f>AA25/X$5</f>
        <v>-3.42254802719285</v>
      </c>
      <c r="AC25" s="166"/>
      <c r="AD25" s="164"/>
      <c r="AE25" s="165"/>
      <c r="AF25" s="101"/>
      <c r="AG25" s="181"/>
      <c r="AH25" s="151"/>
      <c r="AI25" s="151"/>
      <c r="AJ25" s="151"/>
      <c r="AK25" s="151"/>
      <c r="AL25" s="151"/>
      <c r="AO25" s="123">
        <v>21</v>
      </c>
      <c r="AP25" s="130" t="s">
        <v>277</v>
      </c>
      <c r="AQ25" s="185" t="s">
        <v>90</v>
      </c>
      <c r="AR25" s="127">
        <v>-34685.016</v>
      </c>
      <c r="AS25" s="154">
        <v>113.459999825285</v>
      </c>
      <c r="AT25" s="154">
        <v>104.091742958977</v>
      </c>
      <c r="AU25" s="161">
        <v>-3610423.77</v>
      </c>
      <c r="AV25" s="163">
        <v>-4.11751121031919</v>
      </c>
      <c r="AW25" s="166"/>
      <c r="AX25" s="164"/>
      <c r="AY25" s="165"/>
      <c r="AZ25" s="167"/>
      <c r="BA25" s="181"/>
      <c r="BB25" s="151"/>
      <c r="BC25" s="151"/>
      <c r="BD25" s="151"/>
      <c r="BE25" s="151"/>
      <c r="BF25" s="151"/>
    </row>
    <row r="26" s="2" customFormat="1" ht="15.95" customHeight="1" spans="1:58">
      <c r="A26" s="16">
        <v>22</v>
      </c>
      <c r="B26" s="21" t="s">
        <v>278</v>
      </c>
      <c r="C26" s="22" t="s">
        <v>90</v>
      </c>
      <c r="D26" s="41">
        <v>-39859.625</v>
      </c>
      <c r="E26" s="33">
        <v>150.95</v>
      </c>
      <c r="F26" s="25">
        <f t="shared" si="16"/>
        <v>138.48623853211</v>
      </c>
      <c r="G26" s="39">
        <f t="shared" si="14"/>
        <v>-5520009.54</v>
      </c>
      <c r="H26" s="40">
        <f>G26/D$5</f>
        <v>-31.0030336865352</v>
      </c>
      <c r="I26" s="28"/>
      <c r="J26" s="90"/>
      <c r="K26" s="91"/>
      <c r="L26" s="90"/>
      <c r="M26" s="92"/>
      <c r="N26" s="73">
        <f t="shared" si="7"/>
        <v>0</v>
      </c>
      <c r="O26" s="73"/>
      <c r="P26" s="73"/>
      <c r="Q26" s="73"/>
      <c r="R26" s="73"/>
      <c r="U26" s="123">
        <v>22</v>
      </c>
      <c r="V26" s="130" t="s">
        <v>279</v>
      </c>
      <c r="W26" s="126" t="s">
        <v>90</v>
      </c>
      <c r="X26" s="127">
        <f t="shared" si="8"/>
        <v>-216790.751</v>
      </c>
      <c r="Y26" s="154">
        <f t="shared" si="17"/>
        <v>150.949999977167</v>
      </c>
      <c r="Z26" s="154">
        <f t="shared" si="9"/>
        <v>138.486238511162</v>
      </c>
      <c r="AA26" s="161">
        <f t="shared" si="10"/>
        <v>-30022535.65</v>
      </c>
      <c r="AB26" s="163">
        <f>AA26/X$5</f>
        <v>-28.4602519554746</v>
      </c>
      <c r="AC26" s="166"/>
      <c r="AD26" s="164"/>
      <c r="AE26" s="165"/>
      <c r="AF26" s="167"/>
      <c r="AG26" s="181"/>
      <c r="AH26" s="151"/>
      <c r="AI26" s="151"/>
      <c r="AJ26" s="151"/>
      <c r="AK26" s="151"/>
      <c r="AL26" s="151"/>
      <c r="AO26" s="123">
        <v>22</v>
      </c>
      <c r="AP26" s="130" t="s">
        <v>280</v>
      </c>
      <c r="AQ26" s="185" t="s">
        <v>90</v>
      </c>
      <c r="AR26" s="127">
        <v>-176931.126</v>
      </c>
      <c r="AS26" s="154">
        <v>150.949999944611</v>
      </c>
      <c r="AT26" s="154">
        <v>138.486238481295</v>
      </c>
      <c r="AU26" s="161">
        <v>-24502526.11</v>
      </c>
      <c r="AV26" s="163">
        <v>-27.9439291247143</v>
      </c>
      <c r="AW26" s="166"/>
      <c r="AX26" s="164"/>
      <c r="AY26" s="165"/>
      <c r="AZ26" s="167"/>
      <c r="BA26" s="181"/>
      <c r="BB26" s="151"/>
      <c r="BC26" s="151"/>
      <c r="BD26" s="151"/>
      <c r="BE26" s="151"/>
      <c r="BF26" s="151"/>
    </row>
    <row r="27" s="2" customFormat="1" ht="15.95" customHeight="1" spans="1:58">
      <c r="A27" s="16">
        <v>23</v>
      </c>
      <c r="B27" s="21" t="s">
        <v>281</v>
      </c>
      <c r="C27" s="22" t="s">
        <v>90</v>
      </c>
      <c r="D27" s="41">
        <v>-46006.818</v>
      </c>
      <c r="E27" s="33">
        <v>3.38</v>
      </c>
      <c r="F27" s="25">
        <f t="shared" si="16"/>
        <v>3.10091743119266</v>
      </c>
      <c r="G27" s="39">
        <f>ROUND(F27*D27,2)+0.01</f>
        <v>-142663.33</v>
      </c>
      <c r="H27" s="40">
        <f>G27/D$5</f>
        <v>-0.801266011185785</v>
      </c>
      <c r="I27" s="28"/>
      <c r="J27" s="86"/>
      <c r="K27" s="83"/>
      <c r="L27" s="90"/>
      <c r="M27" s="85"/>
      <c r="N27" s="73">
        <f t="shared" si="7"/>
        <v>3427.42595511083</v>
      </c>
      <c r="O27" s="73"/>
      <c r="P27" s="73"/>
      <c r="Q27" s="73"/>
      <c r="R27" s="73"/>
      <c r="U27" s="16">
        <v>23</v>
      </c>
      <c r="V27" s="130" t="s">
        <v>281</v>
      </c>
      <c r="W27" s="126" t="s">
        <v>90</v>
      </c>
      <c r="X27" s="127">
        <f t="shared" si="8"/>
        <v>-311893.556</v>
      </c>
      <c r="Y27" s="154">
        <f t="shared" si="17"/>
        <v>3.37999994940582</v>
      </c>
      <c r="Z27" s="154">
        <f t="shared" si="9"/>
        <v>3.10091738477598</v>
      </c>
      <c r="AA27" s="161">
        <f t="shared" si="10"/>
        <v>-967156.15</v>
      </c>
      <c r="AB27" s="163">
        <f>AA27/X$5</f>
        <v>-0.916828212985627</v>
      </c>
      <c r="AC27" s="166"/>
      <c r="AD27" s="164">
        <f>AB32+AB44</f>
        <v>90.1086901063845</v>
      </c>
      <c r="AE27" s="165"/>
      <c r="AF27" s="167"/>
      <c r="AG27" s="181"/>
      <c r="AH27" s="151"/>
      <c r="AI27" s="151"/>
      <c r="AJ27" s="151"/>
      <c r="AK27" s="151"/>
      <c r="AL27" s="151"/>
      <c r="AO27" s="123">
        <v>23</v>
      </c>
      <c r="AP27" s="186" t="s">
        <v>281</v>
      </c>
      <c r="AQ27" s="185" t="s">
        <v>90</v>
      </c>
      <c r="AR27" s="127">
        <v>-265886.738</v>
      </c>
      <c r="AS27" s="154">
        <v>3.37999999759296</v>
      </c>
      <c r="AT27" s="154">
        <v>3.10091742898437</v>
      </c>
      <c r="AU27" s="161">
        <v>-824492.82</v>
      </c>
      <c r="AV27" s="163">
        <v>-0.940293617992018</v>
      </c>
      <c r="AW27" s="166"/>
      <c r="AX27" s="164">
        <v>93.2215068566249</v>
      </c>
      <c r="AY27" s="165"/>
      <c r="AZ27" s="167"/>
      <c r="BA27" s="181"/>
      <c r="BB27" s="151"/>
      <c r="BC27" s="151"/>
      <c r="BD27" s="151"/>
      <c r="BE27" s="151"/>
      <c r="BF27" s="151"/>
    </row>
    <row r="28" s="2" customFormat="1" ht="15.95" customHeight="1" spans="1:58">
      <c r="A28" s="16">
        <v>24</v>
      </c>
      <c r="B28" s="21" t="s">
        <v>282</v>
      </c>
      <c r="C28" s="22" t="s">
        <v>90</v>
      </c>
      <c r="D28" s="41"/>
      <c r="E28" s="33"/>
      <c r="F28" s="25">
        <f t="shared" si="16"/>
        <v>0</v>
      </c>
      <c r="G28" s="39">
        <f>ROUND(F28*D28,2)</f>
        <v>0</v>
      </c>
      <c r="H28" s="40">
        <f>G28/D$5</f>
        <v>0</v>
      </c>
      <c r="I28" s="28"/>
      <c r="J28" s="76"/>
      <c r="K28" s="73"/>
      <c r="L28" s="73">
        <f>L31-J31-L32</f>
        <v>31209894.6941509</v>
      </c>
      <c r="M28" s="73"/>
      <c r="N28" s="73">
        <f t="shared" si="7"/>
        <v>0</v>
      </c>
      <c r="O28" s="73"/>
      <c r="P28" s="73"/>
      <c r="Q28" s="73"/>
      <c r="R28" s="73"/>
      <c r="U28" s="16">
        <v>24</v>
      </c>
      <c r="V28" s="130" t="s">
        <v>283</v>
      </c>
      <c r="W28" s="126" t="s">
        <v>90</v>
      </c>
      <c r="X28" s="127">
        <f t="shared" si="8"/>
        <v>0</v>
      </c>
      <c r="Y28" s="154">
        <f t="shared" si="17"/>
        <v>0</v>
      </c>
      <c r="Z28" s="154">
        <f t="shared" si="9"/>
        <v>0</v>
      </c>
      <c r="AA28" s="161">
        <f t="shared" si="10"/>
        <v>0</v>
      </c>
      <c r="AB28" s="163">
        <f>AA28/X$5</f>
        <v>0</v>
      </c>
      <c r="AC28" s="166"/>
      <c r="AH28" s="151"/>
      <c r="AI28" s="151"/>
      <c r="AJ28" s="151"/>
      <c r="AK28" s="151"/>
      <c r="AL28" s="151"/>
      <c r="AO28" s="123">
        <v>24</v>
      </c>
      <c r="AP28" s="130" t="s">
        <v>116</v>
      </c>
      <c r="AQ28" s="185" t="s">
        <v>90</v>
      </c>
      <c r="AR28" s="127">
        <v>0</v>
      </c>
      <c r="AS28" s="154">
        <v>0</v>
      </c>
      <c r="AT28" s="154">
        <v>0</v>
      </c>
      <c r="AU28" s="161">
        <v>0</v>
      </c>
      <c r="AV28" s="163">
        <v>0</v>
      </c>
      <c r="AW28" s="166"/>
      <c r="BB28" s="151"/>
      <c r="BC28" s="151"/>
      <c r="BD28" s="151"/>
      <c r="BE28" s="151"/>
      <c r="BF28" s="151"/>
    </row>
    <row r="29" s="2" customFormat="1" ht="15.95" customHeight="1" spans="1:58">
      <c r="A29" s="16">
        <v>25</v>
      </c>
      <c r="B29" s="21" t="s">
        <v>284</v>
      </c>
      <c r="C29" s="22" t="s">
        <v>90</v>
      </c>
      <c r="D29" s="23">
        <v>3491.1</v>
      </c>
      <c r="E29" s="33">
        <v>3705.43</v>
      </c>
      <c r="F29" s="25">
        <f t="shared" si="16"/>
        <v>3399.47706422018</v>
      </c>
      <c r="G29" s="39">
        <f>ROUND(F29*D29,2)-4247228.12/1.09</f>
        <v>7971374.82036697</v>
      </c>
      <c r="H29" s="40">
        <f>G29/D$5</f>
        <v>44.7710824216864</v>
      </c>
      <c r="I29" s="93"/>
      <c r="J29" s="94">
        <f>G29*1.09</f>
        <v>8688798.5542</v>
      </c>
      <c r="K29" s="83"/>
      <c r="L29" s="90">
        <f>I31+J31+K31</f>
        <v>17507849.36</v>
      </c>
      <c r="M29" s="40">
        <f>L29/D5</f>
        <v>98.3325190932302</v>
      </c>
      <c r="N29" s="73">
        <f t="shared" si="7"/>
        <v>0</v>
      </c>
      <c r="O29" s="73"/>
      <c r="P29" s="73"/>
      <c r="Q29" s="73"/>
      <c r="R29" s="73"/>
      <c r="U29" s="123">
        <v>25</v>
      </c>
      <c r="V29" s="130" t="s">
        <v>284</v>
      </c>
      <c r="W29" s="126" t="s">
        <v>90</v>
      </c>
      <c r="X29" s="127">
        <f t="shared" si="8"/>
        <v>29800.53</v>
      </c>
      <c r="Y29" s="154">
        <f>Z29*1.13</f>
        <v>3277.90656393073</v>
      </c>
      <c r="Z29" s="154">
        <f t="shared" si="9"/>
        <v>2900.80226896525</v>
      </c>
      <c r="AA29" s="161">
        <f t="shared" si="10"/>
        <v>86445445.040367</v>
      </c>
      <c r="AB29" s="163">
        <f>AA29/X$5</f>
        <v>81.9470805175637</v>
      </c>
      <c r="AC29" s="161">
        <f>AC31+AD31+AE31</f>
        <v>78603825.0720755</v>
      </c>
      <c r="AD29" s="161">
        <f>AC29/X5</f>
        <v>74.5135151905572</v>
      </c>
      <c r="AE29" s="165"/>
      <c r="AF29" s="167">
        <f>AF31-AD31-AA32-AC32</f>
        <v>184608663.976604</v>
      </c>
      <c r="AG29" s="181"/>
      <c r="AH29" s="151"/>
      <c r="AI29" s="151"/>
      <c r="AJ29" s="151"/>
      <c r="AK29" s="151"/>
      <c r="AL29" s="151"/>
      <c r="AO29" s="123">
        <v>25</v>
      </c>
      <c r="AP29" s="21" t="s">
        <v>284</v>
      </c>
      <c r="AQ29" s="185" t="s">
        <v>90</v>
      </c>
      <c r="AR29" s="127">
        <v>26309.43</v>
      </c>
      <c r="AS29" s="154">
        <v>3370.49108812316</v>
      </c>
      <c r="AT29" s="154">
        <v>2982.73547621518</v>
      </c>
      <c r="AU29" s="161">
        <v>78474070.22</v>
      </c>
      <c r="AV29" s="163">
        <v>89.4958277571459</v>
      </c>
      <c r="AW29" s="161">
        <v>61095975.7120755</v>
      </c>
      <c r="AX29" s="161">
        <v>69.6769634052847</v>
      </c>
      <c r="AY29" s="165"/>
      <c r="AZ29" s="167">
        <v>153398769.282453</v>
      </c>
      <c r="BA29" s="181"/>
      <c r="BB29" s="151"/>
      <c r="BC29" s="151"/>
      <c r="BD29" s="151"/>
      <c r="BE29" s="151"/>
      <c r="BF29" s="151"/>
    </row>
    <row r="30" s="2" customFormat="1" ht="15.95" customHeight="1" spans="1:58">
      <c r="A30" s="16">
        <v>26</v>
      </c>
      <c r="B30" s="21" t="s">
        <v>118</v>
      </c>
      <c r="C30" s="22" t="s">
        <v>90</v>
      </c>
      <c r="D30" s="41"/>
      <c r="E30" s="33">
        <v>4099.32</v>
      </c>
      <c r="F30" s="25">
        <f t="shared" si="16"/>
        <v>3760.84403669725</v>
      </c>
      <c r="G30" s="39">
        <f>ROUND(F30*D30,2)</f>
        <v>0</v>
      </c>
      <c r="H30" s="40">
        <f>G30/D$5</f>
        <v>0</v>
      </c>
      <c r="I30" s="30" t="s">
        <v>158</v>
      </c>
      <c r="J30" s="30" t="s">
        <v>126</v>
      </c>
      <c r="K30" s="30" t="s">
        <v>159</v>
      </c>
      <c r="L30" s="95" t="s">
        <v>285</v>
      </c>
      <c r="M30" s="96" t="s">
        <v>286</v>
      </c>
      <c r="N30" s="73"/>
      <c r="O30" s="73"/>
      <c r="P30" s="73"/>
      <c r="Q30" s="73"/>
      <c r="R30" s="73"/>
      <c r="U30" s="16">
        <v>26</v>
      </c>
      <c r="V30" s="21" t="s">
        <v>118</v>
      </c>
      <c r="W30" s="22" t="s">
        <v>90</v>
      </c>
      <c r="X30" s="127">
        <f t="shared" si="8"/>
        <v>3615.77</v>
      </c>
      <c r="Y30" s="154">
        <f>Z30*1.13</f>
        <v>4612.08981685782</v>
      </c>
      <c r="Z30" s="154">
        <f t="shared" si="9"/>
        <v>4081.49541314851</v>
      </c>
      <c r="AA30" s="161">
        <f t="shared" si="10"/>
        <v>14757748.67</v>
      </c>
      <c r="AB30" s="40">
        <f>AA30/X$5</f>
        <v>13.9897992075086</v>
      </c>
      <c r="AC30" s="124" t="s">
        <v>158</v>
      </c>
      <c r="AD30" s="124" t="s">
        <v>126</v>
      </c>
      <c r="AE30" s="124" t="s">
        <v>159</v>
      </c>
      <c r="AF30" s="168" t="s">
        <v>287</v>
      </c>
      <c r="AG30" s="182" t="s">
        <v>286</v>
      </c>
      <c r="AH30" s="151"/>
      <c r="AI30" s="151"/>
      <c r="AJ30" s="151"/>
      <c r="AK30" s="151"/>
      <c r="AL30" s="151"/>
      <c r="AO30" s="123">
        <v>26</v>
      </c>
      <c r="AP30" s="21" t="s">
        <v>118</v>
      </c>
      <c r="AQ30" s="185" t="s">
        <v>90</v>
      </c>
      <c r="AR30" s="127">
        <v>3615.77</v>
      </c>
      <c r="AS30" s="154">
        <v>4612.08981685782</v>
      </c>
      <c r="AT30" s="154">
        <v>4081.49541314851</v>
      </c>
      <c r="AU30" s="161">
        <v>14757748.67</v>
      </c>
      <c r="AV30" s="40">
        <v>16.8304884575359</v>
      </c>
      <c r="AW30" s="124" t="s">
        <v>158</v>
      </c>
      <c r="AX30" s="124" t="s">
        <v>126</v>
      </c>
      <c r="AY30" s="124" t="s">
        <v>159</v>
      </c>
      <c r="AZ30" s="168" t="s">
        <v>287</v>
      </c>
      <c r="BA30" s="182" t="s">
        <v>286</v>
      </c>
      <c r="BB30" s="151"/>
      <c r="BC30" s="151"/>
      <c r="BD30" s="151"/>
      <c r="BE30" s="151"/>
      <c r="BF30" s="151"/>
    </row>
    <row r="31" s="2" customFormat="1" ht="16.5" customHeight="1" spans="1:58">
      <c r="A31" s="16">
        <v>27</v>
      </c>
      <c r="B31" s="31" t="s">
        <v>288</v>
      </c>
      <c r="C31" s="31"/>
      <c r="D31" s="34"/>
      <c r="E31" s="37"/>
      <c r="F31" s="45"/>
      <c r="G31" s="46">
        <f t="shared" ref="G31:K31" si="18">SUM(G32:G48)</f>
        <v>23116986.5941509</v>
      </c>
      <c r="H31" s="20">
        <f>G31/D$5</f>
        <v>129.836136861032</v>
      </c>
      <c r="I31" s="34">
        <f t="shared" si="18"/>
        <v>2520044.15</v>
      </c>
      <c r="J31" s="34">
        <f>SUM(J32:J47)</f>
        <v>506492.99</v>
      </c>
      <c r="K31" s="34">
        <f t="shared" si="18"/>
        <v>14481312.22</v>
      </c>
      <c r="L31" s="34">
        <f>SUM(I31:K31,G31,J48)</f>
        <v>40522852.8941509</v>
      </c>
      <c r="M31" s="97">
        <f>L31/D$5</f>
        <v>227.595869943346</v>
      </c>
      <c r="N31" s="73"/>
      <c r="O31" s="73"/>
      <c r="P31" s="73"/>
      <c r="Q31" s="73"/>
      <c r="R31" s="73"/>
      <c r="U31" s="16">
        <v>27</v>
      </c>
      <c r="V31" s="128" t="s">
        <v>288</v>
      </c>
      <c r="W31" s="128"/>
      <c r="X31" s="54"/>
      <c r="Y31" s="162"/>
      <c r="Z31" s="136"/>
      <c r="AA31" s="46">
        <f t="shared" ref="AA31:AE31" si="19">SUM(AA32:AA48)</f>
        <v>172862060.754528</v>
      </c>
      <c r="AB31" s="20">
        <f>AA31/X$5</f>
        <v>163.866831901536</v>
      </c>
      <c r="AC31" s="46">
        <f t="shared" si="19"/>
        <v>16385894.8820755</v>
      </c>
      <c r="AD31" s="46">
        <f>SUM(AD32:AD47)</f>
        <v>1288598.77</v>
      </c>
      <c r="AE31" s="46">
        <f t="shared" si="19"/>
        <v>60929331.42</v>
      </c>
      <c r="AF31" s="46">
        <f>SUM(AC31:AE31,AA31,AD48)</f>
        <v>249398496.686604</v>
      </c>
      <c r="AG31" s="46">
        <f>AF31/X$5</f>
        <v>236.420538750109</v>
      </c>
      <c r="AH31" s="151"/>
      <c r="AI31" s="151"/>
      <c r="AJ31" s="151"/>
      <c r="AK31" s="151"/>
      <c r="AL31" s="151"/>
      <c r="AO31" s="123">
        <v>27</v>
      </c>
      <c r="AP31" s="128" t="s">
        <v>288</v>
      </c>
      <c r="AQ31" s="128"/>
      <c r="AR31" s="54"/>
      <c r="AS31" s="162"/>
      <c r="AT31" s="136"/>
      <c r="AU31" s="46">
        <v>149745074.160377</v>
      </c>
      <c r="AV31" s="20">
        <v>170.776911748903</v>
      </c>
      <c r="AW31" s="46">
        <v>13865850.7320755</v>
      </c>
      <c r="AX31" s="46">
        <v>782105.78</v>
      </c>
      <c r="AY31" s="46">
        <v>46448019.2</v>
      </c>
      <c r="AZ31" s="46">
        <v>208875643.792453</v>
      </c>
      <c r="BA31" s="46">
        <v>238.212425927515</v>
      </c>
      <c r="BB31" s="151"/>
      <c r="BC31" s="151"/>
      <c r="BD31" s="151"/>
      <c r="BE31" s="151"/>
      <c r="BF31" s="151"/>
    </row>
    <row r="32" s="2" customFormat="1" ht="15.95" customHeight="1" spans="1:58">
      <c r="A32" s="16">
        <v>28</v>
      </c>
      <c r="B32" s="47" t="s">
        <v>289</v>
      </c>
      <c r="C32" s="31"/>
      <c r="D32" s="34"/>
      <c r="E32" s="37"/>
      <c r="F32" s="45"/>
      <c r="G32" s="48">
        <v>8806465.21</v>
      </c>
      <c r="H32" s="25">
        <f>G32/D$5</f>
        <v>49.4613524825412</v>
      </c>
      <c r="I32" s="25"/>
      <c r="J32" s="25"/>
      <c r="K32" s="25"/>
      <c r="L32" s="25">
        <f t="shared" ref="L32:L48" si="20">SUM(I32:K32,G32)</f>
        <v>8806465.21</v>
      </c>
      <c r="M32" s="98">
        <f>L32/D$5</f>
        <v>49.4613524825412</v>
      </c>
      <c r="N32" s="73"/>
      <c r="O32" s="73"/>
      <c r="P32" s="73"/>
      <c r="Q32" s="73"/>
      <c r="R32" s="73"/>
      <c r="U32" s="123">
        <v>28</v>
      </c>
      <c r="V32" s="134" t="s">
        <v>121</v>
      </c>
      <c r="W32" s="128"/>
      <c r="X32" s="54"/>
      <c r="Y32" s="162"/>
      <c r="Z32" s="136"/>
      <c r="AA32" s="161">
        <f t="shared" ref="AA32:AE32" si="21">AU32+G32</f>
        <v>63501233.94</v>
      </c>
      <c r="AB32" s="40">
        <f>AA32/X$5</f>
        <v>60.1968180997375</v>
      </c>
      <c r="AC32" s="161">
        <f t="shared" si="21"/>
        <v>0</v>
      </c>
      <c r="AD32" s="161">
        <f t="shared" si="21"/>
        <v>0</v>
      </c>
      <c r="AE32" s="161">
        <f t="shared" si="21"/>
        <v>0</v>
      </c>
      <c r="AF32" s="161">
        <f t="shared" ref="AF32:AF48" si="22">SUM(AC32:AE32,AA32)</f>
        <v>63501233.94</v>
      </c>
      <c r="AG32" s="161">
        <f>AF32/X$5</f>
        <v>60.1968180997375</v>
      </c>
      <c r="AH32" s="151"/>
      <c r="AI32" s="151"/>
      <c r="AJ32" s="151"/>
      <c r="AK32" s="151"/>
      <c r="AL32" s="151"/>
      <c r="AO32" s="123">
        <v>28</v>
      </c>
      <c r="AP32" s="134" t="s">
        <v>121</v>
      </c>
      <c r="AQ32" s="128"/>
      <c r="AR32" s="54"/>
      <c r="AS32" s="162"/>
      <c r="AT32" s="136"/>
      <c r="AU32" s="161">
        <v>54694768.73</v>
      </c>
      <c r="AV32" s="40">
        <v>62.3767008357555</v>
      </c>
      <c r="AW32" s="161">
        <v>0</v>
      </c>
      <c r="AX32" s="161">
        <v>0</v>
      </c>
      <c r="AY32" s="161">
        <v>0</v>
      </c>
      <c r="AZ32" s="161">
        <v>54694768.73</v>
      </c>
      <c r="BA32" s="161">
        <v>62.3767008357555</v>
      </c>
      <c r="BB32" s="151"/>
      <c r="BC32" s="151"/>
      <c r="BD32" s="151"/>
      <c r="BE32" s="151"/>
      <c r="BF32" s="151"/>
    </row>
    <row r="33" s="2" customFormat="1" ht="17.25" customHeight="1" spans="1:58">
      <c r="A33" s="16">
        <v>29</v>
      </c>
      <c r="B33" s="47" t="s">
        <v>126</v>
      </c>
      <c r="C33" s="31"/>
      <c r="D33" s="34"/>
      <c r="E33" s="49"/>
      <c r="F33" s="45"/>
      <c r="G33" s="50"/>
      <c r="H33" s="25">
        <f>G33/D$5</f>
        <v>0</v>
      </c>
      <c r="I33" s="25"/>
      <c r="J33" s="48">
        <v>506492.99</v>
      </c>
      <c r="K33" s="25"/>
      <c r="L33" s="25">
        <f t="shared" si="20"/>
        <v>506492.99</v>
      </c>
      <c r="M33" s="98">
        <f>L33/D$5</f>
        <v>2.84470871239906</v>
      </c>
      <c r="N33" s="73"/>
      <c r="O33" s="73"/>
      <c r="P33" s="73"/>
      <c r="Q33" s="73"/>
      <c r="R33" s="73"/>
      <c r="U33" s="16">
        <v>29</v>
      </c>
      <c r="V33" s="134" t="s">
        <v>126</v>
      </c>
      <c r="W33" s="128"/>
      <c r="X33" s="54"/>
      <c r="Y33" s="162"/>
      <c r="Z33" s="136"/>
      <c r="AA33" s="161">
        <f t="shared" ref="AA33:AE33" si="23">AU33+G33</f>
        <v>0</v>
      </c>
      <c r="AB33" s="40">
        <f>AA33/X$5</f>
        <v>0</v>
      </c>
      <c r="AC33" s="161">
        <f t="shared" si="23"/>
        <v>0</v>
      </c>
      <c r="AD33" s="161">
        <f t="shared" si="23"/>
        <v>1288098.78</v>
      </c>
      <c r="AE33" s="161">
        <f t="shared" si="23"/>
        <v>0</v>
      </c>
      <c r="AF33" s="161">
        <f t="shared" si="22"/>
        <v>1288098.78</v>
      </c>
      <c r="AG33" s="161">
        <f>AF33/X$5</f>
        <v>1.22106994058443</v>
      </c>
      <c r="AH33" s="151"/>
      <c r="AI33" s="151"/>
      <c r="AJ33" s="151"/>
      <c r="AK33" s="151"/>
      <c r="AL33" s="151"/>
      <c r="AO33" s="123">
        <v>29</v>
      </c>
      <c r="AP33" s="134" t="s">
        <v>126</v>
      </c>
      <c r="AQ33" s="128"/>
      <c r="AR33" s="54"/>
      <c r="AS33" s="162"/>
      <c r="AT33" s="136"/>
      <c r="AU33" s="161">
        <v>0</v>
      </c>
      <c r="AV33" s="40">
        <v>0</v>
      </c>
      <c r="AW33" s="161">
        <v>0</v>
      </c>
      <c r="AX33" s="161">
        <v>781605.79</v>
      </c>
      <c r="AY33" s="161">
        <v>0</v>
      </c>
      <c r="AZ33" s="161">
        <v>781605.79</v>
      </c>
      <c r="BA33" s="161">
        <v>0.891383063981818</v>
      </c>
      <c r="BB33" s="151"/>
      <c r="BC33" s="151"/>
      <c r="BD33" s="151"/>
      <c r="BE33" s="151"/>
      <c r="BF33" s="151"/>
    </row>
    <row r="34" s="2" customFormat="1" ht="15.95" customHeight="1" spans="1:58">
      <c r="A34" s="16">
        <v>30</v>
      </c>
      <c r="B34" s="47" t="s">
        <v>123</v>
      </c>
      <c r="C34" s="31"/>
      <c r="D34" s="34"/>
      <c r="E34" s="37"/>
      <c r="F34" s="45"/>
      <c r="G34" s="48">
        <v>1915616.26415094</v>
      </c>
      <c r="H34" s="25">
        <f>G34/D$5</f>
        <v>10.7590240809523</v>
      </c>
      <c r="I34" s="50"/>
      <c r="J34" s="50"/>
      <c r="K34" s="50"/>
      <c r="L34" s="25">
        <f t="shared" si="20"/>
        <v>1915616.26415094</v>
      </c>
      <c r="M34" s="98">
        <f>L34/D$5</f>
        <v>10.7590240809523</v>
      </c>
      <c r="N34" s="73"/>
      <c r="O34" s="73"/>
      <c r="P34" s="73"/>
      <c r="Q34" s="73"/>
      <c r="R34" s="73"/>
      <c r="U34" s="16">
        <v>30</v>
      </c>
      <c r="V34" s="134" t="s">
        <v>123</v>
      </c>
      <c r="W34" s="128"/>
      <c r="X34" s="54"/>
      <c r="Y34" s="162"/>
      <c r="Z34" s="136"/>
      <c r="AA34" s="161">
        <f t="shared" ref="AA34:AE34" si="24">AU34+G34</f>
        <v>20147208.4445283</v>
      </c>
      <c r="AB34" s="40">
        <f>AA34/X$5</f>
        <v>19.0988074829962</v>
      </c>
      <c r="AC34" s="161">
        <f t="shared" si="24"/>
        <v>0</v>
      </c>
      <c r="AD34" s="161">
        <f t="shared" si="24"/>
        <v>0</v>
      </c>
      <c r="AE34" s="161">
        <f t="shared" si="24"/>
        <v>0</v>
      </c>
      <c r="AF34" s="161">
        <f t="shared" si="22"/>
        <v>20147208.4445283</v>
      </c>
      <c r="AG34" s="161">
        <f>AF34/X$5</f>
        <v>19.0988074829962</v>
      </c>
      <c r="AH34" s="151"/>
      <c r="AI34" s="151"/>
      <c r="AJ34" s="183"/>
      <c r="AK34" s="151"/>
      <c r="AL34" s="151"/>
      <c r="AO34" s="123">
        <v>30</v>
      </c>
      <c r="AP34" s="134" t="s">
        <v>123</v>
      </c>
      <c r="AQ34" s="128"/>
      <c r="AR34" s="54"/>
      <c r="AS34" s="162"/>
      <c r="AT34" s="136"/>
      <c r="AU34" s="161">
        <v>18231592.1803774</v>
      </c>
      <c r="AV34" s="40">
        <v>20.7922365813228</v>
      </c>
      <c r="AW34" s="161">
        <v>0</v>
      </c>
      <c r="AX34" s="161">
        <v>0</v>
      </c>
      <c r="AY34" s="161">
        <v>0</v>
      </c>
      <c r="AZ34" s="161">
        <v>18231592.1803774</v>
      </c>
      <c r="BA34" s="161">
        <v>20.7922365813228</v>
      </c>
      <c r="BB34" s="151"/>
      <c r="BC34" s="151"/>
      <c r="BD34" s="151"/>
      <c r="BE34" s="151"/>
      <c r="BF34" s="151"/>
    </row>
    <row r="35" s="2" customFormat="1" ht="15.95" customHeight="1" spans="1:58">
      <c r="A35" s="16">
        <v>31</v>
      </c>
      <c r="B35" s="47" t="s">
        <v>161</v>
      </c>
      <c r="C35" s="31"/>
      <c r="D35" s="34"/>
      <c r="E35" s="37"/>
      <c r="F35" s="45"/>
      <c r="G35" s="50"/>
      <c r="H35" s="25">
        <f>G35/D$5</f>
        <v>0</v>
      </c>
      <c r="I35" s="48">
        <v>2077730.78</v>
      </c>
      <c r="J35" s="50"/>
      <c r="K35" s="50"/>
      <c r="L35" s="25">
        <f t="shared" si="20"/>
        <v>2077730.78</v>
      </c>
      <c r="M35" s="98">
        <f>L35/D$5</f>
        <v>11.6695373254538</v>
      </c>
      <c r="N35" s="73"/>
      <c r="O35" s="73"/>
      <c r="P35" s="73"/>
      <c r="Q35" s="73"/>
      <c r="R35" s="73"/>
      <c r="U35" s="123">
        <v>31</v>
      </c>
      <c r="V35" s="134" t="s">
        <v>161</v>
      </c>
      <c r="W35" s="128"/>
      <c r="X35" s="54"/>
      <c r="Y35" s="162"/>
      <c r="Z35" s="136"/>
      <c r="AA35" s="161">
        <f t="shared" ref="AA35:AE35" si="25">AU35+G35</f>
        <v>0</v>
      </c>
      <c r="AB35" s="40">
        <f>AA35/X$5</f>
        <v>0</v>
      </c>
      <c r="AC35" s="161">
        <f t="shared" si="25"/>
        <v>13385815.8120755</v>
      </c>
      <c r="AD35" s="161">
        <f t="shared" si="25"/>
        <v>0</v>
      </c>
      <c r="AE35" s="161">
        <f t="shared" si="25"/>
        <v>0</v>
      </c>
      <c r="AF35" s="161">
        <f t="shared" si="22"/>
        <v>13385815.8120755</v>
      </c>
      <c r="AG35" s="161">
        <f>AF35/X$5</f>
        <v>12.6892576657243</v>
      </c>
      <c r="AH35" s="151"/>
      <c r="AI35" s="151"/>
      <c r="AJ35" s="151"/>
      <c r="AK35" s="151"/>
      <c r="AL35" s="151"/>
      <c r="AO35" s="123">
        <v>31</v>
      </c>
      <c r="AP35" s="134" t="s">
        <v>161</v>
      </c>
      <c r="AQ35" s="128"/>
      <c r="AR35" s="54"/>
      <c r="AS35" s="162"/>
      <c r="AT35" s="136"/>
      <c r="AU35" s="161">
        <v>0</v>
      </c>
      <c r="AV35" s="40">
        <v>0</v>
      </c>
      <c r="AW35" s="161">
        <v>11308085.0320755</v>
      </c>
      <c r="AX35" s="161">
        <v>0</v>
      </c>
      <c r="AY35" s="161">
        <v>0</v>
      </c>
      <c r="AZ35" s="161">
        <v>11308085.0320755</v>
      </c>
      <c r="BA35" s="161">
        <v>12.8963162922045</v>
      </c>
      <c r="BB35" s="151"/>
      <c r="BC35" s="151"/>
      <c r="BD35" s="151"/>
      <c r="BE35" s="151"/>
      <c r="BF35" s="151"/>
    </row>
    <row r="36" s="2" customFormat="1" ht="15.95" customHeight="1" spans="1:58">
      <c r="A36" s="16">
        <v>32</v>
      </c>
      <c r="B36" s="47" t="s">
        <v>162</v>
      </c>
      <c r="C36" s="31"/>
      <c r="D36" s="34"/>
      <c r="E36" s="37"/>
      <c r="F36" s="45"/>
      <c r="G36" s="48">
        <v>1155749.73</v>
      </c>
      <c r="H36" s="25">
        <f>G36/D$5</f>
        <v>6.49124744309661</v>
      </c>
      <c r="I36" s="50"/>
      <c r="J36" s="50"/>
      <c r="K36" s="99"/>
      <c r="L36" s="25">
        <f t="shared" si="20"/>
        <v>1155749.73</v>
      </c>
      <c r="M36" s="98">
        <f>L36/D$5</f>
        <v>6.49124744309661</v>
      </c>
      <c r="N36" s="73"/>
      <c r="O36" s="73"/>
      <c r="P36" s="73"/>
      <c r="Q36" s="73"/>
      <c r="R36" s="73"/>
      <c r="U36" s="16">
        <v>32</v>
      </c>
      <c r="V36" s="134" t="s">
        <v>162</v>
      </c>
      <c r="W36" s="128"/>
      <c r="X36" s="54"/>
      <c r="Y36" s="162"/>
      <c r="Z36" s="136"/>
      <c r="AA36" s="161">
        <f t="shared" ref="AA36:AE36" si="26">AU36+G36</f>
        <v>8136321.5</v>
      </c>
      <c r="AB36" s="40">
        <f>AA36/X$5</f>
        <v>7.71293146522569</v>
      </c>
      <c r="AC36" s="161">
        <f t="shared" si="26"/>
        <v>0</v>
      </c>
      <c r="AD36" s="161">
        <f t="shared" si="26"/>
        <v>0</v>
      </c>
      <c r="AE36" s="161">
        <f t="shared" si="26"/>
        <v>0</v>
      </c>
      <c r="AF36" s="161">
        <f t="shared" si="22"/>
        <v>8136321.5</v>
      </c>
      <c r="AG36" s="161">
        <f>AF36/X$5</f>
        <v>7.71293146522569</v>
      </c>
      <c r="AH36" s="183"/>
      <c r="AI36" s="151"/>
      <c r="AJ36" s="151"/>
      <c r="AK36" s="151"/>
      <c r="AL36" s="151"/>
      <c r="AO36" s="123">
        <v>32</v>
      </c>
      <c r="AP36" s="134" t="s">
        <v>162</v>
      </c>
      <c r="AQ36" s="128"/>
      <c r="AR36" s="54"/>
      <c r="AS36" s="162"/>
      <c r="AT36" s="136"/>
      <c r="AU36" s="161">
        <v>6980571.77</v>
      </c>
      <c r="AV36" s="40">
        <v>7.96099969101762</v>
      </c>
      <c r="AW36" s="161">
        <v>0</v>
      </c>
      <c r="AX36" s="161">
        <v>0</v>
      </c>
      <c r="AY36" s="161">
        <v>0</v>
      </c>
      <c r="AZ36" s="161">
        <v>6980571.77</v>
      </c>
      <c r="BA36" s="161">
        <v>7.96099969101762</v>
      </c>
      <c r="BB36" s="151"/>
      <c r="BC36" s="151"/>
      <c r="BD36" s="151"/>
      <c r="BE36" s="151"/>
      <c r="BF36" s="151"/>
    </row>
    <row r="37" s="2" customFormat="1" ht="15.95" customHeight="1" spans="1:58">
      <c r="A37" s="16">
        <v>33</v>
      </c>
      <c r="B37" s="47" t="s">
        <v>163</v>
      </c>
      <c r="C37" s="31"/>
      <c r="D37" s="34"/>
      <c r="E37" s="37"/>
      <c r="F37" s="45"/>
      <c r="G37" s="48">
        <v>2727849.06</v>
      </c>
      <c r="H37" s="25">
        <f>G37/D$5</f>
        <v>15.3209148799702</v>
      </c>
      <c r="I37" s="50"/>
      <c r="J37" s="50"/>
      <c r="K37" s="50"/>
      <c r="L37" s="25">
        <f t="shared" si="20"/>
        <v>2727849.06</v>
      </c>
      <c r="M37" s="98">
        <f>L37/D$5</f>
        <v>15.3209148799702</v>
      </c>
      <c r="N37" s="73"/>
      <c r="O37" s="73"/>
      <c r="P37" s="73"/>
      <c r="Q37" s="73"/>
      <c r="R37" s="73"/>
      <c r="U37" s="16">
        <v>33</v>
      </c>
      <c r="V37" s="134" t="s">
        <v>163</v>
      </c>
      <c r="W37" s="128"/>
      <c r="X37" s="54"/>
      <c r="Y37" s="162"/>
      <c r="Z37" s="136"/>
      <c r="AA37" s="161">
        <f t="shared" ref="AA37:AE37" si="27">AU37+G37</f>
        <v>19097660.39</v>
      </c>
      <c r="AB37" s="40">
        <f>AA37/X$5</f>
        <v>18.1038747957815</v>
      </c>
      <c r="AC37" s="161">
        <f t="shared" si="27"/>
        <v>0</v>
      </c>
      <c r="AD37" s="161">
        <f t="shared" si="27"/>
        <v>0</v>
      </c>
      <c r="AE37" s="161">
        <f t="shared" si="27"/>
        <v>0</v>
      </c>
      <c r="AF37" s="161">
        <f t="shared" si="22"/>
        <v>19097660.39</v>
      </c>
      <c r="AG37" s="161">
        <f>AF37/X$5</f>
        <v>18.1038747957815</v>
      </c>
      <c r="AH37" s="151"/>
      <c r="AI37" s="151"/>
      <c r="AJ37" s="151"/>
      <c r="AK37" s="151"/>
      <c r="AL37" s="151"/>
      <c r="AO37" s="123">
        <v>33</v>
      </c>
      <c r="AP37" s="134" t="s">
        <v>163</v>
      </c>
      <c r="AQ37" s="128"/>
      <c r="AR37" s="54"/>
      <c r="AS37" s="162"/>
      <c r="AT37" s="136"/>
      <c r="AU37" s="161">
        <v>16369811.33</v>
      </c>
      <c r="AV37" s="40">
        <v>18.6689668459847</v>
      </c>
      <c r="AW37" s="161">
        <v>0</v>
      </c>
      <c r="AX37" s="161">
        <v>0</v>
      </c>
      <c r="AY37" s="161">
        <v>0</v>
      </c>
      <c r="AZ37" s="161">
        <v>16369811.33</v>
      </c>
      <c r="BA37" s="161">
        <v>18.6689668459847</v>
      </c>
      <c r="BB37" s="151"/>
      <c r="BC37" s="151"/>
      <c r="BD37" s="151"/>
      <c r="BE37" s="151"/>
      <c r="BF37" s="151"/>
    </row>
    <row r="38" s="2" customFormat="1" ht="15.95" customHeight="1" spans="1:58">
      <c r="A38" s="16">
        <v>34</v>
      </c>
      <c r="B38" s="47" t="s">
        <v>164</v>
      </c>
      <c r="C38" s="31"/>
      <c r="D38" s="34"/>
      <c r="E38" s="37"/>
      <c r="F38" s="45"/>
      <c r="G38" s="50"/>
      <c r="H38" s="25">
        <f>G38/D$5</f>
        <v>0</v>
      </c>
      <c r="I38" s="50"/>
      <c r="J38" s="50"/>
      <c r="K38" s="100">
        <v>11833573.84</v>
      </c>
      <c r="L38" s="25">
        <f t="shared" si="20"/>
        <v>11833573.84</v>
      </c>
      <c r="M38" s="98">
        <f>L38/D$5</f>
        <v>66.4630533217559</v>
      </c>
      <c r="N38" s="73"/>
      <c r="O38" s="73"/>
      <c r="P38" s="73"/>
      <c r="Q38" s="73"/>
      <c r="R38" s="73"/>
      <c r="U38" s="123">
        <v>34</v>
      </c>
      <c r="V38" s="134" t="s">
        <v>164</v>
      </c>
      <c r="W38" s="128"/>
      <c r="X38" s="54"/>
      <c r="Y38" s="162"/>
      <c r="Z38" s="136"/>
      <c r="AA38" s="161">
        <f t="shared" ref="AA38:AE38" si="28">AU38+G38</f>
        <v>0</v>
      </c>
      <c r="AB38" s="40">
        <f>AA38/X$5</f>
        <v>0</v>
      </c>
      <c r="AC38" s="161">
        <f t="shared" si="28"/>
        <v>0</v>
      </c>
      <c r="AD38" s="161">
        <f t="shared" si="28"/>
        <v>0</v>
      </c>
      <c r="AE38" s="161">
        <f t="shared" si="28"/>
        <v>44337460.9</v>
      </c>
      <c r="AF38" s="161">
        <f t="shared" si="22"/>
        <v>44337460.9</v>
      </c>
      <c r="AG38" s="161">
        <f>AF38/X$5</f>
        <v>42.0302709601413</v>
      </c>
      <c r="AH38" s="151"/>
      <c r="AI38" s="151"/>
      <c r="AJ38" s="151"/>
      <c r="AK38" s="151"/>
      <c r="AL38" s="151"/>
      <c r="AO38" s="123">
        <v>34</v>
      </c>
      <c r="AP38" s="134" t="s">
        <v>164</v>
      </c>
      <c r="AQ38" s="128"/>
      <c r="AR38" s="54"/>
      <c r="AS38" s="162"/>
      <c r="AT38" s="136"/>
      <c r="AU38" s="161">
        <v>0</v>
      </c>
      <c r="AV38" s="40">
        <v>0</v>
      </c>
      <c r="AW38" s="161">
        <v>0</v>
      </c>
      <c r="AX38" s="161">
        <v>0</v>
      </c>
      <c r="AY38" s="161">
        <v>32503887.06</v>
      </c>
      <c r="AZ38" s="161">
        <v>32503887.06</v>
      </c>
      <c r="BA38" s="161">
        <v>37.0690888035282</v>
      </c>
      <c r="BB38" s="151"/>
      <c r="BC38" s="151"/>
      <c r="BD38" s="151"/>
      <c r="BE38" s="151"/>
      <c r="BF38" s="151"/>
    </row>
    <row r="39" s="2" customFormat="1" ht="15" customHeight="1" spans="1:58">
      <c r="A39" s="16">
        <v>35</v>
      </c>
      <c r="B39" s="47" t="s">
        <v>124</v>
      </c>
      <c r="C39" s="31"/>
      <c r="D39" s="45"/>
      <c r="E39" s="37"/>
      <c r="F39" s="45"/>
      <c r="G39" s="48">
        <v>519838.02</v>
      </c>
      <c r="H39" s="25">
        <f>G39/D$5</f>
        <v>2.91966083189083</v>
      </c>
      <c r="I39" s="50"/>
      <c r="J39" s="50"/>
      <c r="K39" s="50"/>
      <c r="L39" s="25">
        <f t="shared" si="20"/>
        <v>519838.02</v>
      </c>
      <c r="M39" s="98">
        <f>L39/D$5</f>
        <v>2.91966083189083</v>
      </c>
      <c r="N39" s="73"/>
      <c r="O39" s="73"/>
      <c r="P39" s="73"/>
      <c r="Q39" s="73"/>
      <c r="R39" s="73"/>
      <c r="U39" s="16">
        <v>35</v>
      </c>
      <c r="V39" s="134" t="s">
        <v>124</v>
      </c>
      <c r="W39" s="128"/>
      <c r="X39" s="54"/>
      <c r="Y39" s="162"/>
      <c r="Z39" s="136"/>
      <c r="AA39" s="161">
        <f t="shared" ref="AA39:AE39" si="29">AU39+G39</f>
        <v>5332181.59</v>
      </c>
      <c r="AB39" s="40">
        <f>AA39/X$5</f>
        <v>5.05471067776859</v>
      </c>
      <c r="AC39" s="161">
        <f t="shared" si="29"/>
        <v>0</v>
      </c>
      <c r="AD39" s="161">
        <f t="shared" si="29"/>
        <v>0</v>
      </c>
      <c r="AE39" s="161">
        <f t="shared" si="29"/>
        <v>0</v>
      </c>
      <c r="AF39" s="161">
        <f t="shared" si="22"/>
        <v>5332181.59</v>
      </c>
      <c r="AG39" s="161">
        <f>AF39/X$5</f>
        <v>5.05471067776859</v>
      </c>
      <c r="AH39" s="151"/>
      <c r="AI39" s="151"/>
      <c r="AJ39" s="151"/>
      <c r="AK39" s="151"/>
      <c r="AL39" s="151"/>
      <c r="AO39" s="123">
        <v>35</v>
      </c>
      <c r="AP39" s="134" t="s">
        <v>124</v>
      </c>
      <c r="AQ39" s="128"/>
      <c r="AR39" s="54"/>
      <c r="AS39" s="162"/>
      <c r="AT39" s="136"/>
      <c r="AU39" s="161">
        <v>4812343.57</v>
      </c>
      <c r="AV39" s="40">
        <v>5.48824178536319</v>
      </c>
      <c r="AW39" s="161">
        <v>0</v>
      </c>
      <c r="AX39" s="161">
        <v>0</v>
      </c>
      <c r="AY39" s="161">
        <v>0</v>
      </c>
      <c r="AZ39" s="161">
        <v>4812343.57</v>
      </c>
      <c r="BA39" s="161">
        <v>5.48824178536319</v>
      </c>
      <c r="BB39" s="151"/>
      <c r="BC39" s="151"/>
      <c r="BD39" s="151"/>
      <c r="BE39" s="151"/>
      <c r="BF39" s="151"/>
    </row>
    <row r="40" s="2" customFormat="1" ht="15.95" customHeight="1" spans="1:58">
      <c r="A40" s="16">
        <v>36</v>
      </c>
      <c r="B40" s="47" t="s">
        <v>166</v>
      </c>
      <c r="C40" s="28"/>
      <c r="D40" s="45"/>
      <c r="E40" s="51"/>
      <c r="F40" s="45"/>
      <c r="G40" s="48">
        <v>1746777.36</v>
      </c>
      <c r="H40" s="25">
        <f>G40/D$5</f>
        <v>9.81074343124359</v>
      </c>
      <c r="I40" s="50"/>
      <c r="J40" s="50"/>
      <c r="K40" s="50"/>
      <c r="L40" s="25">
        <f t="shared" si="20"/>
        <v>1746777.36</v>
      </c>
      <c r="M40" s="98">
        <f>L40/D$5</f>
        <v>9.81074343124359</v>
      </c>
      <c r="N40" s="73"/>
      <c r="O40" s="73"/>
      <c r="P40" s="73"/>
      <c r="Q40" s="73"/>
      <c r="R40" s="73"/>
      <c r="U40" s="16">
        <v>36</v>
      </c>
      <c r="V40" s="134" t="s">
        <v>166</v>
      </c>
      <c r="W40" s="135"/>
      <c r="X40" s="136"/>
      <c r="Y40" s="169"/>
      <c r="Z40" s="136"/>
      <c r="AA40" s="161">
        <f t="shared" ref="AA40:AE40" si="30">AU40+G40</f>
        <v>12470201.89</v>
      </c>
      <c r="AB40" s="40">
        <f>AA40/X$5</f>
        <v>11.8212895760201</v>
      </c>
      <c r="AC40" s="161">
        <f t="shared" si="30"/>
        <v>0</v>
      </c>
      <c r="AD40" s="161">
        <f t="shared" si="30"/>
        <v>0</v>
      </c>
      <c r="AE40" s="161">
        <f t="shared" si="30"/>
        <v>0</v>
      </c>
      <c r="AF40" s="161">
        <f t="shared" si="22"/>
        <v>12470201.89</v>
      </c>
      <c r="AG40" s="161">
        <f>AF40/X$5</f>
        <v>11.8212895760201</v>
      </c>
      <c r="AH40" s="151"/>
      <c r="AI40" s="151"/>
      <c r="AJ40" s="151"/>
      <c r="AK40" s="151"/>
      <c r="AL40" s="151"/>
      <c r="AO40" s="123">
        <v>36</v>
      </c>
      <c r="AP40" s="134" t="s">
        <v>166</v>
      </c>
      <c r="AQ40" s="135"/>
      <c r="AR40" s="136"/>
      <c r="AS40" s="169"/>
      <c r="AT40" s="136"/>
      <c r="AU40" s="161">
        <v>10723424.53</v>
      </c>
      <c r="AV40" s="40">
        <v>12.2295396684935</v>
      </c>
      <c r="AW40" s="161">
        <v>0</v>
      </c>
      <c r="AX40" s="161">
        <v>0</v>
      </c>
      <c r="AY40" s="161">
        <v>0</v>
      </c>
      <c r="AZ40" s="161">
        <v>10723424.53</v>
      </c>
      <c r="BA40" s="161">
        <v>12.2295396684935</v>
      </c>
      <c r="BB40" s="151"/>
      <c r="BC40" s="151"/>
      <c r="BD40" s="151"/>
      <c r="BE40" s="151"/>
      <c r="BF40" s="151"/>
    </row>
    <row r="41" s="2" customFormat="1" ht="15.95" customHeight="1" spans="1:58">
      <c r="A41" s="16">
        <v>37</v>
      </c>
      <c r="B41" s="47" t="s">
        <v>167</v>
      </c>
      <c r="C41" s="28"/>
      <c r="D41" s="45"/>
      <c r="E41" s="51"/>
      <c r="F41" s="45"/>
      <c r="G41" s="50"/>
      <c r="H41" s="25">
        <f>G41/D$5</f>
        <v>0</v>
      </c>
      <c r="I41" s="50"/>
      <c r="J41" s="50"/>
      <c r="K41" s="100">
        <v>2435165.15</v>
      </c>
      <c r="L41" s="25">
        <f t="shared" si="20"/>
        <v>2435165.15</v>
      </c>
      <c r="M41" s="98">
        <f>L41/D$5</f>
        <v>13.6770609961168</v>
      </c>
      <c r="N41" s="73"/>
      <c r="O41" s="73"/>
      <c r="P41" s="73"/>
      <c r="Q41" s="73"/>
      <c r="R41" s="73"/>
      <c r="U41" s="123">
        <v>37</v>
      </c>
      <c r="V41" s="134" t="s">
        <v>167</v>
      </c>
      <c r="W41" s="135"/>
      <c r="X41" s="136"/>
      <c r="Y41" s="169"/>
      <c r="Z41" s="136"/>
      <c r="AA41" s="161">
        <f t="shared" ref="AA41:AE41" si="31">AU41+G41</f>
        <v>0</v>
      </c>
      <c r="AB41" s="40">
        <f>AA41/X$5</f>
        <v>0</v>
      </c>
      <c r="AC41" s="161">
        <f t="shared" si="31"/>
        <v>0</v>
      </c>
      <c r="AD41" s="161">
        <f t="shared" si="31"/>
        <v>0</v>
      </c>
      <c r="AE41" s="161">
        <f t="shared" si="31"/>
        <v>15255964.93</v>
      </c>
      <c r="AF41" s="161">
        <f t="shared" si="22"/>
        <v>15255964.93</v>
      </c>
      <c r="AG41" s="161">
        <f>AF41/X$5</f>
        <v>14.4620897712777</v>
      </c>
      <c r="AH41" s="151"/>
      <c r="AI41" s="151"/>
      <c r="AJ41" s="151"/>
      <c r="AK41" s="151"/>
      <c r="AL41" s="151"/>
      <c r="AO41" s="123">
        <v>37</v>
      </c>
      <c r="AP41" s="134" t="s">
        <v>167</v>
      </c>
      <c r="AQ41" s="135"/>
      <c r="AR41" s="136"/>
      <c r="AS41" s="169"/>
      <c r="AT41" s="136"/>
      <c r="AU41" s="161">
        <v>0</v>
      </c>
      <c r="AV41" s="40">
        <v>0</v>
      </c>
      <c r="AW41" s="161">
        <v>0</v>
      </c>
      <c r="AX41" s="161">
        <v>0</v>
      </c>
      <c r="AY41" s="161">
        <v>12820799.78</v>
      </c>
      <c r="AZ41" s="161">
        <v>12820799.78</v>
      </c>
      <c r="BA41" s="161">
        <v>14.6214932601687</v>
      </c>
      <c r="BB41" s="151"/>
      <c r="BC41" s="151"/>
      <c r="BD41" s="151"/>
      <c r="BE41" s="151"/>
      <c r="BF41" s="151"/>
    </row>
    <row r="42" s="2" customFormat="1" ht="15.95" customHeight="1" spans="1:58">
      <c r="A42" s="16">
        <v>38</v>
      </c>
      <c r="B42" s="47" t="s">
        <v>169</v>
      </c>
      <c r="C42" s="28"/>
      <c r="D42" s="45"/>
      <c r="E42" s="51"/>
      <c r="F42" s="45"/>
      <c r="H42" s="25">
        <f>G42/D$5</f>
        <v>0</v>
      </c>
      <c r="I42" s="50"/>
      <c r="J42" s="50"/>
      <c r="K42" s="50"/>
      <c r="L42" s="25">
        <f t="shared" si="20"/>
        <v>0</v>
      </c>
      <c r="M42" s="98">
        <f>L42/D$5</f>
        <v>0</v>
      </c>
      <c r="N42" s="73"/>
      <c r="O42" s="73"/>
      <c r="P42" s="73"/>
      <c r="Q42" s="73"/>
      <c r="R42" s="73"/>
      <c r="U42" s="16">
        <v>38</v>
      </c>
      <c r="V42" s="134" t="s">
        <v>169</v>
      </c>
      <c r="W42" s="135"/>
      <c r="X42" s="136"/>
      <c r="Y42" s="169"/>
      <c r="Z42" s="136"/>
      <c r="AA42" s="161">
        <f t="shared" ref="AA42:AE42" si="32">AU42+G42</f>
        <v>0</v>
      </c>
      <c r="AB42" s="40">
        <f>AA42/X$5</f>
        <v>0</v>
      </c>
      <c r="AC42" s="161">
        <f t="shared" si="32"/>
        <v>0</v>
      </c>
      <c r="AD42" s="161">
        <f t="shared" si="32"/>
        <v>0</v>
      </c>
      <c r="AE42" s="161">
        <f t="shared" si="32"/>
        <v>0</v>
      </c>
      <c r="AF42" s="161">
        <f t="shared" si="22"/>
        <v>0</v>
      </c>
      <c r="AG42" s="161">
        <f>AF42/X$5</f>
        <v>0</v>
      </c>
      <c r="AH42" s="151"/>
      <c r="AI42" s="151"/>
      <c r="AJ42" s="151"/>
      <c r="AK42" s="151"/>
      <c r="AL42" s="151"/>
      <c r="AO42" s="123">
        <v>38</v>
      </c>
      <c r="AP42" s="134" t="s">
        <v>169</v>
      </c>
      <c r="AQ42" s="135"/>
      <c r="AR42" s="136"/>
      <c r="AS42" s="169"/>
      <c r="AT42" s="136"/>
      <c r="AU42" s="161">
        <v>0</v>
      </c>
      <c r="AV42" s="40">
        <v>0</v>
      </c>
      <c r="AW42" s="161">
        <v>0</v>
      </c>
      <c r="AX42" s="161">
        <v>0</v>
      </c>
      <c r="AY42" s="161">
        <v>0</v>
      </c>
      <c r="AZ42" s="161">
        <v>0</v>
      </c>
      <c r="BA42" s="161">
        <v>0</v>
      </c>
      <c r="BB42" s="151"/>
      <c r="BC42" s="151"/>
      <c r="BD42" s="151"/>
      <c r="BE42" s="151"/>
      <c r="BF42" s="151"/>
    </row>
    <row r="43" s="2" customFormat="1" ht="15.95" customHeight="1" spans="1:58">
      <c r="A43" s="16">
        <v>39</v>
      </c>
      <c r="B43" s="47" t="s">
        <v>170</v>
      </c>
      <c r="C43" s="28"/>
      <c r="D43" s="45"/>
      <c r="E43" s="51"/>
      <c r="F43" s="45"/>
      <c r="G43" s="50"/>
      <c r="H43" s="25">
        <f>G43/D$5</f>
        <v>0</v>
      </c>
      <c r="I43" s="48">
        <v>168799.82</v>
      </c>
      <c r="J43" s="50"/>
      <c r="K43" s="50"/>
      <c r="L43" s="25">
        <f t="shared" si="20"/>
        <v>168799.82</v>
      </c>
      <c r="M43" s="98">
        <f>L43/D$5</f>
        <v>0.948061134282219</v>
      </c>
      <c r="N43" s="73"/>
      <c r="O43" s="73"/>
      <c r="P43" s="73"/>
      <c r="Q43" s="73"/>
      <c r="R43" s="73"/>
      <c r="U43" s="16">
        <v>39</v>
      </c>
      <c r="V43" s="134" t="s">
        <v>170</v>
      </c>
      <c r="W43" s="135"/>
      <c r="X43" s="136"/>
      <c r="Y43" s="169"/>
      <c r="Z43" s="136"/>
      <c r="AA43" s="161">
        <f t="shared" ref="AA43:AE43" si="33">AU43+G43</f>
        <v>0</v>
      </c>
      <c r="AB43" s="40">
        <f>AA43/X$5</f>
        <v>0</v>
      </c>
      <c r="AC43" s="161">
        <f t="shared" si="33"/>
        <v>1181598.74</v>
      </c>
      <c r="AD43" s="161">
        <f t="shared" si="33"/>
        <v>0</v>
      </c>
      <c r="AE43" s="161">
        <f t="shared" si="33"/>
        <v>0</v>
      </c>
      <c r="AF43" s="161">
        <f t="shared" si="22"/>
        <v>1181598.74</v>
      </c>
      <c r="AG43" s="161">
        <f>AF43/X$5</f>
        <v>1.12011184673775</v>
      </c>
      <c r="AH43" s="151"/>
      <c r="AI43" s="151"/>
      <c r="AJ43" s="151"/>
      <c r="AK43" s="151"/>
      <c r="AL43" s="151"/>
      <c r="AO43" s="123">
        <v>39</v>
      </c>
      <c r="AP43" s="134" t="s">
        <v>170</v>
      </c>
      <c r="AQ43" s="135"/>
      <c r="AR43" s="136"/>
      <c r="AS43" s="169"/>
      <c r="AT43" s="136"/>
      <c r="AU43" s="161">
        <v>0</v>
      </c>
      <c r="AV43" s="40">
        <v>0</v>
      </c>
      <c r="AW43" s="161">
        <v>1012798.92</v>
      </c>
      <c r="AX43" s="161">
        <v>0</v>
      </c>
      <c r="AY43" s="161">
        <v>0</v>
      </c>
      <c r="AZ43" s="161">
        <v>1012798.92</v>
      </c>
      <c r="BA43" s="161">
        <v>1.1550474882064</v>
      </c>
      <c r="BB43" s="151"/>
      <c r="BC43" s="151"/>
      <c r="BD43" s="151"/>
      <c r="BE43" s="151"/>
      <c r="BF43" s="151"/>
    </row>
    <row r="44" s="2" customFormat="1" ht="15.95" customHeight="1" spans="1:58">
      <c r="A44" s="16">
        <v>40</v>
      </c>
      <c r="B44" s="47" t="s">
        <v>122</v>
      </c>
      <c r="C44" s="28"/>
      <c r="D44" s="45"/>
      <c r="E44" s="51"/>
      <c r="F44" s="52"/>
      <c r="G44" s="48">
        <v>4507691.46</v>
      </c>
      <c r="H44" s="25">
        <f>G44/D$5</f>
        <v>25.3173675100001</v>
      </c>
      <c r="I44" s="101"/>
      <c r="J44" s="50"/>
      <c r="K44" s="50"/>
      <c r="L44" s="25">
        <f t="shared" si="20"/>
        <v>4507691.46</v>
      </c>
      <c r="M44" s="98">
        <f>L44/D$5</f>
        <v>25.3173675100001</v>
      </c>
      <c r="N44" s="73"/>
      <c r="O44" s="73"/>
      <c r="P44" s="73"/>
      <c r="Q44" s="73"/>
      <c r="R44" s="73"/>
      <c r="U44" s="123">
        <v>40</v>
      </c>
      <c r="V44" s="47" t="s">
        <v>122</v>
      </c>
      <c r="W44" s="135"/>
      <c r="X44" s="136"/>
      <c r="Y44" s="169"/>
      <c r="Z44" s="136"/>
      <c r="AA44" s="161">
        <f t="shared" ref="AA44:AE44" si="34">AU44+G44</f>
        <v>31553840.25</v>
      </c>
      <c r="AB44" s="40">
        <f>AA44/X$5</f>
        <v>29.911872006647</v>
      </c>
      <c r="AC44" s="161">
        <v>0</v>
      </c>
      <c r="AD44" s="161">
        <f t="shared" si="34"/>
        <v>0</v>
      </c>
      <c r="AE44" s="161">
        <f t="shared" si="34"/>
        <v>0</v>
      </c>
      <c r="AF44" s="161">
        <f t="shared" si="22"/>
        <v>31553840.25</v>
      </c>
      <c r="AG44" s="161">
        <f>AF44/X$5</f>
        <v>29.911872006647</v>
      </c>
      <c r="AH44" s="151"/>
      <c r="AI44" s="151"/>
      <c r="AJ44" s="151"/>
      <c r="AK44" s="151"/>
      <c r="AL44" s="151"/>
      <c r="AO44" s="123">
        <v>40</v>
      </c>
      <c r="AP44" s="47" t="s">
        <v>122</v>
      </c>
      <c r="AQ44" s="135"/>
      <c r="AR44" s="136"/>
      <c r="AS44" s="169"/>
      <c r="AT44" s="136"/>
      <c r="AU44" s="161">
        <v>27046148.79</v>
      </c>
      <c r="AV44" s="40">
        <v>30.8448060208694</v>
      </c>
      <c r="AW44" s="161">
        <v>0</v>
      </c>
      <c r="AX44" s="161">
        <v>0</v>
      </c>
      <c r="AY44" s="161">
        <v>0</v>
      </c>
      <c r="AZ44" s="161">
        <v>27046148.79</v>
      </c>
      <c r="BA44" s="161">
        <v>30.8448060208694</v>
      </c>
      <c r="BB44" s="151"/>
      <c r="BC44" s="151"/>
      <c r="BD44" s="151"/>
      <c r="BE44" s="151"/>
      <c r="BF44" s="151"/>
    </row>
    <row r="45" s="2" customFormat="1" ht="15.95" customHeight="1" spans="1:58">
      <c r="A45" s="16">
        <v>41</v>
      </c>
      <c r="B45" s="47" t="s">
        <v>290</v>
      </c>
      <c r="C45" s="28"/>
      <c r="D45" s="45"/>
      <c r="E45" s="51"/>
      <c r="F45" s="52"/>
      <c r="G45" s="50"/>
      <c r="H45" s="25">
        <f>G45/D$5</f>
        <v>0</v>
      </c>
      <c r="I45" s="50"/>
      <c r="J45" s="50"/>
      <c r="K45" s="50"/>
      <c r="L45" s="25">
        <f t="shared" si="20"/>
        <v>0</v>
      </c>
      <c r="M45" s="98">
        <f>L45/D$5</f>
        <v>0</v>
      </c>
      <c r="N45" s="73"/>
      <c r="O45" s="73"/>
      <c r="P45" s="73"/>
      <c r="Q45" s="73"/>
      <c r="R45" s="73"/>
      <c r="U45" s="16">
        <v>41</v>
      </c>
      <c r="V45" s="47" t="s">
        <v>290</v>
      </c>
      <c r="W45" s="135"/>
      <c r="X45" s="136"/>
      <c r="Y45" s="169"/>
      <c r="Z45" s="136"/>
      <c r="AA45" s="161">
        <f t="shared" ref="AA45:AE45" si="35">AU45+G45</f>
        <v>597576.63</v>
      </c>
      <c r="AB45" s="40">
        <f>AA45/X$5</f>
        <v>0.566480514862955</v>
      </c>
      <c r="AC45" s="161">
        <f t="shared" si="35"/>
        <v>0</v>
      </c>
      <c r="AD45" s="161">
        <f t="shared" si="35"/>
        <v>0</v>
      </c>
      <c r="AE45" s="161">
        <f t="shared" si="35"/>
        <v>0</v>
      </c>
      <c r="AF45" s="161">
        <f t="shared" si="22"/>
        <v>597576.63</v>
      </c>
      <c r="AG45" s="161">
        <f>AF45/X$5</f>
        <v>0.566480514862955</v>
      </c>
      <c r="AH45" s="151"/>
      <c r="AI45" s="151"/>
      <c r="AJ45" s="151"/>
      <c r="AK45" s="151"/>
      <c r="AL45" s="151"/>
      <c r="AO45" s="123">
        <v>41</v>
      </c>
      <c r="AP45" s="47" t="s">
        <v>290</v>
      </c>
      <c r="AQ45" s="135"/>
      <c r="AR45" s="136"/>
      <c r="AS45" s="169"/>
      <c r="AT45" s="136"/>
      <c r="AU45" s="161">
        <v>597576.63</v>
      </c>
      <c r="AV45" s="40">
        <v>0.681506834043962</v>
      </c>
      <c r="AW45" s="161">
        <v>0</v>
      </c>
      <c r="AX45" s="161">
        <v>0</v>
      </c>
      <c r="AY45" s="161">
        <v>0</v>
      </c>
      <c r="AZ45" s="161">
        <v>597576.63</v>
      </c>
      <c r="BA45" s="161">
        <v>0.681506834043962</v>
      </c>
      <c r="BB45" s="151"/>
      <c r="BC45" s="151"/>
      <c r="BD45" s="151"/>
      <c r="BE45" s="151"/>
      <c r="BF45" s="151"/>
    </row>
    <row r="46" s="2" customFormat="1" ht="15.95" customHeight="1" spans="1:58">
      <c r="A46" s="16">
        <v>42</v>
      </c>
      <c r="B46" s="47" t="s">
        <v>172</v>
      </c>
      <c r="C46" s="28"/>
      <c r="D46" s="45"/>
      <c r="E46" s="51"/>
      <c r="F46" s="52"/>
      <c r="G46" s="48">
        <v>246902.65</v>
      </c>
      <c r="H46" s="25">
        <f>G46/D$5</f>
        <v>1.38672426556074</v>
      </c>
      <c r="I46" s="50"/>
      <c r="J46" s="50"/>
      <c r="K46" s="50"/>
      <c r="L46" s="25">
        <f t="shared" si="20"/>
        <v>246902.65</v>
      </c>
      <c r="M46" s="98">
        <f>L46/D$5</f>
        <v>1.38672426556074</v>
      </c>
      <c r="N46" s="73"/>
      <c r="O46" s="73"/>
      <c r="P46" s="73"/>
      <c r="Q46" s="73"/>
      <c r="R46" s="73"/>
      <c r="U46" s="16">
        <v>42</v>
      </c>
      <c r="V46" s="47" t="s">
        <v>172</v>
      </c>
      <c r="W46" s="135"/>
      <c r="X46" s="136"/>
      <c r="Y46" s="169"/>
      <c r="Z46" s="136"/>
      <c r="AA46" s="161">
        <f t="shared" ref="AA46:AE46" si="36">AU46+G46</f>
        <v>1688495.55</v>
      </c>
      <c r="AB46" s="40">
        <f>AA46/X$5</f>
        <v>1.60063125043529</v>
      </c>
      <c r="AC46" s="161">
        <f t="shared" si="36"/>
        <v>0</v>
      </c>
      <c r="AD46" s="161">
        <f t="shared" si="36"/>
        <v>0</v>
      </c>
      <c r="AE46" s="161">
        <f t="shared" si="36"/>
        <v>0</v>
      </c>
      <c r="AF46" s="161">
        <f t="shared" si="22"/>
        <v>1688495.55</v>
      </c>
      <c r="AG46" s="161">
        <f>AF46/X$5</f>
        <v>1.60063125043529</v>
      </c>
      <c r="AH46" s="151"/>
      <c r="AI46" s="151"/>
      <c r="AJ46" s="151"/>
      <c r="AK46" s="151"/>
      <c r="AL46" s="151"/>
      <c r="AO46" s="123">
        <v>42</v>
      </c>
      <c r="AP46" s="47" t="s">
        <v>172</v>
      </c>
      <c r="AQ46" s="135"/>
      <c r="AR46" s="136"/>
      <c r="AS46" s="169"/>
      <c r="AT46" s="136"/>
      <c r="AU46" s="161">
        <v>1441592.9</v>
      </c>
      <c r="AV46" s="40">
        <v>1.64406598909207</v>
      </c>
      <c r="AW46" s="161">
        <v>0</v>
      </c>
      <c r="AX46" s="161">
        <v>0</v>
      </c>
      <c r="AY46" s="161">
        <v>0</v>
      </c>
      <c r="AZ46" s="161">
        <v>1441592.9</v>
      </c>
      <c r="BA46" s="161">
        <v>1.64406598909207</v>
      </c>
      <c r="BB46" s="151"/>
      <c r="BC46" s="151"/>
      <c r="BD46" s="151"/>
      <c r="BE46" s="151"/>
      <c r="BF46" s="151"/>
    </row>
    <row r="47" s="2" customFormat="1" ht="15.95" customHeight="1" spans="1:58">
      <c r="A47" s="16">
        <v>43</v>
      </c>
      <c r="B47" s="47" t="s">
        <v>128</v>
      </c>
      <c r="C47" s="28"/>
      <c r="D47" s="45"/>
      <c r="E47" s="51"/>
      <c r="F47" s="53"/>
      <c r="G47" s="48">
        <f>19288.44+697.5</f>
        <v>19985.94</v>
      </c>
      <c r="H47" s="25">
        <f>G47/D$5</f>
        <v>0.112250670327115</v>
      </c>
      <c r="I47" s="48">
        <v>273513.55</v>
      </c>
      <c r="J47" s="50"/>
      <c r="K47" s="100">
        <v>212573.23</v>
      </c>
      <c r="L47" s="25">
        <f t="shared" si="20"/>
        <v>506072.72</v>
      </c>
      <c r="M47" s="98">
        <f>L47/D$5</f>
        <v>2.84234827354963</v>
      </c>
      <c r="N47" s="73"/>
      <c r="O47" s="73"/>
      <c r="P47" s="73"/>
      <c r="Q47" s="73"/>
      <c r="R47" s="73"/>
      <c r="U47" s="123">
        <v>43</v>
      </c>
      <c r="V47" s="47" t="s">
        <v>128</v>
      </c>
      <c r="W47" s="135"/>
      <c r="X47" s="136"/>
      <c r="Y47" s="169"/>
      <c r="Z47" s="136"/>
      <c r="AA47" s="161">
        <f t="shared" ref="AA47:AE47" si="37">AU47+G47</f>
        <v>46564.27</v>
      </c>
      <c r="AB47" s="40">
        <f>AA47/X$5</f>
        <v>0.0441412035203211</v>
      </c>
      <c r="AC47" s="161">
        <f t="shared" si="37"/>
        <v>1817780.33</v>
      </c>
      <c r="AD47" s="161">
        <f t="shared" si="37"/>
        <v>499.99</v>
      </c>
      <c r="AE47" s="161">
        <f t="shared" si="37"/>
        <v>1335905.59</v>
      </c>
      <c r="AF47" s="161">
        <f t="shared" si="22"/>
        <v>3200750.18</v>
      </c>
      <c r="AG47" s="161">
        <f>AF47/X$5</f>
        <v>3.03419263553545</v>
      </c>
      <c r="AH47" s="151"/>
      <c r="AI47" s="151"/>
      <c r="AJ47" s="151"/>
      <c r="AK47" s="151"/>
      <c r="AL47" s="151"/>
      <c r="AO47" s="123">
        <v>43</v>
      </c>
      <c r="AP47" s="47" t="s">
        <v>128</v>
      </c>
      <c r="AQ47" s="135"/>
      <c r="AR47" s="136"/>
      <c r="AS47" s="169"/>
      <c r="AT47" s="136"/>
      <c r="AU47" s="161">
        <v>26578.33</v>
      </c>
      <c r="AV47" s="40">
        <v>0.030311281638433</v>
      </c>
      <c r="AW47" s="161">
        <v>1544266.78</v>
      </c>
      <c r="AX47" s="161">
        <v>499.99</v>
      </c>
      <c r="AY47" s="161">
        <v>1123332.36</v>
      </c>
      <c r="AZ47" s="161">
        <v>2694677.46</v>
      </c>
      <c r="BA47" s="161">
        <v>3.07314746317008</v>
      </c>
      <c r="BB47" s="151"/>
      <c r="BC47" s="151"/>
      <c r="BD47" s="151"/>
      <c r="BE47" s="151"/>
      <c r="BF47" s="151"/>
    </row>
    <row r="48" s="2" customFormat="1" ht="15.95" customHeight="1" spans="1:58">
      <c r="A48" s="16">
        <v>44</v>
      </c>
      <c r="B48" s="47" t="s">
        <v>291</v>
      </c>
      <c r="C48" s="31"/>
      <c r="D48" s="34"/>
      <c r="E48" s="37"/>
      <c r="F48" s="53" t="s">
        <v>292</v>
      </c>
      <c r="G48" s="48">
        <v>1470110.9</v>
      </c>
      <c r="H48" s="25">
        <f>G48/D$5</f>
        <v>8.25685126544954</v>
      </c>
      <c r="I48" s="50"/>
      <c r="J48" s="102">
        <f>-101983.06</f>
        <v>-101983.06</v>
      </c>
      <c r="K48" s="50"/>
      <c r="L48" s="25">
        <f t="shared" si="20"/>
        <v>1368127.84</v>
      </c>
      <c r="M48" s="98">
        <f>L48/D$5</f>
        <v>7.68406525453334</v>
      </c>
      <c r="N48" s="73"/>
      <c r="O48" s="73"/>
      <c r="P48" s="73"/>
      <c r="Q48" s="73"/>
      <c r="R48" s="73"/>
      <c r="U48" s="16">
        <v>44</v>
      </c>
      <c r="V48" s="137" t="s">
        <v>291</v>
      </c>
      <c r="W48" s="128"/>
      <c r="X48" s="54"/>
      <c r="Y48" s="162"/>
      <c r="Z48" s="136"/>
      <c r="AA48" s="161">
        <f t="shared" ref="AA48:AE48" si="38">AU48+G48</f>
        <v>10290776.3</v>
      </c>
      <c r="AB48" s="40">
        <f>AA48/X$5</f>
        <v>9.75527482854122</v>
      </c>
      <c r="AC48" s="161">
        <f t="shared" si="38"/>
        <v>700</v>
      </c>
      <c r="AD48" s="161">
        <f t="shared" si="38"/>
        <v>-2067389.14</v>
      </c>
      <c r="AE48" s="161">
        <f t="shared" si="38"/>
        <v>0</v>
      </c>
      <c r="AF48" s="161">
        <f t="shared" si="22"/>
        <v>8224087.16</v>
      </c>
      <c r="AG48" s="161">
        <f>AF48/X$5</f>
        <v>7.79613006063275</v>
      </c>
      <c r="AH48" s="151"/>
      <c r="AI48" s="151"/>
      <c r="AJ48" s="151"/>
      <c r="AK48" s="151"/>
      <c r="AL48" s="151"/>
      <c r="AO48" s="123">
        <v>44</v>
      </c>
      <c r="AP48" s="47" t="s">
        <v>291</v>
      </c>
      <c r="AQ48" s="128"/>
      <c r="AR48" s="54"/>
      <c r="AS48" s="162"/>
      <c r="AT48" s="136"/>
      <c r="AU48" s="161">
        <v>8820665.4</v>
      </c>
      <c r="AV48" s="40">
        <v>10.0595362153221</v>
      </c>
      <c r="AW48" s="161">
        <v>700</v>
      </c>
      <c r="AX48" s="161">
        <v>-1965406.08</v>
      </c>
      <c r="AY48" s="161">
        <v>0</v>
      </c>
      <c r="AZ48" s="161">
        <v>6855959.32</v>
      </c>
      <c r="BA48" s="161">
        <v>7.81888530431217</v>
      </c>
      <c r="BB48" s="151"/>
      <c r="BC48" s="151"/>
      <c r="BD48" s="151"/>
      <c r="BE48" s="151"/>
      <c r="BF48" s="151"/>
    </row>
    <row r="49" s="2" customFormat="1" ht="15.95" customHeight="1" spans="1:58">
      <c r="A49" s="16">
        <v>45</v>
      </c>
      <c r="B49" s="31" t="s">
        <v>293</v>
      </c>
      <c r="C49" s="31"/>
      <c r="D49" s="34"/>
      <c r="E49" s="37"/>
      <c r="F49" s="34"/>
      <c r="G49" s="54">
        <f>G12+G5+G31+G11</f>
        <v>909537214.424518</v>
      </c>
      <c r="H49" s="20">
        <f>G49/D$5</f>
        <v>5108.3993050419</v>
      </c>
      <c r="I49" s="20"/>
      <c r="J49" s="20"/>
      <c r="K49" s="20"/>
      <c r="L49" s="90"/>
      <c r="M49" s="73"/>
      <c r="N49" s="73"/>
      <c r="O49" s="73"/>
      <c r="P49" s="73"/>
      <c r="Q49" s="73"/>
      <c r="R49" s="73"/>
      <c r="U49" s="16">
        <v>45</v>
      </c>
      <c r="V49" s="128" t="s">
        <v>293</v>
      </c>
      <c r="W49" s="128"/>
      <c r="X49" s="54"/>
      <c r="Y49" s="162"/>
      <c r="Z49" s="54"/>
      <c r="AA49" s="54">
        <f>AA12+AA5+AA31+AA11</f>
        <v>4912140524.2949</v>
      </c>
      <c r="AB49" s="54">
        <f>AA49/X$7</f>
        <v>5203.43814998203</v>
      </c>
      <c r="AC49" s="54"/>
      <c r="AD49" s="54"/>
      <c r="AE49" s="54"/>
      <c r="AF49" s="167"/>
      <c r="AG49" s="151"/>
      <c r="AH49" s="151"/>
      <c r="AI49" s="151"/>
      <c r="AJ49" s="151"/>
      <c r="AK49" s="151"/>
      <c r="AL49" s="151"/>
      <c r="AO49" s="123">
        <v>45</v>
      </c>
      <c r="AP49" s="128" t="s">
        <v>293</v>
      </c>
      <c r="AQ49" s="128"/>
      <c r="AR49" s="54"/>
      <c r="AS49" s="162"/>
      <c r="AT49" s="54"/>
      <c r="AU49" s="54">
        <v>4002603309.87038</v>
      </c>
      <c r="AV49" s="54">
        <v>5080.02145302782</v>
      </c>
      <c r="AW49" s="54"/>
      <c r="AX49" s="54"/>
      <c r="AY49" s="54"/>
      <c r="AZ49" s="101"/>
      <c r="BA49" s="101"/>
      <c r="BB49" s="101"/>
      <c r="BC49" s="101"/>
      <c r="BD49" s="101"/>
      <c r="BE49" s="151"/>
      <c r="BF49" s="151"/>
    </row>
    <row r="50" s="2" customFormat="1" ht="15.95" customHeight="1" spans="1:58">
      <c r="A50" s="16">
        <v>46</v>
      </c>
      <c r="B50" s="55" t="s">
        <v>294</v>
      </c>
      <c r="C50" s="56"/>
      <c r="D50" s="57" t="s">
        <v>295</v>
      </c>
      <c r="E50" s="57"/>
      <c r="F50" s="57" t="s">
        <v>296</v>
      </c>
      <c r="G50" s="58" t="s">
        <v>297</v>
      </c>
      <c r="H50" s="17"/>
      <c r="I50" s="103" t="s">
        <v>298</v>
      </c>
      <c r="J50" s="104" t="s">
        <v>45</v>
      </c>
      <c r="K50" s="104" t="s">
        <v>299</v>
      </c>
      <c r="L50" s="105" t="s">
        <v>300</v>
      </c>
      <c r="M50" s="103" t="s">
        <v>301</v>
      </c>
      <c r="N50" s="104" t="s">
        <v>45</v>
      </c>
      <c r="O50" s="104" t="s">
        <v>299</v>
      </c>
      <c r="P50" s="105" t="s">
        <v>302</v>
      </c>
      <c r="Q50" s="73" t="s">
        <v>303</v>
      </c>
      <c r="R50" s="73"/>
      <c r="S50" s="2" t="s">
        <v>304</v>
      </c>
      <c r="U50" s="123">
        <v>46</v>
      </c>
      <c r="V50" s="138" t="s">
        <v>294</v>
      </c>
      <c r="W50" s="139"/>
      <c r="X50" s="57" t="s">
        <v>295</v>
      </c>
      <c r="Y50" s="57"/>
      <c r="Z50" s="57" t="s">
        <v>296</v>
      </c>
      <c r="AA50" s="58" t="s">
        <v>297</v>
      </c>
      <c r="AB50" s="17"/>
      <c r="AC50" s="103" t="s">
        <v>298</v>
      </c>
      <c r="AD50" s="104" t="s">
        <v>45</v>
      </c>
      <c r="AE50" s="104" t="s">
        <v>299</v>
      </c>
      <c r="AF50" s="105" t="s">
        <v>300</v>
      </c>
      <c r="AG50" s="103" t="s">
        <v>301</v>
      </c>
      <c r="AH50" s="104" t="s">
        <v>45</v>
      </c>
      <c r="AI50" s="104" t="s">
        <v>299</v>
      </c>
      <c r="AJ50" s="105" t="s">
        <v>302</v>
      </c>
      <c r="AK50" s="151"/>
      <c r="AL50" s="151"/>
      <c r="AO50" s="123">
        <v>46</v>
      </c>
      <c r="AP50" s="138" t="s">
        <v>294</v>
      </c>
      <c r="AQ50" s="139"/>
      <c r="AR50" s="57" t="s">
        <v>295</v>
      </c>
      <c r="AS50" s="57"/>
      <c r="AT50" s="57" t="s">
        <v>296</v>
      </c>
      <c r="AU50" s="58" t="s">
        <v>297</v>
      </c>
      <c r="AV50" s="17"/>
      <c r="AW50" s="103" t="s">
        <v>298</v>
      </c>
      <c r="AX50" s="104" t="s">
        <v>45</v>
      </c>
      <c r="AY50" s="104" t="s">
        <v>299</v>
      </c>
      <c r="AZ50" s="105" t="s">
        <v>300</v>
      </c>
      <c r="BA50" s="103" t="s">
        <v>301</v>
      </c>
      <c r="BB50" s="104" t="s">
        <v>45</v>
      </c>
      <c r="BC50" s="104" t="s">
        <v>299</v>
      </c>
      <c r="BD50" s="105" t="s">
        <v>302</v>
      </c>
      <c r="BE50" s="151"/>
      <c r="BF50" s="151"/>
    </row>
    <row r="51" s="2" customFormat="1" ht="15.95" customHeight="1" spans="1:58">
      <c r="A51" s="16">
        <v>47</v>
      </c>
      <c r="B51" s="18" t="s">
        <v>189</v>
      </c>
      <c r="C51" s="22" t="s">
        <v>90</v>
      </c>
      <c r="D51" s="59">
        <f t="shared" ref="D51:D60" si="39">M51-I51</f>
        <v>0</v>
      </c>
      <c r="E51" s="60">
        <f t="shared" ref="E51:E60" si="40">F51*1.13</f>
        <v>5246.91297408141</v>
      </c>
      <c r="F51" s="60">
        <v>4643.28581777116</v>
      </c>
      <c r="G51" s="61">
        <f>F51*D51</f>
        <v>0</v>
      </c>
      <c r="H51" s="62"/>
      <c r="I51" s="106"/>
      <c r="J51" s="60">
        <v>5246.91297408141</v>
      </c>
      <c r="K51" s="60">
        <v>4643.28581777116</v>
      </c>
      <c r="L51" s="107">
        <v>0</v>
      </c>
      <c r="M51" s="106"/>
      <c r="N51" s="60">
        <f t="shared" ref="N51:N60" si="41">O51*1.13</f>
        <v>5246.91297408141</v>
      </c>
      <c r="O51" s="60">
        <v>4643.28581777116</v>
      </c>
      <c r="P51" s="107">
        <f t="shared" ref="P51:P60" si="42">O51*M51</f>
        <v>0</v>
      </c>
      <c r="Q51" s="73">
        <f>K72-K51-1385*1.1</f>
        <v>-6166.78581777116</v>
      </c>
      <c r="R51" s="73">
        <f t="shared" ref="R51:R60" si="43">Q51*D51</f>
        <v>0</v>
      </c>
      <c r="S51" s="73">
        <f>H72-K51</f>
        <v>-4643.28581777116</v>
      </c>
      <c r="T51" s="140">
        <f t="shared" ref="T51:T60" si="44">S51*D51</f>
        <v>0</v>
      </c>
      <c r="U51" s="16">
        <v>47</v>
      </c>
      <c r="V51" s="125" t="s">
        <v>189</v>
      </c>
      <c r="W51" s="126" t="s">
        <v>90</v>
      </c>
      <c r="X51" s="141">
        <f t="shared" ref="X51:X60" si="45">AR51+D51</f>
        <v>0</v>
      </c>
      <c r="Y51" s="61">
        <f t="shared" ref="Y51:Y60" si="46">Z51*1.13</f>
        <v>5246.9177</v>
      </c>
      <c r="Z51" s="170">
        <v>4643.29</v>
      </c>
      <c r="AA51" s="61">
        <f t="shared" ref="AA51:AA60" si="47">AU51+G51</f>
        <v>0</v>
      </c>
      <c r="AB51" s="62"/>
      <c r="AC51" s="101"/>
      <c r="AD51" s="171">
        <v>5246.91297408141</v>
      </c>
      <c r="AE51" s="172">
        <v>4643.28581777116</v>
      </c>
      <c r="AF51" s="107">
        <v>0</v>
      </c>
      <c r="AG51" s="101">
        <f t="shared" ref="AG51:AG64" si="48">AC51+X51</f>
        <v>0</v>
      </c>
      <c r="AH51" s="108">
        <v>5247</v>
      </c>
      <c r="AI51" s="108">
        <v>4643</v>
      </c>
      <c r="AJ51" s="107">
        <f t="shared" ref="AJ51:AJ64" si="49">AF51+AA51</f>
        <v>0</v>
      </c>
      <c r="AK51" s="151"/>
      <c r="AL51" s="151"/>
      <c r="AO51" s="123">
        <v>47</v>
      </c>
      <c r="AP51" s="125" t="s">
        <v>189</v>
      </c>
      <c r="AQ51" s="185" t="s">
        <v>90</v>
      </c>
      <c r="AR51" s="141">
        <v>0</v>
      </c>
      <c r="AS51" s="61">
        <v>5246.9177</v>
      </c>
      <c r="AT51" s="170">
        <v>4643.29</v>
      </c>
      <c r="AU51" s="61">
        <v>0</v>
      </c>
      <c r="AV51" s="62"/>
      <c r="AW51" s="101"/>
      <c r="AX51" s="171">
        <v>5246.91297408141</v>
      </c>
      <c r="AY51" s="172">
        <v>4643.28581777116</v>
      </c>
      <c r="AZ51" s="107">
        <v>0</v>
      </c>
      <c r="BA51" s="101">
        <v>0</v>
      </c>
      <c r="BB51" s="108">
        <v>5247</v>
      </c>
      <c r="BC51" s="108">
        <v>4643</v>
      </c>
      <c r="BD51" s="107">
        <v>0</v>
      </c>
      <c r="BE51" s="151"/>
      <c r="BF51" s="151"/>
    </row>
    <row r="52" s="2" customFormat="1" ht="17.25" customHeight="1" spans="1:58">
      <c r="A52" s="16">
        <v>48</v>
      </c>
      <c r="B52" s="18" t="s">
        <v>71</v>
      </c>
      <c r="C52" s="22" t="s">
        <v>90</v>
      </c>
      <c r="D52" s="59">
        <f t="shared" si="39"/>
        <v>98</v>
      </c>
      <c r="E52" s="60">
        <f t="shared" si="40"/>
        <v>5511.53400349378</v>
      </c>
      <c r="F52" s="60">
        <v>4877.463719906</v>
      </c>
      <c r="G52" s="61">
        <f t="shared" ref="G52:G60" si="50">ROUND(F52*D52,2)</f>
        <v>477991.44</v>
      </c>
      <c r="H52" s="62"/>
      <c r="I52" s="59">
        <v>2264</v>
      </c>
      <c r="J52" s="60">
        <v>5511.53400349378</v>
      </c>
      <c r="K52" s="60">
        <v>4877.463719906</v>
      </c>
      <c r="L52" s="107">
        <v>11042577.8618672</v>
      </c>
      <c r="M52" s="59">
        <v>2362</v>
      </c>
      <c r="N52" s="60">
        <f t="shared" si="41"/>
        <v>5511.53400349378</v>
      </c>
      <c r="O52" s="60">
        <v>4877.463719906</v>
      </c>
      <c r="P52" s="107">
        <f t="shared" si="42"/>
        <v>11520569.306418</v>
      </c>
      <c r="Q52" s="73">
        <f>K67-K52</f>
        <v>2612.64193426142</v>
      </c>
      <c r="R52" s="73">
        <f t="shared" si="43"/>
        <v>256038.90955762</v>
      </c>
      <c r="S52" s="73">
        <f>H67-K52</f>
        <v>766.664598721536</v>
      </c>
      <c r="T52" s="140">
        <f t="shared" si="44"/>
        <v>75133.1306747105</v>
      </c>
      <c r="U52" s="16">
        <v>48</v>
      </c>
      <c r="V52" s="125" t="s">
        <v>71</v>
      </c>
      <c r="W52" s="126" t="s">
        <v>90</v>
      </c>
      <c r="X52" s="141">
        <f t="shared" si="45"/>
        <v>-184</v>
      </c>
      <c r="Y52" s="61">
        <f t="shared" si="46"/>
        <v>5511.5298</v>
      </c>
      <c r="Z52" s="173">
        <v>4877.46</v>
      </c>
      <c r="AA52" s="61">
        <f t="shared" si="47"/>
        <v>-897453.319999998</v>
      </c>
      <c r="AB52" s="62"/>
      <c r="AC52" s="59">
        <v>2546</v>
      </c>
      <c r="AD52" s="171">
        <v>5511.53400349378</v>
      </c>
      <c r="AE52" s="172">
        <v>4877.463719906</v>
      </c>
      <c r="AF52" s="107">
        <v>12418022.6308807</v>
      </c>
      <c r="AG52" s="59">
        <f t="shared" si="48"/>
        <v>2362</v>
      </c>
      <c r="AH52" s="108">
        <v>5512</v>
      </c>
      <c r="AI52" s="108">
        <v>4877</v>
      </c>
      <c r="AJ52" s="107">
        <f t="shared" si="49"/>
        <v>11520569.3108807</v>
      </c>
      <c r="AK52" s="151"/>
      <c r="AL52" s="151"/>
      <c r="AO52" s="123">
        <v>48</v>
      </c>
      <c r="AP52" s="125" t="s">
        <v>71</v>
      </c>
      <c r="AQ52" s="185" t="s">
        <v>90</v>
      </c>
      <c r="AR52" s="141">
        <v>-282</v>
      </c>
      <c r="AS52" s="61">
        <v>5511.5298</v>
      </c>
      <c r="AT52" s="173">
        <v>4877.46</v>
      </c>
      <c r="AU52" s="61">
        <v>-1375444.76</v>
      </c>
      <c r="AV52" s="62"/>
      <c r="AW52" s="59">
        <v>2546</v>
      </c>
      <c r="AX52" s="171">
        <v>5511.53400349378</v>
      </c>
      <c r="AY52" s="172">
        <v>4877.463719906</v>
      </c>
      <c r="AZ52" s="107">
        <v>12418022.6308807</v>
      </c>
      <c r="BA52" s="59">
        <v>2264</v>
      </c>
      <c r="BB52" s="108">
        <v>5512</v>
      </c>
      <c r="BC52" s="108">
        <v>4877</v>
      </c>
      <c r="BD52" s="107">
        <v>11042577.8708807</v>
      </c>
      <c r="BE52" s="151"/>
      <c r="BF52" s="151"/>
    </row>
    <row r="53" s="2" customFormat="1" ht="15.95" customHeight="1" spans="1:58">
      <c r="A53" s="16">
        <v>49</v>
      </c>
      <c r="B53" s="18" t="s">
        <v>74</v>
      </c>
      <c r="C53" s="22" t="s">
        <v>90</v>
      </c>
      <c r="D53" s="59">
        <f t="shared" si="39"/>
        <v>0</v>
      </c>
      <c r="E53" s="60">
        <f t="shared" si="40"/>
        <v>4733.72829135287</v>
      </c>
      <c r="F53" s="60">
        <v>4189.14008084325</v>
      </c>
      <c r="G53" s="61">
        <f t="shared" si="50"/>
        <v>0</v>
      </c>
      <c r="H53" s="62"/>
      <c r="I53" s="59"/>
      <c r="J53" s="60">
        <v>4733.72829135287</v>
      </c>
      <c r="K53" s="60">
        <v>4189.14008084325</v>
      </c>
      <c r="L53" s="107">
        <v>0</v>
      </c>
      <c r="M53" s="59"/>
      <c r="N53" s="60">
        <f t="shared" si="41"/>
        <v>4733.72829135287</v>
      </c>
      <c r="O53" s="60">
        <v>4189.14008084325</v>
      </c>
      <c r="P53" s="107">
        <f t="shared" si="42"/>
        <v>0</v>
      </c>
      <c r="Q53" s="73">
        <f>K70-K53</f>
        <v>-4189.14008084325</v>
      </c>
      <c r="R53" s="73">
        <f t="shared" si="43"/>
        <v>0</v>
      </c>
      <c r="S53" s="73">
        <f>H70-K53</f>
        <v>-4189.14008084325</v>
      </c>
      <c r="T53" s="140">
        <f t="shared" si="44"/>
        <v>0</v>
      </c>
      <c r="U53" s="123">
        <v>49</v>
      </c>
      <c r="V53" s="125" t="s">
        <v>74</v>
      </c>
      <c r="W53" s="126" t="s">
        <v>90</v>
      </c>
      <c r="X53" s="141">
        <f t="shared" si="45"/>
        <v>0</v>
      </c>
      <c r="Y53" s="61">
        <f t="shared" si="46"/>
        <v>4733.7282</v>
      </c>
      <c r="Z53" s="173">
        <v>4189.14</v>
      </c>
      <c r="AA53" s="61">
        <f t="shared" si="47"/>
        <v>0</v>
      </c>
      <c r="AB53" s="62"/>
      <c r="AC53" s="59"/>
      <c r="AD53" s="171">
        <v>4733.72829135287</v>
      </c>
      <c r="AE53" s="172">
        <v>4189.14008084325</v>
      </c>
      <c r="AF53" s="107">
        <v>0</v>
      </c>
      <c r="AG53" s="59">
        <f t="shared" si="48"/>
        <v>0</v>
      </c>
      <c r="AH53" s="108">
        <v>4734</v>
      </c>
      <c r="AI53" s="108">
        <v>4189</v>
      </c>
      <c r="AJ53" s="107">
        <f t="shared" si="49"/>
        <v>0</v>
      </c>
      <c r="AK53" s="151"/>
      <c r="AL53" s="151"/>
      <c r="AO53" s="123">
        <v>49</v>
      </c>
      <c r="AP53" s="125" t="s">
        <v>74</v>
      </c>
      <c r="AQ53" s="185" t="s">
        <v>90</v>
      </c>
      <c r="AR53" s="141">
        <v>0</v>
      </c>
      <c r="AS53" s="61">
        <v>4733.7282</v>
      </c>
      <c r="AT53" s="173">
        <v>4189.14</v>
      </c>
      <c r="AU53" s="61">
        <v>0</v>
      </c>
      <c r="AV53" s="62"/>
      <c r="AW53" s="59"/>
      <c r="AX53" s="171">
        <v>4733.72829135287</v>
      </c>
      <c r="AY53" s="172">
        <v>4189.14008084325</v>
      </c>
      <c r="AZ53" s="107">
        <v>0</v>
      </c>
      <c r="BA53" s="59">
        <v>0</v>
      </c>
      <c r="BB53" s="108">
        <v>4734</v>
      </c>
      <c r="BC53" s="108">
        <v>4189</v>
      </c>
      <c r="BD53" s="107">
        <v>0</v>
      </c>
      <c r="BE53" s="151"/>
      <c r="BF53" s="151"/>
    </row>
    <row r="54" s="2" customFormat="1" ht="15.95" customHeight="1" spans="1:58">
      <c r="A54" s="16">
        <v>50</v>
      </c>
      <c r="B54" s="18" t="s">
        <v>72</v>
      </c>
      <c r="C54" s="22" t="s">
        <v>90</v>
      </c>
      <c r="D54" s="59">
        <f t="shared" si="39"/>
        <v>3116</v>
      </c>
      <c r="E54" s="60">
        <f t="shared" si="40"/>
        <v>6535.29239540425</v>
      </c>
      <c r="F54" s="60">
        <v>5783.44459770288</v>
      </c>
      <c r="G54" s="61">
        <f t="shared" si="50"/>
        <v>18021213.37</v>
      </c>
      <c r="H54" s="62"/>
      <c r="I54" s="59">
        <v>839</v>
      </c>
      <c r="J54" s="60">
        <v>6535.29239540425</v>
      </c>
      <c r="K54" s="60">
        <v>5783.44459770288</v>
      </c>
      <c r="L54" s="107">
        <v>4852310.01747272</v>
      </c>
      <c r="M54" s="59">
        <v>3955</v>
      </c>
      <c r="N54" s="60">
        <f t="shared" si="41"/>
        <v>6535.29239540425</v>
      </c>
      <c r="O54" s="60">
        <v>5783.44459770288</v>
      </c>
      <c r="P54" s="59">
        <f t="shared" si="42"/>
        <v>22873523.3839149</v>
      </c>
      <c r="Q54" s="73">
        <f>K68-K54</f>
        <v>256.323232192181</v>
      </c>
      <c r="R54" s="73">
        <f t="shared" si="43"/>
        <v>798703.191510837</v>
      </c>
      <c r="S54" s="73">
        <f>H68-K54</f>
        <v>856.706365085103</v>
      </c>
      <c r="T54" s="140">
        <f t="shared" si="44"/>
        <v>2669497.03360518</v>
      </c>
      <c r="U54" s="16">
        <v>50</v>
      </c>
      <c r="V54" s="125" t="s">
        <v>72</v>
      </c>
      <c r="W54" s="126" t="s">
        <v>90</v>
      </c>
      <c r="X54" s="141">
        <f t="shared" si="45"/>
        <v>-1977</v>
      </c>
      <c r="Y54" s="61">
        <f t="shared" si="46"/>
        <v>6535.2872</v>
      </c>
      <c r="Z54" s="173">
        <v>5783.44</v>
      </c>
      <c r="AA54" s="61">
        <f t="shared" si="47"/>
        <v>-11433869.96</v>
      </c>
      <c r="AB54" s="62"/>
      <c r="AC54" s="59">
        <v>5932</v>
      </c>
      <c r="AD54" s="171">
        <v>6535.29239540425</v>
      </c>
      <c r="AE54" s="172">
        <v>5783.44459770288</v>
      </c>
      <c r="AF54" s="107">
        <v>34307393.3535735</v>
      </c>
      <c r="AG54" s="59">
        <f t="shared" si="48"/>
        <v>3955</v>
      </c>
      <c r="AH54" s="108">
        <v>6535</v>
      </c>
      <c r="AI54" s="108">
        <v>5783</v>
      </c>
      <c r="AJ54" s="59">
        <f t="shared" si="49"/>
        <v>22873523.3935735</v>
      </c>
      <c r="AK54" s="151"/>
      <c r="AL54" s="151"/>
      <c r="AO54" s="123">
        <v>50</v>
      </c>
      <c r="AP54" s="125" t="s">
        <v>72</v>
      </c>
      <c r="AQ54" s="185" t="s">
        <v>90</v>
      </c>
      <c r="AR54" s="141">
        <v>-5093</v>
      </c>
      <c r="AS54" s="61">
        <v>6535.2872</v>
      </c>
      <c r="AT54" s="173">
        <v>5783.44</v>
      </c>
      <c r="AU54" s="61">
        <v>-29455083.33</v>
      </c>
      <c r="AV54" s="62"/>
      <c r="AW54" s="59">
        <v>5932</v>
      </c>
      <c r="AX54" s="171">
        <v>6535.29239540425</v>
      </c>
      <c r="AY54" s="172">
        <v>5783.44459770288</v>
      </c>
      <c r="AZ54" s="107">
        <v>34307393.3535735</v>
      </c>
      <c r="BA54" s="59">
        <v>839</v>
      </c>
      <c r="BB54" s="108">
        <v>6535</v>
      </c>
      <c r="BC54" s="108">
        <v>5783</v>
      </c>
      <c r="BD54" s="59">
        <v>4852310.02357348</v>
      </c>
      <c r="BE54" s="151"/>
      <c r="BF54" s="151"/>
    </row>
    <row r="55" s="2" customFormat="1" ht="16.5" customHeight="1" spans="1:58">
      <c r="A55" s="16">
        <v>51</v>
      </c>
      <c r="B55" s="18" t="s">
        <v>73</v>
      </c>
      <c r="C55" s="22" t="s">
        <v>90</v>
      </c>
      <c r="D55" s="59">
        <f t="shared" si="39"/>
        <v>2</v>
      </c>
      <c r="E55" s="60">
        <f t="shared" si="40"/>
        <v>5896.68918523628</v>
      </c>
      <c r="F55" s="60">
        <v>5218.30901348343</v>
      </c>
      <c r="G55" s="61">
        <f t="shared" si="50"/>
        <v>10436.62</v>
      </c>
      <c r="H55" s="62"/>
      <c r="I55" s="59">
        <v>20</v>
      </c>
      <c r="J55" s="60">
        <v>5896.68918523628</v>
      </c>
      <c r="K55" s="60">
        <v>5218.30901348343</v>
      </c>
      <c r="L55" s="107">
        <v>104366.180269669</v>
      </c>
      <c r="M55" s="59">
        <v>22</v>
      </c>
      <c r="N55" s="60">
        <f t="shared" si="41"/>
        <v>5896.68918523628</v>
      </c>
      <c r="O55" s="60">
        <v>5218.30901348343</v>
      </c>
      <c r="P55" s="107">
        <f t="shared" si="42"/>
        <v>114802.798296635</v>
      </c>
      <c r="Q55" s="73">
        <f>K69-K55</f>
        <v>142.498301425706</v>
      </c>
      <c r="R55" s="73">
        <f t="shared" si="43"/>
        <v>284.996602851412</v>
      </c>
      <c r="S55" s="73">
        <f>H69-K55</f>
        <v>757.826852464854</v>
      </c>
      <c r="T55" s="140">
        <f t="shared" si="44"/>
        <v>1515.65370492971</v>
      </c>
      <c r="U55" s="16">
        <v>51</v>
      </c>
      <c r="V55" s="125" t="s">
        <v>73</v>
      </c>
      <c r="W55" s="126" t="s">
        <v>90</v>
      </c>
      <c r="X55" s="141">
        <f t="shared" si="45"/>
        <v>-1346</v>
      </c>
      <c r="Y55" s="61">
        <f t="shared" si="46"/>
        <v>5896.6903</v>
      </c>
      <c r="Z55" s="173">
        <v>5218.31</v>
      </c>
      <c r="AA55" s="61">
        <f t="shared" si="47"/>
        <v>-7023843.94</v>
      </c>
      <c r="AB55" s="62"/>
      <c r="AC55" s="59">
        <v>1368</v>
      </c>
      <c r="AD55" s="171">
        <v>5896.68918523628</v>
      </c>
      <c r="AE55" s="172">
        <v>5218.30901348343</v>
      </c>
      <c r="AF55" s="107">
        <v>7138646.73044533</v>
      </c>
      <c r="AG55" s="59">
        <f t="shared" si="48"/>
        <v>22</v>
      </c>
      <c r="AH55" s="108">
        <v>5897</v>
      </c>
      <c r="AI55" s="108">
        <v>5218</v>
      </c>
      <c r="AJ55" s="107">
        <f t="shared" si="49"/>
        <v>114802.790445331</v>
      </c>
      <c r="AK55" s="151"/>
      <c r="AL55" s="151"/>
      <c r="AO55" s="123">
        <v>51</v>
      </c>
      <c r="AP55" s="125" t="s">
        <v>73</v>
      </c>
      <c r="AQ55" s="185" t="s">
        <v>90</v>
      </c>
      <c r="AR55" s="141">
        <v>-1348</v>
      </c>
      <c r="AS55" s="61">
        <v>5896.6903</v>
      </c>
      <c r="AT55" s="173">
        <v>5218.31</v>
      </c>
      <c r="AU55" s="61">
        <v>-7034280.56</v>
      </c>
      <c r="AV55" s="62"/>
      <c r="AW55" s="59">
        <v>1368</v>
      </c>
      <c r="AX55" s="171">
        <v>5896.68918523628</v>
      </c>
      <c r="AY55" s="172">
        <v>5218.30901348343</v>
      </c>
      <c r="AZ55" s="107">
        <v>7138646.73044533</v>
      </c>
      <c r="BA55" s="59">
        <v>20</v>
      </c>
      <c r="BB55" s="108">
        <v>5897</v>
      </c>
      <c r="BC55" s="108">
        <v>5218</v>
      </c>
      <c r="BD55" s="107">
        <v>104366.17044533</v>
      </c>
      <c r="BE55" s="151"/>
      <c r="BF55" s="151"/>
    </row>
    <row r="56" s="2" customFormat="1" ht="15.95" customHeight="1" spans="1:58">
      <c r="A56" s="16">
        <v>52</v>
      </c>
      <c r="B56" s="18" t="s">
        <v>76</v>
      </c>
      <c r="C56" s="22" t="s">
        <v>90</v>
      </c>
      <c r="D56" s="59">
        <f t="shared" si="39"/>
        <v>285</v>
      </c>
      <c r="E56" s="60">
        <f t="shared" si="40"/>
        <v>2948.33996291659</v>
      </c>
      <c r="F56" s="60">
        <v>2609.1504096607</v>
      </c>
      <c r="G56" s="61">
        <f t="shared" si="50"/>
        <v>743607.87</v>
      </c>
      <c r="H56" s="62"/>
      <c r="I56" s="59">
        <v>1627</v>
      </c>
      <c r="J56" s="60">
        <v>2948.33996291659</v>
      </c>
      <c r="K56" s="60">
        <v>2609.1504096607</v>
      </c>
      <c r="L56" s="107">
        <v>4245087.71651796</v>
      </c>
      <c r="M56" s="59">
        <v>1912</v>
      </c>
      <c r="N56" s="60">
        <f t="shared" si="41"/>
        <v>2948.33996291659</v>
      </c>
      <c r="O56" s="60">
        <v>2609.1504096607</v>
      </c>
      <c r="P56" s="107">
        <f t="shared" si="42"/>
        <v>4988695.58327126</v>
      </c>
      <c r="Q56" s="73">
        <f>K73-K56</f>
        <v>3733.06197151028</v>
      </c>
      <c r="R56" s="73">
        <f t="shared" si="43"/>
        <v>1063922.66188043</v>
      </c>
      <c r="S56" s="73">
        <f>H73-K56</f>
        <v>378.917521327611</v>
      </c>
      <c r="T56" s="140">
        <f t="shared" si="44"/>
        <v>107991.493578369</v>
      </c>
      <c r="U56" s="123">
        <v>52</v>
      </c>
      <c r="V56" s="125" t="s">
        <v>76</v>
      </c>
      <c r="W56" s="126" t="s">
        <v>90</v>
      </c>
      <c r="X56" s="141">
        <f t="shared" si="45"/>
        <v>599</v>
      </c>
      <c r="Y56" s="61">
        <f t="shared" si="46"/>
        <v>2948.3395</v>
      </c>
      <c r="Z56" s="173">
        <v>2609.15</v>
      </c>
      <c r="AA56" s="61">
        <f t="shared" si="47"/>
        <v>1562881.1</v>
      </c>
      <c r="AB56" s="62"/>
      <c r="AC56" s="59">
        <v>1313</v>
      </c>
      <c r="AD56" s="171">
        <v>2948.33996291659</v>
      </c>
      <c r="AE56" s="172">
        <v>2609.1504096607</v>
      </c>
      <c r="AF56" s="107">
        <v>3425814.4878845</v>
      </c>
      <c r="AG56" s="59">
        <f t="shared" si="48"/>
        <v>1912</v>
      </c>
      <c r="AH56" s="108">
        <v>2948</v>
      </c>
      <c r="AI56" s="108">
        <v>2609</v>
      </c>
      <c r="AJ56" s="107">
        <f t="shared" si="49"/>
        <v>4988695.5878845</v>
      </c>
      <c r="AK56" s="151"/>
      <c r="AL56" s="151"/>
      <c r="AO56" s="123">
        <v>52</v>
      </c>
      <c r="AP56" s="125" t="s">
        <v>76</v>
      </c>
      <c r="AQ56" s="185" t="s">
        <v>90</v>
      </c>
      <c r="AR56" s="141">
        <v>314</v>
      </c>
      <c r="AS56" s="61">
        <v>2948.3395</v>
      </c>
      <c r="AT56" s="173">
        <v>2609.15</v>
      </c>
      <c r="AU56" s="61">
        <v>819273.23</v>
      </c>
      <c r="AV56" s="62"/>
      <c r="AW56" s="59">
        <v>1313</v>
      </c>
      <c r="AX56" s="171">
        <v>2948.33996291659</v>
      </c>
      <c r="AY56" s="172">
        <v>2609.1504096607</v>
      </c>
      <c r="AZ56" s="107">
        <v>3425814.4878845</v>
      </c>
      <c r="BA56" s="59">
        <v>1627</v>
      </c>
      <c r="BB56" s="108">
        <v>2948</v>
      </c>
      <c r="BC56" s="108">
        <v>2609</v>
      </c>
      <c r="BD56" s="107">
        <v>4245087.7178845</v>
      </c>
      <c r="BE56" s="151"/>
      <c r="BF56" s="151"/>
    </row>
    <row r="57" s="2" customFormat="1" ht="15.95" customHeight="1" spans="1:58">
      <c r="A57" s="16">
        <v>53</v>
      </c>
      <c r="B57" s="18" t="s">
        <v>190</v>
      </c>
      <c r="C57" s="22" t="s">
        <v>90</v>
      </c>
      <c r="D57" s="59">
        <f t="shared" si="39"/>
        <v>0</v>
      </c>
      <c r="E57" s="60">
        <f t="shared" si="40"/>
        <v>0</v>
      </c>
      <c r="F57" s="60"/>
      <c r="G57" s="61">
        <f t="shared" si="50"/>
        <v>0</v>
      </c>
      <c r="H57" s="62"/>
      <c r="I57" s="59"/>
      <c r="J57" s="60">
        <v>0</v>
      </c>
      <c r="K57" s="60"/>
      <c r="L57" s="107">
        <v>0</v>
      </c>
      <c r="M57" s="59"/>
      <c r="N57" s="60">
        <f t="shared" si="41"/>
        <v>0</v>
      </c>
      <c r="O57" s="60"/>
      <c r="P57" s="107">
        <f t="shared" si="42"/>
        <v>0</v>
      </c>
      <c r="Q57" s="73">
        <f>K73-K57</f>
        <v>6342.21238117098</v>
      </c>
      <c r="R57" s="73">
        <f t="shared" si="43"/>
        <v>0</v>
      </c>
      <c r="S57" s="73">
        <f>H73-K57</f>
        <v>2988.06793098831</v>
      </c>
      <c r="T57" s="140">
        <f t="shared" si="44"/>
        <v>0</v>
      </c>
      <c r="U57" s="16">
        <v>53</v>
      </c>
      <c r="V57" s="125" t="s">
        <v>190</v>
      </c>
      <c r="W57" s="126" t="s">
        <v>90</v>
      </c>
      <c r="X57" s="141">
        <f t="shared" si="45"/>
        <v>0</v>
      </c>
      <c r="Y57" s="61">
        <f t="shared" si="46"/>
        <v>0</v>
      </c>
      <c r="Z57" s="173"/>
      <c r="AA57" s="61">
        <f t="shared" si="47"/>
        <v>0</v>
      </c>
      <c r="AB57" s="62"/>
      <c r="AC57" s="59"/>
      <c r="AD57" s="171">
        <v>0</v>
      </c>
      <c r="AE57" s="172"/>
      <c r="AF57" s="107">
        <v>0</v>
      </c>
      <c r="AG57" s="59">
        <f t="shared" si="48"/>
        <v>0</v>
      </c>
      <c r="AH57" s="108">
        <v>0</v>
      </c>
      <c r="AI57" s="108"/>
      <c r="AJ57" s="107">
        <f t="shared" si="49"/>
        <v>0</v>
      </c>
      <c r="AK57" s="151"/>
      <c r="AL57" s="151"/>
      <c r="AO57" s="123">
        <v>53</v>
      </c>
      <c r="AP57" s="125" t="s">
        <v>190</v>
      </c>
      <c r="AQ57" s="185" t="s">
        <v>90</v>
      </c>
      <c r="AR57" s="141">
        <v>0</v>
      </c>
      <c r="AS57" s="61">
        <v>0</v>
      </c>
      <c r="AT57" s="173"/>
      <c r="AU57" s="61">
        <v>0</v>
      </c>
      <c r="AV57" s="62"/>
      <c r="AW57" s="59"/>
      <c r="AX57" s="171">
        <v>0</v>
      </c>
      <c r="AY57" s="172"/>
      <c r="AZ57" s="107">
        <v>0</v>
      </c>
      <c r="BA57" s="59">
        <v>0</v>
      </c>
      <c r="BB57" s="108">
        <v>0</v>
      </c>
      <c r="BC57" s="108"/>
      <c r="BD57" s="107">
        <v>0</v>
      </c>
      <c r="BE57" s="151"/>
      <c r="BF57" s="151"/>
    </row>
    <row r="58" s="2" customFormat="1" ht="15.95" customHeight="1" spans="1:58">
      <c r="A58" s="16">
        <v>54</v>
      </c>
      <c r="B58" s="18" t="s">
        <v>191</v>
      </c>
      <c r="C58" s="22" t="s">
        <v>90</v>
      </c>
      <c r="D58" s="59">
        <f t="shared" si="39"/>
        <v>2851</v>
      </c>
      <c r="E58" s="60">
        <f t="shared" si="40"/>
        <v>4671.16571238349</v>
      </c>
      <c r="F58" s="60">
        <v>4133.77496671105</v>
      </c>
      <c r="G58" s="61">
        <f t="shared" si="50"/>
        <v>11785392.43</v>
      </c>
      <c r="H58" s="62"/>
      <c r="I58" s="59">
        <v>10219</v>
      </c>
      <c r="J58" s="60">
        <v>4671.16571238349</v>
      </c>
      <c r="K58" s="60">
        <v>4133.77496671105</v>
      </c>
      <c r="L58" s="107">
        <v>42243046.3848202</v>
      </c>
      <c r="M58" s="59">
        <v>13070</v>
      </c>
      <c r="N58" s="60">
        <f t="shared" si="41"/>
        <v>4671.16571238349</v>
      </c>
      <c r="O58" s="60">
        <v>4133.77496671105</v>
      </c>
      <c r="P58" s="107">
        <f t="shared" si="42"/>
        <v>54028438.8149135</v>
      </c>
      <c r="Q58" s="73">
        <f>K71-K58</f>
        <v>-4133.77496671105</v>
      </c>
      <c r="R58" s="73">
        <f t="shared" si="43"/>
        <v>-11785392.4300932</v>
      </c>
      <c r="S58" s="73">
        <f>5650/E72*E71-K58</f>
        <v>1516.22503328895</v>
      </c>
      <c r="T58" s="140">
        <f t="shared" si="44"/>
        <v>4322757.56990679</v>
      </c>
      <c r="U58" s="16">
        <v>54</v>
      </c>
      <c r="V58" s="125" t="s">
        <v>191</v>
      </c>
      <c r="W58" s="126" t="s">
        <v>90</v>
      </c>
      <c r="X58" s="141">
        <f t="shared" si="45"/>
        <v>596</v>
      </c>
      <c r="Y58" s="61">
        <f t="shared" si="46"/>
        <v>4671.1601</v>
      </c>
      <c r="Z58" s="173">
        <v>4133.77</v>
      </c>
      <c r="AA58" s="61">
        <f t="shared" si="47"/>
        <v>2463729.88</v>
      </c>
      <c r="AB58" s="62"/>
      <c r="AC58" s="59">
        <v>12474</v>
      </c>
      <c r="AD58" s="171">
        <v>4671.16571238349</v>
      </c>
      <c r="AE58" s="172">
        <v>4133.77496671105</v>
      </c>
      <c r="AF58" s="107">
        <v>51564708.9347537</v>
      </c>
      <c r="AG58" s="59">
        <f t="shared" si="48"/>
        <v>13070</v>
      </c>
      <c r="AH58" s="108">
        <v>4671</v>
      </c>
      <c r="AI58" s="108">
        <v>4134</v>
      </c>
      <c r="AJ58" s="107">
        <f t="shared" si="49"/>
        <v>54028438.8147537</v>
      </c>
      <c r="AK58" s="151"/>
      <c r="AL58" s="151"/>
      <c r="AO58" s="123">
        <v>54</v>
      </c>
      <c r="AP58" s="125" t="s">
        <v>191</v>
      </c>
      <c r="AQ58" s="185" t="s">
        <v>90</v>
      </c>
      <c r="AR58" s="141">
        <v>-2255</v>
      </c>
      <c r="AS58" s="61">
        <v>4671.1601</v>
      </c>
      <c r="AT58" s="173">
        <v>4133.77</v>
      </c>
      <c r="AU58" s="61">
        <v>-9321662.55</v>
      </c>
      <c r="AV58" s="62"/>
      <c r="AW58" s="59">
        <v>12474</v>
      </c>
      <c r="AX58" s="171">
        <v>4671.16571238349</v>
      </c>
      <c r="AY58" s="172">
        <v>4133.77496671105</v>
      </c>
      <c r="AZ58" s="107">
        <v>51564708.9347537</v>
      </c>
      <c r="BA58" s="59">
        <v>10219</v>
      </c>
      <c r="BB58" s="108">
        <v>4671</v>
      </c>
      <c r="BC58" s="108">
        <v>4134</v>
      </c>
      <c r="BD58" s="107">
        <v>42243046.3847537</v>
      </c>
      <c r="BE58" s="151"/>
      <c r="BF58" s="151"/>
    </row>
    <row r="59" s="2" customFormat="1" ht="15.95" customHeight="1" spans="1:58">
      <c r="A59" s="16">
        <v>55</v>
      </c>
      <c r="B59" s="18" t="s">
        <v>192</v>
      </c>
      <c r="C59" s="22" t="s">
        <v>90</v>
      </c>
      <c r="D59" s="59">
        <f t="shared" si="39"/>
        <v>0</v>
      </c>
      <c r="E59" s="60">
        <f t="shared" si="40"/>
        <v>4258.71571238349</v>
      </c>
      <c r="F59" s="60">
        <v>3768.77496671105</v>
      </c>
      <c r="G59" s="61">
        <f t="shared" si="50"/>
        <v>0</v>
      </c>
      <c r="H59" s="62"/>
      <c r="I59" s="59"/>
      <c r="J59" s="60">
        <v>4258.71571238349</v>
      </c>
      <c r="K59" s="60">
        <v>3768.77496671105</v>
      </c>
      <c r="L59" s="107">
        <v>0</v>
      </c>
      <c r="M59" s="59"/>
      <c r="N59" s="60">
        <f t="shared" si="41"/>
        <v>4258.71571238349</v>
      </c>
      <c r="O59" s="60">
        <v>3768.77496671105</v>
      </c>
      <c r="P59" s="107">
        <f t="shared" si="42"/>
        <v>0</v>
      </c>
      <c r="Q59" s="73">
        <f>K71-K59</f>
        <v>-3768.77496671105</v>
      </c>
      <c r="R59" s="73">
        <f t="shared" si="43"/>
        <v>0</v>
      </c>
      <c r="S59" s="73">
        <f>H72/E72*E71-K59</f>
        <v>-3768.77496671105</v>
      </c>
      <c r="T59" s="140">
        <f t="shared" si="44"/>
        <v>0</v>
      </c>
      <c r="U59" s="123">
        <v>55</v>
      </c>
      <c r="V59" s="125" t="s">
        <v>192</v>
      </c>
      <c r="W59" s="126" t="s">
        <v>90</v>
      </c>
      <c r="X59" s="141">
        <f t="shared" si="45"/>
        <v>0</v>
      </c>
      <c r="Y59" s="61">
        <f t="shared" si="46"/>
        <v>4258.7101</v>
      </c>
      <c r="Z59" s="173">
        <v>3768.77</v>
      </c>
      <c r="AA59" s="61">
        <f t="shared" si="47"/>
        <v>0</v>
      </c>
      <c r="AB59" s="62"/>
      <c r="AC59" s="59"/>
      <c r="AD59" s="171">
        <v>4258.71571238349</v>
      </c>
      <c r="AE59" s="172">
        <v>3768.77496671105</v>
      </c>
      <c r="AF59" s="107">
        <v>0</v>
      </c>
      <c r="AG59" s="59">
        <f t="shared" si="48"/>
        <v>0</v>
      </c>
      <c r="AH59" s="108">
        <v>4259</v>
      </c>
      <c r="AI59" s="108">
        <v>3769</v>
      </c>
      <c r="AJ59" s="107">
        <f t="shared" si="49"/>
        <v>0</v>
      </c>
      <c r="AK59" s="151"/>
      <c r="AL59" s="151"/>
      <c r="AO59" s="123">
        <v>55</v>
      </c>
      <c r="AP59" s="125" t="s">
        <v>192</v>
      </c>
      <c r="AQ59" s="185" t="s">
        <v>90</v>
      </c>
      <c r="AR59" s="141">
        <v>0</v>
      </c>
      <c r="AS59" s="61">
        <v>4258.7101</v>
      </c>
      <c r="AT59" s="173">
        <v>3768.77</v>
      </c>
      <c r="AU59" s="61">
        <v>0</v>
      </c>
      <c r="AV59" s="62"/>
      <c r="AW59" s="59"/>
      <c r="AX59" s="171">
        <v>4258.71571238349</v>
      </c>
      <c r="AY59" s="172">
        <v>3768.77496671105</v>
      </c>
      <c r="AZ59" s="107">
        <v>0</v>
      </c>
      <c r="BA59" s="59">
        <v>0</v>
      </c>
      <c r="BB59" s="108">
        <v>4259</v>
      </c>
      <c r="BC59" s="108">
        <v>3769</v>
      </c>
      <c r="BD59" s="107">
        <v>0</v>
      </c>
      <c r="BE59" s="151"/>
      <c r="BF59" s="151"/>
    </row>
    <row r="60" s="2" customFormat="1" ht="15.95" customHeight="1" spans="1:58">
      <c r="A60" s="16">
        <v>56</v>
      </c>
      <c r="B60" s="18" t="s">
        <v>77</v>
      </c>
      <c r="C60" s="22" t="s">
        <v>90</v>
      </c>
      <c r="D60" s="59">
        <f t="shared" si="39"/>
        <v>0</v>
      </c>
      <c r="E60" s="60">
        <f t="shared" si="40"/>
        <v>4913.9048022963</v>
      </c>
      <c r="F60" s="60">
        <v>4348.58832061619</v>
      </c>
      <c r="G60" s="61">
        <f t="shared" si="50"/>
        <v>0</v>
      </c>
      <c r="H60" s="62"/>
      <c r="I60" s="59"/>
      <c r="J60" s="60">
        <v>4913.9048022963</v>
      </c>
      <c r="K60" s="60">
        <v>4348.58832061619</v>
      </c>
      <c r="L60" s="107">
        <v>0</v>
      </c>
      <c r="M60" s="59"/>
      <c r="N60" s="60">
        <f t="shared" si="41"/>
        <v>4913.9048022963</v>
      </c>
      <c r="O60" s="60">
        <v>4348.58832061619</v>
      </c>
      <c r="P60" s="107">
        <f t="shared" si="42"/>
        <v>0</v>
      </c>
      <c r="Q60" s="73">
        <f>K74-K60</f>
        <v>-4348.58832061619</v>
      </c>
      <c r="R60" s="73">
        <f t="shared" si="43"/>
        <v>0</v>
      </c>
      <c r="S60" s="73">
        <f>H74-K60</f>
        <v>-4348.58832061619</v>
      </c>
      <c r="T60" s="140">
        <f t="shared" si="44"/>
        <v>0</v>
      </c>
      <c r="U60" s="16">
        <v>56</v>
      </c>
      <c r="V60" s="18" t="s">
        <v>77</v>
      </c>
      <c r="W60" s="126" t="s">
        <v>90</v>
      </c>
      <c r="X60" s="141">
        <f t="shared" si="45"/>
        <v>0</v>
      </c>
      <c r="Y60" s="61">
        <f t="shared" si="46"/>
        <v>4913.9067</v>
      </c>
      <c r="Z60" s="173">
        <v>4348.59</v>
      </c>
      <c r="AA60" s="61">
        <f t="shared" si="47"/>
        <v>0</v>
      </c>
      <c r="AB60" s="62"/>
      <c r="AC60" s="59"/>
      <c r="AD60" s="171">
        <v>4913.9048022963</v>
      </c>
      <c r="AE60" s="174">
        <v>4348.58832061619</v>
      </c>
      <c r="AF60" s="107">
        <v>0</v>
      </c>
      <c r="AG60" s="59">
        <f t="shared" si="48"/>
        <v>0</v>
      </c>
      <c r="AH60" s="108">
        <v>4914</v>
      </c>
      <c r="AI60" s="108">
        <v>4349</v>
      </c>
      <c r="AJ60" s="107">
        <f t="shared" si="49"/>
        <v>0</v>
      </c>
      <c r="AK60" s="151"/>
      <c r="AL60" s="151"/>
      <c r="AO60" s="123">
        <v>56</v>
      </c>
      <c r="AP60" s="18" t="s">
        <v>77</v>
      </c>
      <c r="AQ60" s="185" t="s">
        <v>90</v>
      </c>
      <c r="AR60" s="141">
        <v>0</v>
      </c>
      <c r="AS60" s="61">
        <v>4913.9067</v>
      </c>
      <c r="AT60" s="173">
        <v>4348.59</v>
      </c>
      <c r="AU60" s="61">
        <v>0</v>
      </c>
      <c r="AV60" s="62"/>
      <c r="AW60" s="59"/>
      <c r="AX60" s="171">
        <v>4913.9048022963</v>
      </c>
      <c r="AY60" s="174">
        <v>4348.58832061619</v>
      </c>
      <c r="AZ60" s="107">
        <v>0</v>
      </c>
      <c r="BA60" s="59">
        <v>0</v>
      </c>
      <c r="BB60" s="108">
        <v>4914</v>
      </c>
      <c r="BC60" s="108">
        <v>4349</v>
      </c>
      <c r="BD60" s="107">
        <v>0</v>
      </c>
      <c r="BE60" s="151"/>
      <c r="BF60" s="151"/>
    </row>
    <row r="61" s="2" customFormat="1" ht="15.95" customHeight="1" spans="1:58">
      <c r="A61" s="16">
        <v>57</v>
      </c>
      <c r="B61" s="63"/>
      <c r="C61" s="22"/>
      <c r="D61" s="64"/>
      <c r="E61" s="60"/>
      <c r="F61" s="60"/>
      <c r="G61" s="65"/>
      <c r="H61" s="62"/>
      <c r="I61" s="108"/>
      <c r="J61" s="60"/>
      <c r="K61" s="60"/>
      <c r="L61" s="109"/>
      <c r="M61" s="108"/>
      <c r="N61" s="60"/>
      <c r="O61" s="60"/>
      <c r="P61" s="107"/>
      <c r="Q61" s="73"/>
      <c r="R61" s="73"/>
      <c r="S61" s="142"/>
      <c r="T61" s="142"/>
      <c r="U61" s="16">
        <v>57</v>
      </c>
      <c r="V61" s="143"/>
      <c r="W61" s="144"/>
      <c r="X61" s="64"/>
      <c r="Y61" s="61"/>
      <c r="Z61" s="175"/>
      <c r="AA61" s="65"/>
      <c r="AB61" s="62"/>
      <c r="AC61" s="108"/>
      <c r="AD61" s="176"/>
      <c r="AE61" s="174"/>
      <c r="AF61" s="109"/>
      <c r="AG61" s="108">
        <f t="shared" si="48"/>
        <v>0</v>
      </c>
      <c r="AH61" s="108"/>
      <c r="AI61" s="108"/>
      <c r="AJ61" s="107">
        <f t="shared" si="49"/>
        <v>0</v>
      </c>
      <c r="AK61" s="151"/>
      <c r="AL61" s="151"/>
      <c r="AO61" s="123">
        <v>57</v>
      </c>
      <c r="AP61" s="143"/>
      <c r="AQ61" s="144"/>
      <c r="AR61" s="64"/>
      <c r="AS61" s="61"/>
      <c r="AT61" s="175"/>
      <c r="AU61" s="65"/>
      <c r="AV61" s="62"/>
      <c r="AW61" s="108"/>
      <c r="AX61" s="176"/>
      <c r="AY61" s="174"/>
      <c r="AZ61" s="109"/>
      <c r="BA61" s="108">
        <v>0</v>
      </c>
      <c r="BB61" s="108"/>
      <c r="BC61" s="108"/>
      <c r="BD61" s="107">
        <v>0</v>
      </c>
      <c r="BE61" s="151"/>
      <c r="BF61" s="151"/>
    </row>
    <row r="62" s="2" customFormat="1" ht="15.95" customHeight="1" spans="1:58">
      <c r="A62" s="16">
        <v>58</v>
      </c>
      <c r="B62" s="63"/>
      <c r="C62" s="66"/>
      <c r="D62" s="64"/>
      <c r="E62" s="60"/>
      <c r="F62" s="60"/>
      <c r="G62" s="67"/>
      <c r="H62" s="68"/>
      <c r="I62" s="108"/>
      <c r="J62" s="60"/>
      <c r="K62" s="60"/>
      <c r="L62" s="109"/>
      <c r="M62" s="108"/>
      <c r="N62" s="60"/>
      <c r="O62" s="60"/>
      <c r="P62" s="107"/>
      <c r="Q62" s="73"/>
      <c r="R62" s="73"/>
      <c r="S62" s="142"/>
      <c r="T62" s="142"/>
      <c r="U62" s="123">
        <v>58</v>
      </c>
      <c r="V62" s="143"/>
      <c r="W62" s="144"/>
      <c r="X62" s="64"/>
      <c r="Y62" s="177"/>
      <c r="Z62" s="175"/>
      <c r="AA62" s="67"/>
      <c r="AB62" s="68"/>
      <c r="AC62" s="108"/>
      <c r="AD62" s="176"/>
      <c r="AE62" s="175"/>
      <c r="AF62" s="109"/>
      <c r="AG62" s="108">
        <f t="shared" si="48"/>
        <v>0</v>
      </c>
      <c r="AH62" s="108"/>
      <c r="AI62" s="108"/>
      <c r="AJ62" s="107">
        <f t="shared" si="49"/>
        <v>0</v>
      </c>
      <c r="AK62" s="151"/>
      <c r="AL62" s="151"/>
      <c r="AO62" s="123">
        <v>58</v>
      </c>
      <c r="AP62" s="143"/>
      <c r="AQ62" s="144"/>
      <c r="AR62" s="64"/>
      <c r="AS62" s="177"/>
      <c r="AT62" s="175"/>
      <c r="AU62" s="67"/>
      <c r="AV62" s="68"/>
      <c r="AW62" s="108"/>
      <c r="AX62" s="176"/>
      <c r="AY62" s="175"/>
      <c r="AZ62" s="109"/>
      <c r="BA62" s="108">
        <v>0</v>
      </c>
      <c r="BB62" s="108"/>
      <c r="BC62" s="108"/>
      <c r="BD62" s="107">
        <v>0</v>
      </c>
      <c r="BE62" s="151"/>
      <c r="BF62" s="151"/>
    </row>
    <row r="63" s="2" customFormat="1" ht="15.95" customHeight="1" spans="1:58">
      <c r="A63" s="16">
        <v>59</v>
      </c>
      <c r="B63" s="63"/>
      <c r="C63" s="66"/>
      <c r="D63" s="64"/>
      <c r="E63" s="60"/>
      <c r="F63" s="60"/>
      <c r="G63" s="67"/>
      <c r="H63" s="62"/>
      <c r="I63" s="108"/>
      <c r="J63" s="60"/>
      <c r="K63" s="60"/>
      <c r="L63" s="110"/>
      <c r="M63" s="108"/>
      <c r="N63" s="60"/>
      <c r="O63" s="60"/>
      <c r="P63" s="107"/>
      <c r="Q63" s="73"/>
      <c r="R63" s="73"/>
      <c r="S63" s="142"/>
      <c r="T63" s="142"/>
      <c r="U63" s="16">
        <v>59</v>
      </c>
      <c r="V63" s="143"/>
      <c r="W63" s="144"/>
      <c r="X63" s="64"/>
      <c r="Y63" s="177"/>
      <c r="Z63" s="175"/>
      <c r="AA63" s="67"/>
      <c r="AB63" s="62"/>
      <c r="AC63" s="108"/>
      <c r="AD63" s="176"/>
      <c r="AE63" s="175"/>
      <c r="AF63" s="110"/>
      <c r="AG63" s="108">
        <f t="shared" si="48"/>
        <v>0</v>
      </c>
      <c r="AH63" s="108"/>
      <c r="AI63" s="108"/>
      <c r="AJ63" s="107">
        <f t="shared" si="49"/>
        <v>0</v>
      </c>
      <c r="AK63" s="151"/>
      <c r="AL63" s="151"/>
      <c r="AO63" s="123">
        <v>59</v>
      </c>
      <c r="AP63" s="143"/>
      <c r="AQ63" s="144"/>
      <c r="AR63" s="64"/>
      <c r="AS63" s="177"/>
      <c r="AT63" s="175"/>
      <c r="AU63" s="67"/>
      <c r="AV63" s="62"/>
      <c r="AW63" s="108"/>
      <c r="AX63" s="176"/>
      <c r="AY63" s="175"/>
      <c r="AZ63" s="110"/>
      <c r="BA63" s="108">
        <v>0</v>
      </c>
      <c r="BB63" s="108"/>
      <c r="BC63" s="108"/>
      <c r="BD63" s="107">
        <v>0</v>
      </c>
      <c r="BE63" s="151"/>
      <c r="BF63" s="151"/>
    </row>
    <row r="64" s="2" customFormat="1" ht="15.95" customHeight="1" spans="1:58">
      <c r="A64" s="16">
        <v>60</v>
      </c>
      <c r="B64" s="30" t="s">
        <v>193</v>
      </c>
      <c r="C64" s="36"/>
      <c r="D64" s="27">
        <f>SUM(D51:D63)</f>
        <v>6352</v>
      </c>
      <c r="E64" s="60"/>
      <c r="F64" s="60"/>
      <c r="G64" s="61">
        <f>SUM(G51:G63)</f>
        <v>31038641.73</v>
      </c>
      <c r="H64" s="40"/>
      <c r="I64" s="111">
        <v>14969</v>
      </c>
      <c r="J64" s="112">
        <v>4717.13198088523</v>
      </c>
      <c r="K64" s="112">
        <v>4174.45308042941</v>
      </c>
      <c r="L64" s="113">
        <v>62487388.1609478</v>
      </c>
      <c r="M64" s="111">
        <f t="shared" ref="M64:R64" si="51">SUM(M51:M63)</f>
        <v>21321</v>
      </c>
      <c r="N64" s="112">
        <f>O64*1.13</f>
        <v>4956.82255860889</v>
      </c>
      <c r="O64" s="112">
        <f>P64/M64</f>
        <v>4386.56863593707</v>
      </c>
      <c r="P64" s="114">
        <f t="shared" si="51"/>
        <v>93526029.8868142</v>
      </c>
      <c r="Q64" s="73"/>
      <c r="R64" s="73">
        <f t="shared" si="51"/>
        <v>-9666442.67054147</v>
      </c>
      <c r="S64" s="142"/>
      <c r="T64" s="73">
        <f>SUM(T51:T63)</f>
        <v>7176894.88146998</v>
      </c>
      <c r="U64" s="16">
        <v>60</v>
      </c>
      <c r="V64" s="145" t="s">
        <v>193</v>
      </c>
      <c r="W64" s="146"/>
      <c r="X64" s="27">
        <f>SUM(X51:X63)</f>
        <v>-2312</v>
      </c>
      <c r="Y64" s="178"/>
      <c r="Z64" s="20"/>
      <c r="AA64" s="179">
        <f>SUM(AA51:AA63)</f>
        <v>-15328556.24</v>
      </c>
      <c r="AB64" s="40"/>
      <c r="AC64" s="111">
        <v>23633</v>
      </c>
      <c r="AD64" s="180">
        <v>5204.82724729901</v>
      </c>
      <c r="AE64" s="180">
        <v>4606.04181176904</v>
      </c>
      <c r="AF64" s="113">
        <v>108854586.137538</v>
      </c>
      <c r="AG64" s="111">
        <f t="shared" si="48"/>
        <v>21321</v>
      </c>
      <c r="AH64" s="108">
        <f>AI64*1.13</f>
        <v>4956.82255917722</v>
      </c>
      <c r="AI64" s="108">
        <f>AJ64/AG64</f>
        <v>4386.56863644002</v>
      </c>
      <c r="AJ64" s="114">
        <f t="shared" si="49"/>
        <v>93526029.8975377</v>
      </c>
      <c r="AK64" s="151"/>
      <c r="AL64" s="151"/>
      <c r="AO64" s="123">
        <v>60</v>
      </c>
      <c r="AP64" s="145" t="s">
        <v>193</v>
      </c>
      <c r="AQ64" s="146"/>
      <c r="AR64" s="27">
        <v>-8664</v>
      </c>
      <c r="AS64" s="178"/>
      <c r="AT64" s="20"/>
      <c r="AU64" s="179">
        <v>-46367197.97</v>
      </c>
      <c r="AV64" s="40"/>
      <c r="AW64" s="111">
        <v>23633</v>
      </c>
      <c r="AX64" s="180">
        <v>5204.82724729901</v>
      </c>
      <c r="AY64" s="180">
        <v>4606.04181176904</v>
      </c>
      <c r="AZ64" s="113">
        <v>108854586.137538</v>
      </c>
      <c r="BA64" s="111">
        <v>14969</v>
      </c>
      <c r="BB64" s="108">
        <v>4717.13198138269</v>
      </c>
      <c r="BC64" s="108">
        <v>4174.45308086964</v>
      </c>
      <c r="BD64" s="114">
        <v>62487388.1675377</v>
      </c>
      <c r="BE64" s="151"/>
      <c r="BF64" s="151"/>
    </row>
    <row r="65" s="4" customFormat="1" ht="15.95" customHeight="1" spans="1:60">
      <c r="A65" s="16">
        <v>61</v>
      </c>
      <c r="B65" s="31" t="s">
        <v>305</v>
      </c>
      <c r="C65" s="16"/>
      <c r="D65" s="185" t="s">
        <v>65</v>
      </c>
      <c r="E65" s="185" t="s">
        <v>68</v>
      </c>
      <c r="F65" s="185" t="s">
        <v>69</v>
      </c>
      <c r="G65" s="185" t="s">
        <v>306</v>
      </c>
      <c r="H65" s="185" t="s">
        <v>299</v>
      </c>
      <c r="I65" s="103" t="s">
        <v>44</v>
      </c>
      <c r="J65" s="104" t="s">
        <v>45</v>
      </c>
      <c r="K65" s="104" t="s">
        <v>46</v>
      </c>
      <c r="L65" s="104" t="s">
        <v>307</v>
      </c>
      <c r="M65" s="104" t="s">
        <v>298</v>
      </c>
      <c r="N65" s="104" t="s">
        <v>308</v>
      </c>
      <c r="O65" s="224" t="s">
        <v>309</v>
      </c>
      <c r="P65" s="104" t="s">
        <v>310</v>
      </c>
      <c r="Q65" s="239" t="s">
        <v>301</v>
      </c>
      <c r="R65" s="239" t="s">
        <v>302</v>
      </c>
      <c r="U65" s="123">
        <v>61</v>
      </c>
      <c r="V65" s="128" t="s">
        <v>305</v>
      </c>
      <c r="W65" s="123"/>
      <c r="X65" s="185" t="s">
        <v>65</v>
      </c>
      <c r="Y65" s="185" t="s">
        <v>68</v>
      </c>
      <c r="Z65" s="185" t="s">
        <v>69</v>
      </c>
      <c r="AA65" s="185" t="s">
        <v>306</v>
      </c>
      <c r="AB65" s="248" t="s">
        <v>296</v>
      </c>
      <c r="AC65" s="249" t="s">
        <v>311</v>
      </c>
      <c r="AD65" s="250" t="s">
        <v>45</v>
      </c>
      <c r="AE65" s="250" t="s">
        <v>46</v>
      </c>
      <c r="AF65" s="250" t="s">
        <v>312</v>
      </c>
      <c r="AG65" s="250" t="s">
        <v>298</v>
      </c>
      <c r="AH65" s="250" t="s">
        <v>308</v>
      </c>
      <c r="AI65" s="250" t="s">
        <v>309</v>
      </c>
      <c r="AJ65" s="250" t="s">
        <v>310</v>
      </c>
      <c r="AK65" s="248" t="s">
        <v>313</v>
      </c>
      <c r="AL65" s="248" t="s">
        <v>314</v>
      </c>
      <c r="AM65" s="259"/>
      <c r="AN65" s="260"/>
      <c r="AO65" s="123">
        <v>61</v>
      </c>
      <c r="AP65" s="128" t="s">
        <v>305</v>
      </c>
      <c r="AQ65" s="123"/>
      <c r="AR65" s="185" t="s">
        <v>65</v>
      </c>
      <c r="AS65" s="185" t="s">
        <v>68</v>
      </c>
      <c r="AT65" s="185" t="s">
        <v>69</v>
      </c>
      <c r="AU65" s="185" t="s">
        <v>306</v>
      </c>
      <c r="AV65" s="248" t="s">
        <v>296</v>
      </c>
      <c r="AW65" s="249" t="s">
        <v>311</v>
      </c>
      <c r="AX65" s="250" t="s">
        <v>45</v>
      </c>
      <c r="AY65" s="250" t="s">
        <v>46</v>
      </c>
      <c r="AZ65" s="250" t="s">
        <v>312</v>
      </c>
      <c r="BA65" s="250" t="s">
        <v>298</v>
      </c>
      <c r="BB65" s="250" t="s">
        <v>308</v>
      </c>
      <c r="BC65" s="250" t="s">
        <v>309</v>
      </c>
      <c r="BD65" s="250" t="s">
        <v>310</v>
      </c>
      <c r="BE65" s="248" t="s">
        <v>313</v>
      </c>
      <c r="BF65" s="248" t="s">
        <v>314</v>
      </c>
      <c r="BG65" s="259"/>
      <c r="BH65" s="101"/>
    </row>
    <row r="66" s="2" customFormat="1" ht="20.25" customHeight="1" spans="1:63">
      <c r="A66" s="16">
        <v>62</v>
      </c>
      <c r="B66" s="18" t="s">
        <v>70</v>
      </c>
      <c r="C66" s="22" t="s">
        <v>90</v>
      </c>
      <c r="D66" s="188"/>
      <c r="E66" s="189">
        <v>0.3</v>
      </c>
      <c r="F66" s="172">
        <f t="shared" ref="F66:F77" si="52">E66*D66</f>
        <v>0</v>
      </c>
      <c r="G66" s="45">
        <f t="shared" ref="G66:G77" si="53">ROUND(IF(F$78=0,0,G$78/F$78*F66),2)</f>
        <v>0</v>
      </c>
      <c r="H66" s="190">
        <f t="shared" ref="H66:H70" si="54">IF(D66=0,0,G66/D66)</f>
        <v>0</v>
      </c>
      <c r="I66" s="225"/>
      <c r="J66" s="61">
        <f t="shared" ref="J66:J78" si="55">K66*1.13</f>
        <v>0</v>
      </c>
      <c r="K66" s="61">
        <f t="shared" ref="K66:K78" si="56">IF(I66=0,0,L66/I66)</f>
        <v>0</v>
      </c>
      <c r="L66" s="226">
        <v>0</v>
      </c>
      <c r="M66" s="188">
        <v>0</v>
      </c>
      <c r="N66" s="227">
        <v>0</v>
      </c>
      <c r="O66" s="107">
        <f t="shared" ref="O66:O77" si="57">IF((D66+M66)=0,0,(G66+N66)/(D66+M66))</f>
        <v>0</v>
      </c>
      <c r="P66" s="228">
        <f t="shared" ref="P66:P77" si="58">ROUND(O66*I66,2)</f>
        <v>0</v>
      </c>
      <c r="Q66" s="188">
        <f t="shared" ref="Q66:Q77" si="59">M66+D66-I66</f>
        <v>0</v>
      </c>
      <c r="R66" s="227">
        <f t="shared" ref="R66:R77" si="60">G66+N66-P66</f>
        <v>0</v>
      </c>
      <c r="S66" s="218"/>
      <c r="T66" s="218"/>
      <c r="U66" s="16">
        <v>62</v>
      </c>
      <c r="V66" s="18" t="s">
        <v>315</v>
      </c>
      <c r="W66" s="126" t="s">
        <v>90</v>
      </c>
      <c r="X66" s="188">
        <f t="shared" ref="X66:X77" si="61">AR66+D66</f>
        <v>2550.341</v>
      </c>
      <c r="Y66" s="189">
        <v>0.3</v>
      </c>
      <c r="Z66" s="172">
        <f t="shared" ref="Z66:Z77" si="62">Y66*X66</f>
        <v>765.1023</v>
      </c>
      <c r="AA66" s="45">
        <f t="shared" ref="AA66:AA77" si="63">AU66+G66</f>
        <v>4411106.86</v>
      </c>
      <c r="AB66" s="251">
        <f t="shared" ref="AB66:AB78" si="64">IF(X66=0,0,AA66/X66)</f>
        <v>1729.61453389958</v>
      </c>
      <c r="AC66" s="252">
        <f t="shared" ref="AC66:AC77" si="65">I66+AW66</f>
        <v>2550.341</v>
      </c>
      <c r="AD66" s="154">
        <f t="shared" ref="AD66:AD78" si="66">AE66*1.13</f>
        <v>4043.47274803644</v>
      </c>
      <c r="AE66" s="154">
        <f t="shared" ref="AE66:AE77" si="67">IF(AC66=0,0,AF66/AC66)</f>
        <v>3578.29446728888</v>
      </c>
      <c r="AF66" s="253">
        <f t="shared" ref="AF66:AF77" si="68">L66+AZ66</f>
        <v>9125871.09</v>
      </c>
      <c r="AG66" s="261">
        <v>0</v>
      </c>
      <c r="AH66" s="261">
        <v>0</v>
      </c>
      <c r="AI66" s="253">
        <f t="shared" ref="AI66:AI78" si="69">IF(AC66=0,0,AJ66/AC66)</f>
        <v>1729.61453389958</v>
      </c>
      <c r="AJ66" s="253">
        <f t="shared" ref="AJ66:AJ77" si="70">P66+BD66</f>
        <v>4411106.86</v>
      </c>
      <c r="AK66" s="252">
        <f t="shared" ref="AK66:AK77" si="71">AG66+X66-AC66</f>
        <v>0</v>
      </c>
      <c r="AL66" s="253">
        <f t="shared" ref="AL66:AL77" si="72">AH66+AA66-AJ66</f>
        <v>0</v>
      </c>
      <c r="AM66" s="262"/>
      <c r="AN66" s="263"/>
      <c r="AO66" s="123">
        <v>62</v>
      </c>
      <c r="AP66" s="18" t="s">
        <v>315</v>
      </c>
      <c r="AQ66" s="185" t="s">
        <v>90</v>
      </c>
      <c r="AR66" s="188">
        <v>2550.341</v>
      </c>
      <c r="AS66" s="189">
        <v>0.3</v>
      </c>
      <c r="AT66" s="172">
        <v>765.1023</v>
      </c>
      <c r="AU66" s="45">
        <v>4411106.86</v>
      </c>
      <c r="AV66" s="61">
        <v>1729.61453389958</v>
      </c>
      <c r="AW66" s="59">
        <v>2550.341</v>
      </c>
      <c r="AX66" s="61">
        <v>4043.47274803644</v>
      </c>
      <c r="AY66" s="61">
        <v>3578.29446728888</v>
      </c>
      <c r="AZ66" s="59">
        <v>9125871.09</v>
      </c>
      <c r="BA66" s="227">
        <v>0</v>
      </c>
      <c r="BB66" s="227">
        <v>0</v>
      </c>
      <c r="BC66" s="59">
        <v>1729.61453389958</v>
      </c>
      <c r="BD66" s="227">
        <v>4411106.86</v>
      </c>
      <c r="BE66" s="227">
        <v>0</v>
      </c>
      <c r="BF66" s="227">
        <v>0</v>
      </c>
      <c r="BG66" s="262"/>
      <c r="BH66" s="101"/>
      <c r="BI66" s="101"/>
      <c r="BJ66" s="101"/>
      <c r="BK66" s="101"/>
    </row>
    <row r="67" s="2" customFormat="1" ht="15.95" customHeight="1" spans="1:65">
      <c r="A67" s="16">
        <v>63</v>
      </c>
      <c r="B67" s="18" t="s">
        <v>71</v>
      </c>
      <c r="C67" s="22" t="s">
        <v>90</v>
      </c>
      <c r="D67" s="188">
        <v>30538.98</v>
      </c>
      <c r="E67" s="189">
        <v>0.85</v>
      </c>
      <c r="F67" s="172">
        <f t="shared" si="52"/>
        <v>25958.133</v>
      </c>
      <c r="G67" s="191">
        <f>ROUND(IF(F$78=0,0,G$78/F$78*F67),2)+0.01</f>
        <v>172365921.84</v>
      </c>
      <c r="H67" s="190">
        <f t="shared" si="54"/>
        <v>5644.12831862754</v>
      </c>
      <c r="I67" s="225">
        <v>32135.978</v>
      </c>
      <c r="J67" s="61">
        <f t="shared" si="55"/>
        <v>8463.81938920919</v>
      </c>
      <c r="K67" s="61">
        <f t="shared" si="56"/>
        <v>7490.10565416743</v>
      </c>
      <c r="L67" s="226">
        <v>240701870.52</v>
      </c>
      <c r="M67" s="188">
        <v>4355.838</v>
      </c>
      <c r="N67" s="188">
        <v>23251270.03</v>
      </c>
      <c r="O67" s="107">
        <f t="shared" si="57"/>
        <v>5605.90950409886</v>
      </c>
      <c r="P67" s="228">
        <f t="shared" si="58"/>
        <v>180151384.49</v>
      </c>
      <c r="Q67" s="188">
        <f t="shared" si="59"/>
        <v>2758.84</v>
      </c>
      <c r="R67" s="227">
        <f t="shared" si="60"/>
        <v>15465807.38</v>
      </c>
      <c r="S67" s="218"/>
      <c r="T67" s="218"/>
      <c r="U67" s="16">
        <v>63</v>
      </c>
      <c r="V67" s="18" t="s">
        <v>71</v>
      </c>
      <c r="W67" s="126" t="s">
        <v>90</v>
      </c>
      <c r="X67" s="188">
        <f t="shared" si="61"/>
        <v>178643.04</v>
      </c>
      <c r="Y67" s="189">
        <v>0.85</v>
      </c>
      <c r="Z67" s="172">
        <f t="shared" si="62"/>
        <v>151846.584</v>
      </c>
      <c r="AA67" s="45">
        <f t="shared" si="63"/>
        <v>902278741.43</v>
      </c>
      <c r="AB67" s="251">
        <f t="shared" si="64"/>
        <v>5050.73548586052</v>
      </c>
      <c r="AC67" s="252">
        <f t="shared" si="65"/>
        <v>179318.986</v>
      </c>
      <c r="AD67" s="154">
        <f t="shared" si="66"/>
        <v>6723.05508997971</v>
      </c>
      <c r="AE67" s="154">
        <f t="shared" si="67"/>
        <v>5949.60627431833</v>
      </c>
      <c r="AF67" s="253">
        <f t="shared" si="68"/>
        <v>1066877364.21</v>
      </c>
      <c r="AG67" s="261">
        <v>3434.786</v>
      </c>
      <c r="AH67" s="261">
        <v>4479795.08000001</v>
      </c>
      <c r="AI67" s="253">
        <f t="shared" si="69"/>
        <v>4970.43145855175</v>
      </c>
      <c r="AJ67" s="253">
        <f t="shared" si="70"/>
        <v>891292729.13</v>
      </c>
      <c r="AK67" s="252">
        <f t="shared" si="71"/>
        <v>2758.84</v>
      </c>
      <c r="AL67" s="253">
        <f t="shared" si="72"/>
        <v>15465807.3799999</v>
      </c>
      <c r="AM67" s="262"/>
      <c r="AN67" s="263"/>
      <c r="AO67" s="123">
        <v>63</v>
      </c>
      <c r="AP67" s="18" t="s">
        <v>71</v>
      </c>
      <c r="AQ67" s="185" t="s">
        <v>90</v>
      </c>
      <c r="AR67" s="188">
        <v>148104.06</v>
      </c>
      <c r="AS67" s="189">
        <v>0.85</v>
      </c>
      <c r="AT67" s="172">
        <v>125888.451</v>
      </c>
      <c r="AU67" s="45">
        <v>729912819.59</v>
      </c>
      <c r="AV67" s="61">
        <v>4928.37819294083</v>
      </c>
      <c r="AW67" s="59">
        <v>147183.008</v>
      </c>
      <c r="AX67" s="61">
        <v>6342.97613940395</v>
      </c>
      <c r="AY67" s="61">
        <v>5613.25322071146</v>
      </c>
      <c r="AZ67" s="59">
        <v>826175493.69</v>
      </c>
      <c r="BA67" s="227">
        <v>3434.786</v>
      </c>
      <c r="BB67" s="227">
        <v>4479795.08000001</v>
      </c>
      <c r="BC67" s="59">
        <v>4831.68100926433</v>
      </c>
      <c r="BD67" s="227">
        <v>711141344.64</v>
      </c>
      <c r="BE67" s="227">
        <v>4355.83799999999</v>
      </c>
      <c r="BF67" s="227">
        <v>23251270.0299999</v>
      </c>
      <c r="BG67" s="262"/>
      <c r="BH67" s="101"/>
      <c r="BI67" s="101"/>
      <c r="BJ67" s="101"/>
      <c r="BK67" s="101"/>
      <c r="BM67" s="270"/>
    </row>
    <row r="68" s="2" customFormat="1" ht="15.95" customHeight="1" spans="1:65">
      <c r="A68" s="16">
        <v>64</v>
      </c>
      <c r="B68" s="18" t="s">
        <v>72</v>
      </c>
      <c r="C68" s="22" t="s">
        <v>90</v>
      </c>
      <c r="D68" s="188">
        <v>74336.2</v>
      </c>
      <c r="E68" s="189">
        <v>1</v>
      </c>
      <c r="F68" s="172">
        <f t="shared" si="52"/>
        <v>74336.2</v>
      </c>
      <c r="G68" s="191">
        <f t="shared" si="53"/>
        <v>493603590</v>
      </c>
      <c r="H68" s="190">
        <f t="shared" si="54"/>
        <v>6640.15096278798</v>
      </c>
      <c r="I68" s="229">
        <v>77394.202</v>
      </c>
      <c r="J68" s="61">
        <f t="shared" si="55"/>
        <v>6824.93764778142</v>
      </c>
      <c r="K68" s="61">
        <f t="shared" si="56"/>
        <v>6039.76782989506</v>
      </c>
      <c r="L68" s="226">
        <v>467443011.46</v>
      </c>
      <c r="M68" s="188">
        <v>16349.42</v>
      </c>
      <c r="N68" s="188">
        <v>102512336.955</v>
      </c>
      <c r="O68" s="107">
        <f t="shared" si="57"/>
        <v>6573.43388020063</v>
      </c>
      <c r="P68" s="228">
        <f t="shared" si="58"/>
        <v>508745669.56</v>
      </c>
      <c r="Q68" s="188">
        <f t="shared" si="59"/>
        <v>13291.418</v>
      </c>
      <c r="R68" s="227">
        <f t="shared" si="60"/>
        <v>87370257.3949999</v>
      </c>
      <c r="S68" s="218"/>
      <c r="T68" s="218"/>
      <c r="U68" s="123">
        <v>64</v>
      </c>
      <c r="V68" s="18" t="s">
        <v>72</v>
      </c>
      <c r="W68" s="126" t="s">
        <v>90</v>
      </c>
      <c r="X68" s="188">
        <f t="shared" si="61"/>
        <v>483018.17</v>
      </c>
      <c r="Y68" s="189">
        <v>1</v>
      </c>
      <c r="Z68" s="172">
        <f t="shared" si="62"/>
        <v>483018.17</v>
      </c>
      <c r="AA68" s="45">
        <f t="shared" si="63"/>
        <v>2868676070.91</v>
      </c>
      <c r="AB68" s="251">
        <f t="shared" si="64"/>
        <v>5939.06450954009</v>
      </c>
      <c r="AC68" s="252">
        <f t="shared" si="65"/>
        <v>476435.166</v>
      </c>
      <c r="AD68" s="154">
        <f t="shared" si="66"/>
        <v>6021.79265583809</v>
      </c>
      <c r="AE68" s="154">
        <f t="shared" si="67"/>
        <v>5329.02004941424</v>
      </c>
      <c r="AF68" s="253">
        <f t="shared" si="68"/>
        <v>2538932551.86</v>
      </c>
      <c r="AG68" s="261">
        <v>6708.41400000002</v>
      </c>
      <c r="AH68" s="261">
        <v>13321558.3549999</v>
      </c>
      <c r="AI68" s="253">
        <f t="shared" si="69"/>
        <v>5865.70339744821</v>
      </c>
      <c r="AJ68" s="253">
        <f t="shared" si="70"/>
        <v>2794627371.87</v>
      </c>
      <c r="AK68" s="252">
        <f t="shared" si="71"/>
        <v>13291.4180000001</v>
      </c>
      <c r="AL68" s="253">
        <f t="shared" si="72"/>
        <v>87370257.395</v>
      </c>
      <c r="AM68" s="262"/>
      <c r="AN68" s="263"/>
      <c r="AO68" s="123">
        <v>64</v>
      </c>
      <c r="AP68" s="18" t="s">
        <v>72</v>
      </c>
      <c r="AQ68" s="185" t="s">
        <v>90</v>
      </c>
      <c r="AR68" s="188">
        <v>408681.97</v>
      </c>
      <c r="AS68" s="189">
        <v>1</v>
      </c>
      <c r="AT68" s="172">
        <v>408681.97</v>
      </c>
      <c r="AU68" s="45">
        <v>2375072480.91</v>
      </c>
      <c r="AV68" s="61">
        <v>5811.54211650198</v>
      </c>
      <c r="AW68" s="59">
        <v>399040.964</v>
      </c>
      <c r="AX68" s="61">
        <v>5866.02226795944</v>
      </c>
      <c r="AY68" s="61">
        <v>5191.17014863667</v>
      </c>
      <c r="AZ68" s="59">
        <v>2071489540.4</v>
      </c>
      <c r="BA68" s="227">
        <v>6708.41400000002</v>
      </c>
      <c r="BB68" s="227">
        <v>13321558.3549999</v>
      </c>
      <c r="BC68" s="59">
        <v>5728.43870312523</v>
      </c>
      <c r="BD68" s="227">
        <v>2285881702.31</v>
      </c>
      <c r="BE68" s="227">
        <v>16349.42</v>
      </c>
      <c r="BF68" s="227">
        <v>102512336.955</v>
      </c>
      <c r="BG68" s="262"/>
      <c r="BH68" s="101"/>
      <c r="BI68" s="101"/>
      <c r="BJ68" s="101"/>
      <c r="BK68" s="101"/>
      <c r="BM68" s="270"/>
    </row>
    <row r="69" s="2" customFormat="1" ht="15.95" customHeight="1" spans="1:65">
      <c r="A69" s="16">
        <v>65</v>
      </c>
      <c r="B69" s="18" t="s">
        <v>73</v>
      </c>
      <c r="C69" s="22" t="s">
        <v>90</v>
      </c>
      <c r="D69" s="188">
        <v>7843.54</v>
      </c>
      <c r="E69" s="189">
        <v>0.9</v>
      </c>
      <c r="F69" s="172">
        <f t="shared" si="52"/>
        <v>7059.186</v>
      </c>
      <c r="G69" s="191">
        <f t="shared" si="53"/>
        <v>46874060.71</v>
      </c>
      <c r="H69" s="190">
        <f t="shared" si="54"/>
        <v>5976.13586594828</v>
      </c>
      <c r="I69" s="225">
        <v>9131.542</v>
      </c>
      <c r="J69" s="61">
        <f t="shared" si="55"/>
        <v>6057.71226584732</v>
      </c>
      <c r="K69" s="61">
        <f t="shared" si="56"/>
        <v>5360.80731490914</v>
      </c>
      <c r="L69" s="226">
        <v>48952437.15</v>
      </c>
      <c r="M69" s="188">
        <v>2606.08200000001</v>
      </c>
      <c r="N69" s="188">
        <v>14817171.1</v>
      </c>
      <c r="O69" s="107">
        <f t="shared" si="57"/>
        <v>5903.68070825911</v>
      </c>
      <c r="P69" s="228">
        <f t="shared" si="58"/>
        <v>53909708.34</v>
      </c>
      <c r="Q69" s="188">
        <f t="shared" si="59"/>
        <v>1318.08000000001</v>
      </c>
      <c r="R69" s="227">
        <f t="shared" si="60"/>
        <v>7781523.46999998</v>
      </c>
      <c r="S69" s="218"/>
      <c r="T69" s="218"/>
      <c r="U69" s="16">
        <v>65</v>
      </c>
      <c r="V69" s="18" t="s">
        <v>73</v>
      </c>
      <c r="W69" s="126" t="s">
        <v>90</v>
      </c>
      <c r="X69" s="188">
        <f t="shared" si="61"/>
        <v>61531.75</v>
      </c>
      <c r="Y69" s="189">
        <v>0.9</v>
      </c>
      <c r="Z69" s="172">
        <f t="shared" si="62"/>
        <v>55378.575</v>
      </c>
      <c r="AA69" s="45">
        <f t="shared" si="63"/>
        <v>327504833.01</v>
      </c>
      <c r="AB69" s="251">
        <f t="shared" si="64"/>
        <v>5322.53402527963</v>
      </c>
      <c r="AC69" s="252">
        <f t="shared" si="65"/>
        <v>63731.762</v>
      </c>
      <c r="AD69" s="154">
        <f t="shared" si="66"/>
        <v>5520.87467187397</v>
      </c>
      <c r="AE69" s="154">
        <f t="shared" si="67"/>
        <v>4885.72979811856</v>
      </c>
      <c r="AF69" s="253">
        <f t="shared" si="68"/>
        <v>311376168.69</v>
      </c>
      <c r="AG69" s="261">
        <v>3518.092</v>
      </c>
      <c r="AH69" s="261">
        <v>4942419.66</v>
      </c>
      <c r="AI69" s="253">
        <f t="shared" si="69"/>
        <v>5094.2531480614</v>
      </c>
      <c r="AJ69" s="253">
        <f t="shared" si="70"/>
        <v>324665729.2</v>
      </c>
      <c r="AK69" s="252">
        <f t="shared" si="71"/>
        <v>1318.08000000001</v>
      </c>
      <c r="AL69" s="253">
        <f t="shared" si="72"/>
        <v>7781523.46999991</v>
      </c>
      <c r="AM69" s="262"/>
      <c r="AN69" s="263"/>
      <c r="AO69" s="123">
        <v>65</v>
      </c>
      <c r="AP69" s="18" t="s">
        <v>73</v>
      </c>
      <c r="AQ69" s="185" t="s">
        <v>90</v>
      </c>
      <c r="AR69" s="188">
        <v>53688.21</v>
      </c>
      <c r="AS69" s="189">
        <v>0.9</v>
      </c>
      <c r="AT69" s="172">
        <v>48319.389</v>
      </c>
      <c r="AU69" s="45">
        <v>280630772.3</v>
      </c>
      <c r="AV69" s="61">
        <v>5227.04653964064</v>
      </c>
      <c r="AW69" s="59">
        <v>54600.22</v>
      </c>
      <c r="AX69" s="61">
        <v>5431.09197435834</v>
      </c>
      <c r="AY69" s="61">
        <v>4806.27608350296</v>
      </c>
      <c r="AZ69" s="59">
        <v>262423731.54</v>
      </c>
      <c r="BA69" s="227">
        <v>3518.092</v>
      </c>
      <c r="BB69" s="227">
        <v>4942419.66</v>
      </c>
      <c r="BC69" s="59">
        <v>4958.88150011117</v>
      </c>
      <c r="BD69" s="227">
        <v>270756020.86</v>
      </c>
      <c r="BE69" s="227">
        <v>2606.08200000001</v>
      </c>
      <c r="BF69" s="227">
        <v>14817171.1</v>
      </c>
      <c r="BG69" s="262"/>
      <c r="BH69" s="101"/>
      <c r="BI69" s="101"/>
      <c r="BJ69" s="101"/>
      <c r="BK69" s="101"/>
      <c r="BM69" s="270"/>
    </row>
    <row r="70" s="2" customFormat="1" ht="15.95" customHeight="1" spans="1:65">
      <c r="A70" s="16">
        <v>66</v>
      </c>
      <c r="B70" s="18" t="s">
        <v>74</v>
      </c>
      <c r="C70" s="22" t="s">
        <v>90</v>
      </c>
      <c r="D70" s="188"/>
      <c r="E70" s="189">
        <v>0.85</v>
      </c>
      <c r="F70" s="172">
        <f t="shared" si="52"/>
        <v>0</v>
      </c>
      <c r="G70" s="191">
        <f t="shared" si="53"/>
        <v>0</v>
      </c>
      <c r="H70" s="190">
        <f t="shared" si="54"/>
        <v>0</v>
      </c>
      <c r="I70" s="225"/>
      <c r="J70" s="61">
        <f t="shared" si="55"/>
        <v>0</v>
      </c>
      <c r="K70" s="61">
        <f t="shared" si="56"/>
        <v>0</v>
      </c>
      <c r="L70" s="226"/>
      <c r="M70" s="188">
        <v>0</v>
      </c>
      <c r="N70" s="188">
        <v>0</v>
      </c>
      <c r="O70" s="107">
        <f t="shared" si="57"/>
        <v>0</v>
      </c>
      <c r="P70" s="228">
        <f t="shared" si="58"/>
        <v>0</v>
      </c>
      <c r="Q70" s="188">
        <f t="shared" si="59"/>
        <v>0</v>
      </c>
      <c r="R70" s="227">
        <f t="shared" si="60"/>
        <v>0</v>
      </c>
      <c r="S70" s="218"/>
      <c r="T70" s="218"/>
      <c r="U70" s="16">
        <v>66</v>
      </c>
      <c r="V70" s="18" t="s">
        <v>74</v>
      </c>
      <c r="W70" s="126" t="s">
        <v>90</v>
      </c>
      <c r="X70" s="188">
        <f t="shared" si="61"/>
        <v>0</v>
      </c>
      <c r="Y70" s="189">
        <v>0.85</v>
      </c>
      <c r="Z70" s="172">
        <f t="shared" si="62"/>
        <v>0</v>
      </c>
      <c r="AA70" s="45">
        <f t="shared" si="63"/>
        <v>0</v>
      </c>
      <c r="AB70" s="251">
        <f t="shared" si="64"/>
        <v>0</v>
      </c>
      <c r="AC70" s="252">
        <f t="shared" si="65"/>
        <v>0</v>
      </c>
      <c r="AD70" s="154">
        <f t="shared" si="66"/>
        <v>0</v>
      </c>
      <c r="AE70" s="154">
        <f t="shared" si="67"/>
        <v>0</v>
      </c>
      <c r="AF70" s="253">
        <f t="shared" si="68"/>
        <v>0</v>
      </c>
      <c r="AG70" s="261">
        <v>0</v>
      </c>
      <c r="AH70" s="261">
        <v>0</v>
      </c>
      <c r="AI70" s="253">
        <f t="shared" si="69"/>
        <v>0</v>
      </c>
      <c r="AJ70" s="253">
        <f t="shared" si="70"/>
        <v>0</v>
      </c>
      <c r="AK70" s="252">
        <f t="shared" si="71"/>
        <v>0</v>
      </c>
      <c r="AL70" s="253">
        <f t="shared" si="72"/>
        <v>0</v>
      </c>
      <c r="AM70" s="262"/>
      <c r="AN70" s="263"/>
      <c r="AO70" s="123">
        <v>66</v>
      </c>
      <c r="AP70" s="18" t="s">
        <v>74</v>
      </c>
      <c r="AQ70" s="185" t="s">
        <v>90</v>
      </c>
      <c r="AR70" s="188">
        <v>0</v>
      </c>
      <c r="AS70" s="189">
        <v>0.85</v>
      </c>
      <c r="AT70" s="172">
        <v>0</v>
      </c>
      <c r="AU70" s="45">
        <v>0</v>
      </c>
      <c r="AV70" s="61">
        <v>0</v>
      </c>
      <c r="AW70" s="59">
        <v>0</v>
      </c>
      <c r="AX70" s="61">
        <v>0</v>
      </c>
      <c r="AY70" s="61">
        <v>0</v>
      </c>
      <c r="AZ70" s="59">
        <v>0</v>
      </c>
      <c r="BA70" s="227">
        <v>0</v>
      </c>
      <c r="BB70" s="227">
        <v>0</v>
      </c>
      <c r="BC70" s="59">
        <v>0</v>
      </c>
      <c r="BD70" s="227">
        <v>0</v>
      </c>
      <c r="BE70" s="227">
        <v>0</v>
      </c>
      <c r="BF70" s="227">
        <v>0</v>
      </c>
      <c r="BG70" s="262"/>
      <c r="BH70" s="101"/>
      <c r="BI70" s="101"/>
      <c r="BJ70" s="101"/>
      <c r="BK70" s="101"/>
      <c r="BM70" s="270"/>
    </row>
    <row r="71" s="2" customFormat="1" ht="15.95" customHeight="1" spans="1:65">
      <c r="A71" s="16">
        <v>67</v>
      </c>
      <c r="B71" s="18" t="s">
        <v>75</v>
      </c>
      <c r="C71" s="22" t="s">
        <v>90</v>
      </c>
      <c r="D71" s="188"/>
      <c r="E71" s="189">
        <v>0.56</v>
      </c>
      <c r="F71" s="172">
        <f t="shared" si="52"/>
        <v>0</v>
      </c>
      <c r="G71" s="191">
        <f t="shared" si="53"/>
        <v>0</v>
      </c>
      <c r="H71" s="190"/>
      <c r="I71" s="225"/>
      <c r="J71" s="61">
        <f t="shared" si="55"/>
        <v>0</v>
      </c>
      <c r="K71" s="61">
        <f t="shared" si="56"/>
        <v>0</v>
      </c>
      <c r="L71" s="226"/>
      <c r="M71" s="188">
        <v>0</v>
      </c>
      <c r="N71" s="188">
        <v>0</v>
      </c>
      <c r="O71" s="107">
        <f t="shared" si="57"/>
        <v>0</v>
      </c>
      <c r="P71" s="228">
        <f t="shared" si="58"/>
        <v>0</v>
      </c>
      <c r="Q71" s="188">
        <f t="shared" si="59"/>
        <v>0</v>
      </c>
      <c r="R71" s="227">
        <f t="shared" si="60"/>
        <v>0</v>
      </c>
      <c r="S71" s="218"/>
      <c r="T71" s="218"/>
      <c r="U71" s="123">
        <v>67</v>
      </c>
      <c r="V71" s="18" t="s">
        <v>75</v>
      </c>
      <c r="W71" s="126" t="s">
        <v>90</v>
      </c>
      <c r="X71" s="188">
        <f t="shared" si="61"/>
        <v>0</v>
      </c>
      <c r="Y71" s="189">
        <v>0.7</v>
      </c>
      <c r="Z71" s="172">
        <f t="shared" si="62"/>
        <v>0</v>
      </c>
      <c r="AA71" s="45">
        <f t="shared" si="63"/>
        <v>0</v>
      </c>
      <c r="AB71" s="251">
        <f t="shared" si="64"/>
        <v>0</v>
      </c>
      <c r="AC71" s="252">
        <f t="shared" si="65"/>
        <v>0</v>
      </c>
      <c r="AD71" s="154">
        <f t="shared" si="66"/>
        <v>0</v>
      </c>
      <c r="AE71" s="154">
        <f t="shared" si="67"/>
        <v>0</v>
      </c>
      <c r="AF71" s="253">
        <f t="shared" si="68"/>
        <v>0</v>
      </c>
      <c r="AG71" s="261">
        <v>0</v>
      </c>
      <c r="AH71" s="261">
        <v>0</v>
      </c>
      <c r="AI71" s="253">
        <f t="shared" si="69"/>
        <v>0</v>
      </c>
      <c r="AJ71" s="253">
        <f t="shared" si="70"/>
        <v>0</v>
      </c>
      <c r="AK71" s="252">
        <f t="shared" si="71"/>
        <v>0</v>
      </c>
      <c r="AL71" s="253">
        <f t="shared" si="72"/>
        <v>0</v>
      </c>
      <c r="AM71" s="262"/>
      <c r="AN71" s="263"/>
      <c r="AO71" s="123">
        <v>67</v>
      </c>
      <c r="AP71" s="18" t="s">
        <v>75</v>
      </c>
      <c r="AQ71" s="185" t="s">
        <v>90</v>
      </c>
      <c r="AR71" s="188">
        <v>0</v>
      </c>
      <c r="AS71" s="189">
        <v>0.7</v>
      </c>
      <c r="AT71" s="172">
        <v>0</v>
      </c>
      <c r="AU71" s="45">
        <v>0</v>
      </c>
      <c r="AV71" s="61">
        <v>0</v>
      </c>
      <c r="AW71" s="59">
        <v>0</v>
      </c>
      <c r="AX71" s="61">
        <v>0</v>
      </c>
      <c r="AY71" s="61">
        <v>0</v>
      </c>
      <c r="AZ71" s="59">
        <v>0</v>
      </c>
      <c r="BA71" s="227">
        <v>0</v>
      </c>
      <c r="BB71" s="227">
        <v>0</v>
      </c>
      <c r="BC71" s="59">
        <v>0</v>
      </c>
      <c r="BD71" s="227">
        <v>0</v>
      </c>
      <c r="BE71" s="227">
        <v>0</v>
      </c>
      <c r="BF71" s="227">
        <v>0</v>
      </c>
      <c r="BG71" s="262"/>
      <c r="BH71" s="101"/>
      <c r="BI71" s="101"/>
      <c r="BJ71" s="101"/>
      <c r="BK71" s="101"/>
      <c r="BM71" s="270"/>
    </row>
    <row r="72" s="2" customFormat="1" ht="15.95" customHeight="1" spans="1:65">
      <c r="A72" s="16">
        <v>68</v>
      </c>
      <c r="B72" s="18" t="s">
        <v>316</v>
      </c>
      <c r="C72" s="22" t="s">
        <v>90</v>
      </c>
      <c r="D72" s="188"/>
      <c r="E72" s="189">
        <v>0.56</v>
      </c>
      <c r="F72" s="172">
        <f t="shared" si="52"/>
        <v>0</v>
      </c>
      <c r="G72" s="191">
        <f t="shared" si="53"/>
        <v>0</v>
      </c>
      <c r="H72" s="190">
        <f t="shared" ref="H72:H76" si="73">IF(D72=0,0,G72/D72)</f>
        <v>0</v>
      </c>
      <c r="I72" s="225"/>
      <c r="J72" s="61">
        <f t="shared" si="55"/>
        <v>0</v>
      </c>
      <c r="K72" s="61">
        <f t="shared" si="56"/>
        <v>0</v>
      </c>
      <c r="L72" s="226"/>
      <c r="M72" s="188">
        <v>0</v>
      </c>
      <c r="N72" s="188">
        <v>0</v>
      </c>
      <c r="O72" s="107">
        <f t="shared" si="57"/>
        <v>0</v>
      </c>
      <c r="P72" s="228">
        <f t="shared" si="58"/>
        <v>0</v>
      </c>
      <c r="Q72" s="188">
        <f t="shared" si="59"/>
        <v>0</v>
      </c>
      <c r="R72" s="227">
        <f t="shared" si="60"/>
        <v>0</v>
      </c>
      <c r="S72" s="218"/>
      <c r="T72" s="218"/>
      <c r="U72" s="16">
        <v>68</v>
      </c>
      <c r="V72" s="18" t="s">
        <v>316</v>
      </c>
      <c r="W72" s="126" t="s">
        <v>90</v>
      </c>
      <c r="X72" s="188">
        <f t="shared" si="61"/>
        <v>0</v>
      </c>
      <c r="Y72" s="189">
        <v>0.65</v>
      </c>
      <c r="Z72" s="172">
        <f t="shared" si="62"/>
        <v>0</v>
      </c>
      <c r="AA72" s="45">
        <f t="shared" si="63"/>
        <v>0</v>
      </c>
      <c r="AB72" s="251">
        <f t="shared" si="64"/>
        <v>0</v>
      </c>
      <c r="AC72" s="252">
        <f t="shared" si="65"/>
        <v>0</v>
      </c>
      <c r="AD72" s="154">
        <f t="shared" si="66"/>
        <v>0</v>
      </c>
      <c r="AE72" s="154">
        <f t="shared" si="67"/>
        <v>0</v>
      </c>
      <c r="AF72" s="253">
        <f t="shared" si="68"/>
        <v>0</v>
      </c>
      <c r="AG72" s="261">
        <v>0</v>
      </c>
      <c r="AH72" s="261">
        <v>0</v>
      </c>
      <c r="AI72" s="253">
        <f t="shared" si="69"/>
        <v>0</v>
      </c>
      <c r="AJ72" s="253">
        <f t="shared" si="70"/>
        <v>0</v>
      </c>
      <c r="AK72" s="252">
        <f t="shared" si="71"/>
        <v>0</v>
      </c>
      <c r="AL72" s="253">
        <f t="shared" si="72"/>
        <v>0</v>
      </c>
      <c r="AM72" s="262"/>
      <c r="AN72" s="263"/>
      <c r="AO72" s="123">
        <v>68</v>
      </c>
      <c r="AP72" s="18" t="s">
        <v>316</v>
      </c>
      <c r="AQ72" s="185" t="s">
        <v>90</v>
      </c>
      <c r="AR72" s="188">
        <v>0</v>
      </c>
      <c r="AS72" s="189">
        <v>0.65</v>
      </c>
      <c r="AT72" s="172">
        <v>0</v>
      </c>
      <c r="AU72" s="45">
        <v>0</v>
      </c>
      <c r="AV72" s="61">
        <v>0</v>
      </c>
      <c r="AW72" s="59">
        <v>0</v>
      </c>
      <c r="AX72" s="61">
        <v>0</v>
      </c>
      <c r="AY72" s="61">
        <v>0</v>
      </c>
      <c r="AZ72" s="59">
        <v>0</v>
      </c>
      <c r="BA72" s="227">
        <v>0</v>
      </c>
      <c r="BB72" s="227">
        <v>0</v>
      </c>
      <c r="BC72" s="59">
        <v>0</v>
      </c>
      <c r="BD72" s="227">
        <v>0</v>
      </c>
      <c r="BE72" s="227">
        <v>0</v>
      </c>
      <c r="BF72" s="227">
        <v>0</v>
      </c>
      <c r="BG72" s="262"/>
      <c r="BH72" s="101"/>
      <c r="BI72" s="101"/>
      <c r="BJ72" s="101"/>
      <c r="BK72" s="101"/>
      <c r="BM72" s="270"/>
    </row>
    <row r="73" s="2" customFormat="1" ht="15.95" customHeight="1" spans="1:65">
      <c r="A73" s="16">
        <v>69</v>
      </c>
      <c r="B73" s="18" t="s">
        <v>76</v>
      </c>
      <c r="C73" s="22" t="s">
        <v>90</v>
      </c>
      <c r="D73" s="188">
        <v>1045.62</v>
      </c>
      <c r="E73" s="189">
        <v>0.45</v>
      </c>
      <c r="F73" s="172">
        <f t="shared" si="52"/>
        <v>470.529</v>
      </c>
      <c r="G73" s="191">
        <f t="shared" si="53"/>
        <v>3124383.59</v>
      </c>
      <c r="H73" s="190">
        <f t="shared" si="73"/>
        <v>2988.06793098831</v>
      </c>
      <c r="I73" s="225">
        <v>1045.62</v>
      </c>
      <c r="J73" s="61">
        <f t="shared" si="55"/>
        <v>7166.69999072321</v>
      </c>
      <c r="K73" s="61">
        <f t="shared" si="56"/>
        <v>6342.21238117098</v>
      </c>
      <c r="L73" s="226">
        <v>6631544.11</v>
      </c>
      <c r="M73" s="188">
        <v>0</v>
      </c>
      <c r="N73" s="188">
        <v>0</v>
      </c>
      <c r="O73" s="107">
        <f t="shared" si="57"/>
        <v>2988.06793098831</v>
      </c>
      <c r="P73" s="228">
        <f t="shared" si="58"/>
        <v>3124383.59</v>
      </c>
      <c r="Q73" s="188">
        <f t="shared" si="59"/>
        <v>0</v>
      </c>
      <c r="R73" s="227">
        <f t="shared" si="60"/>
        <v>0</v>
      </c>
      <c r="S73" s="218"/>
      <c r="T73" s="218"/>
      <c r="U73" s="16">
        <v>69</v>
      </c>
      <c r="V73" s="18" t="s">
        <v>76</v>
      </c>
      <c r="W73" s="126" t="s">
        <v>90</v>
      </c>
      <c r="X73" s="188">
        <f t="shared" si="61"/>
        <v>19951.52</v>
      </c>
      <c r="Y73" s="189">
        <v>0.45</v>
      </c>
      <c r="Z73" s="172">
        <f t="shared" si="62"/>
        <v>8978.184</v>
      </c>
      <c r="AA73" s="45">
        <f t="shared" si="63"/>
        <v>51487478.59</v>
      </c>
      <c r="AB73" s="251">
        <f t="shared" si="64"/>
        <v>2580.62937510525</v>
      </c>
      <c r="AC73" s="252">
        <f t="shared" si="65"/>
        <v>19951.52</v>
      </c>
      <c r="AD73" s="154">
        <f t="shared" si="66"/>
        <v>6572.64172761775</v>
      </c>
      <c r="AE73" s="154">
        <f t="shared" si="67"/>
        <v>5816.4971040865</v>
      </c>
      <c r="AF73" s="253">
        <f t="shared" si="68"/>
        <v>116047958.302124</v>
      </c>
      <c r="AG73" s="261">
        <v>0</v>
      </c>
      <c r="AH73" s="261">
        <v>0</v>
      </c>
      <c r="AI73" s="253">
        <f t="shared" si="69"/>
        <v>2580.62937510525</v>
      </c>
      <c r="AJ73" s="253">
        <f t="shared" si="70"/>
        <v>51487478.59</v>
      </c>
      <c r="AK73" s="252">
        <f t="shared" si="71"/>
        <v>0</v>
      </c>
      <c r="AL73" s="253">
        <f t="shared" si="72"/>
        <v>0</v>
      </c>
      <c r="AM73" s="262"/>
      <c r="AN73" s="263"/>
      <c r="AO73" s="123">
        <v>69</v>
      </c>
      <c r="AP73" s="18" t="s">
        <v>76</v>
      </c>
      <c r="AQ73" s="185" t="s">
        <v>90</v>
      </c>
      <c r="AR73" s="188">
        <v>18905.9</v>
      </c>
      <c r="AS73" s="189">
        <v>0.45</v>
      </c>
      <c r="AT73" s="172">
        <v>8507.655</v>
      </c>
      <c r="AU73" s="45">
        <v>48363095</v>
      </c>
      <c r="AV73" s="61">
        <v>2558.09535647602</v>
      </c>
      <c r="AW73" s="25">
        <v>18905.9</v>
      </c>
      <c r="AX73" s="61">
        <v>6539.78641784311</v>
      </c>
      <c r="AY73" s="61">
        <v>5787.42160871072</v>
      </c>
      <c r="AZ73" s="59">
        <v>109416414.192124</v>
      </c>
      <c r="BA73" s="227">
        <v>0</v>
      </c>
      <c r="BB73" s="227">
        <v>0</v>
      </c>
      <c r="BC73" s="59">
        <v>2558.09535647602</v>
      </c>
      <c r="BD73" s="227">
        <v>48363095</v>
      </c>
      <c r="BE73" s="227">
        <v>0</v>
      </c>
      <c r="BF73" s="227">
        <v>0</v>
      </c>
      <c r="BG73" s="262"/>
      <c r="BH73" s="101"/>
      <c r="BI73" s="101"/>
      <c r="BJ73" s="101"/>
      <c r="BK73" s="101"/>
      <c r="BM73" s="270"/>
    </row>
    <row r="74" s="2" customFormat="1" ht="15.95" customHeight="1" spans="1:65">
      <c r="A74" s="16">
        <v>70</v>
      </c>
      <c r="B74" s="18" t="s">
        <v>77</v>
      </c>
      <c r="C74" s="185" t="s">
        <v>90</v>
      </c>
      <c r="D74" s="188"/>
      <c r="E74" s="189">
        <v>0.75</v>
      </c>
      <c r="F74" s="172">
        <f t="shared" si="52"/>
        <v>0</v>
      </c>
      <c r="G74" s="191">
        <f t="shared" si="53"/>
        <v>0</v>
      </c>
      <c r="H74" s="190">
        <f t="shared" si="73"/>
        <v>0</v>
      </c>
      <c r="I74" s="230"/>
      <c r="J74" s="61">
        <f t="shared" si="55"/>
        <v>0</v>
      </c>
      <c r="K74" s="61">
        <f t="shared" si="56"/>
        <v>0</v>
      </c>
      <c r="L74" s="226"/>
      <c r="M74" s="188">
        <v>0</v>
      </c>
      <c r="N74" s="188">
        <v>0</v>
      </c>
      <c r="O74" s="107">
        <f t="shared" si="57"/>
        <v>0</v>
      </c>
      <c r="P74" s="228">
        <f t="shared" si="58"/>
        <v>0</v>
      </c>
      <c r="Q74" s="188">
        <f t="shared" si="59"/>
        <v>0</v>
      </c>
      <c r="R74" s="227">
        <f t="shared" si="60"/>
        <v>0</v>
      </c>
      <c r="S74" s="218"/>
      <c r="T74" s="218"/>
      <c r="U74" s="123">
        <v>70</v>
      </c>
      <c r="V74" s="18" t="s">
        <v>77</v>
      </c>
      <c r="W74" s="185" t="s">
        <v>90</v>
      </c>
      <c r="X74" s="188">
        <f t="shared" si="61"/>
        <v>0</v>
      </c>
      <c r="Y74" s="189">
        <v>0.75</v>
      </c>
      <c r="Z74" s="172">
        <f t="shared" si="62"/>
        <v>0</v>
      </c>
      <c r="AA74" s="45">
        <f t="shared" si="63"/>
        <v>0</v>
      </c>
      <c r="AB74" s="251">
        <f t="shared" si="64"/>
        <v>0</v>
      </c>
      <c r="AC74" s="252">
        <f t="shared" si="65"/>
        <v>0</v>
      </c>
      <c r="AD74" s="154">
        <f t="shared" si="66"/>
        <v>0</v>
      </c>
      <c r="AE74" s="154">
        <f t="shared" si="67"/>
        <v>0</v>
      </c>
      <c r="AF74" s="253">
        <f t="shared" si="68"/>
        <v>0</v>
      </c>
      <c r="AG74" s="261">
        <v>0</v>
      </c>
      <c r="AH74" s="261">
        <v>0</v>
      </c>
      <c r="AI74" s="253">
        <f t="shared" si="69"/>
        <v>0</v>
      </c>
      <c r="AJ74" s="253">
        <f t="shared" si="70"/>
        <v>0</v>
      </c>
      <c r="AK74" s="252">
        <f t="shared" si="71"/>
        <v>0</v>
      </c>
      <c r="AL74" s="253">
        <f t="shared" si="72"/>
        <v>0</v>
      </c>
      <c r="AM74" s="262"/>
      <c r="AN74" s="263"/>
      <c r="AO74" s="123">
        <v>70</v>
      </c>
      <c r="AP74" s="18" t="s">
        <v>77</v>
      </c>
      <c r="AQ74" s="185" t="s">
        <v>90</v>
      </c>
      <c r="AR74" s="188">
        <v>0</v>
      </c>
      <c r="AS74" s="189">
        <v>0.75</v>
      </c>
      <c r="AT74" s="172">
        <v>0</v>
      </c>
      <c r="AU74" s="45">
        <v>0</v>
      </c>
      <c r="AV74" s="61">
        <v>0</v>
      </c>
      <c r="AW74" s="25">
        <v>0</v>
      </c>
      <c r="AX74" s="61">
        <v>0</v>
      </c>
      <c r="AY74" s="61">
        <v>0</v>
      </c>
      <c r="AZ74" s="59">
        <v>0</v>
      </c>
      <c r="BA74" s="227">
        <v>0</v>
      </c>
      <c r="BB74" s="227">
        <v>0</v>
      </c>
      <c r="BC74" s="59">
        <v>0</v>
      </c>
      <c r="BD74" s="227">
        <v>0</v>
      </c>
      <c r="BE74" s="227">
        <v>0</v>
      </c>
      <c r="BF74" s="227">
        <v>0</v>
      </c>
      <c r="BG74" s="262"/>
      <c r="BH74" s="101"/>
      <c r="BI74" s="101"/>
      <c r="BJ74" s="101"/>
      <c r="BK74" s="101"/>
      <c r="BM74" s="270"/>
    </row>
    <row r="75" s="2" customFormat="1" ht="15.95" customHeight="1" spans="1:65">
      <c r="A75" s="16">
        <v>71</v>
      </c>
      <c r="B75" s="18" t="s">
        <v>78</v>
      </c>
      <c r="C75" s="185" t="s">
        <v>90</v>
      </c>
      <c r="D75" s="188">
        <v>29685</v>
      </c>
      <c r="E75" s="189">
        <v>0.65</v>
      </c>
      <c r="F75" s="172">
        <f t="shared" si="52"/>
        <v>19295.25</v>
      </c>
      <c r="G75" s="191">
        <f t="shared" si="53"/>
        <v>128123372.87</v>
      </c>
      <c r="H75" s="190">
        <f t="shared" si="73"/>
        <v>4316.09812598956</v>
      </c>
      <c r="I75" s="225">
        <v>29685</v>
      </c>
      <c r="J75" s="61">
        <f t="shared" si="55"/>
        <v>4990.97999998652</v>
      </c>
      <c r="K75" s="61">
        <f t="shared" si="56"/>
        <v>4416.79646016507</v>
      </c>
      <c r="L75" s="226">
        <v>131112602.92</v>
      </c>
      <c r="M75" s="188">
        <v>0</v>
      </c>
      <c r="N75" s="188">
        <v>0</v>
      </c>
      <c r="O75" s="107">
        <f t="shared" si="57"/>
        <v>4316.09812598956</v>
      </c>
      <c r="P75" s="228">
        <f t="shared" si="58"/>
        <v>128123372.87</v>
      </c>
      <c r="Q75" s="188">
        <f t="shared" si="59"/>
        <v>0</v>
      </c>
      <c r="R75" s="227">
        <f t="shared" si="60"/>
        <v>0</v>
      </c>
      <c r="S75" s="218"/>
      <c r="T75" s="218"/>
      <c r="U75" s="16">
        <v>71</v>
      </c>
      <c r="V75" s="18" t="s">
        <v>78</v>
      </c>
      <c r="W75" s="185" t="s">
        <v>90</v>
      </c>
      <c r="X75" s="188">
        <f t="shared" si="61"/>
        <v>156900</v>
      </c>
      <c r="Y75" s="189">
        <v>0.65</v>
      </c>
      <c r="Z75" s="172">
        <f t="shared" si="62"/>
        <v>101985</v>
      </c>
      <c r="AA75" s="45">
        <f t="shared" si="63"/>
        <v>609116154.31</v>
      </c>
      <c r="AB75" s="251">
        <f t="shared" si="64"/>
        <v>3882.19346277884</v>
      </c>
      <c r="AC75" s="252">
        <f t="shared" si="65"/>
        <v>156900</v>
      </c>
      <c r="AD75" s="154">
        <f t="shared" si="66"/>
        <v>4374.42039959847</v>
      </c>
      <c r="AE75" s="154">
        <f t="shared" si="67"/>
        <v>3871.16849521989</v>
      </c>
      <c r="AF75" s="253">
        <f t="shared" si="68"/>
        <v>607386336.9</v>
      </c>
      <c r="AG75" s="261">
        <v>0</v>
      </c>
      <c r="AH75" s="261">
        <v>0</v>
      </c>
      <c r="AI75" s="253">
        <f t="shared" si="69"/>
        <v>3882.19346277884</v>
      </c>
      <c r="AJ75" s="253">
        <f t="shared" si="70"/>
        <v>609116154.31</v>
      </c>
      <c r="AK75" s="252">
        <f t="shared" si="71"/>
        <v>0</v>
      </c>
      <c r="AL75" s="253">
        <f t="shared" si="72"/>
        <v>0</v>
      </c>
      <c r="AM75" s="262"/>
      <c r="AN75" s="263"/>
      <c r="AO75" s="123">
        <v>71</v>
      </c>
      <c r="AP75" s="18" t="s">
        <v>78</v>
      </c>
      <c r="AQ75" s="185" t="s">
        <v>90</v>
      </c>
      <c r="AR75" s="188">
        <v>127215</v>
      </c>
      <c r="AS75" s="189">
        <v>0.65</v>
      </c>
      <c r="AT75" s="172">
        <v>82689.75</v>
      </c>
      <c r="AU75" s="45">
        <v>480992781.44</v>
      </c>
      <c r="AV75" s="61">
        <v>3780.94392516606</v>
      </c>
      <c r="AW75" s="59">
        <v>127215</v>
      </c>
      <c r="AX75" s="61">
        <v>4230.54922294855</v>
      </c>
      <c r="AY75" s="61">
        <v>3743.84886986598</v>
      </c>
      <c r="AZ75" s="59">
        <v>476273733.98</v>
      </c>
      <c r="BA75" s="227">
        <v>0</v>
      </c>
      <c r="BB75" s="227">
        <v>0</v>
      </c>
      <c r="BC75" s="59">
        <v>3780.94392516606</v>
      </c>
      <c r="BD75" s="227">
        <v>480992781.44</v>
      </c>
      <c r="BE75" s="227">
        <v>0</v>
      </c>
      <c r="BF75" s="227">
        <v>0</v>
      </c>
      <c r="BG75" s="262"/>
      <c r="BH75" s="101"/>
      <c r="BI75" s="101"/>
      <c r="BJ75" s="101"/>
      <c r="BK75" s="101"/>
      <c r="BM75" s="270"/>
    </row>
    <row r="76" s="2" customFormat="1" ht="15.95" customHeight="1" spans="1:63">
      <c r="A76" s="16">
        <v>72</v>
      </c>
      <c r="B76" s="18" t="s">
        <v>265</v>
      </c>
      <c r="C76" s="185" t="s">
        <v>90</v>
      </c>
      <c r="D76" s="188">
        <v>11514.88</v>
      </c>
      <c r="E76" s="189">
        <v>0.45</v>
      </c>
      <c r="F76" s="172">
        <f t="shared" si="52"/>
        <v>5181.696</v>
      </c>
      <c r="G76" s="191">
        <f t="shared" si="53"/>
        <v>34407243.68</v>
      </c>
      <c r="H76" s="190">
        <f t="shared" si="73"/>
        <v>2988.06793297021</v>
      </c>
      <c r="I76" s="230">
        <v>13111.769</v>
      </c>
      <c r="J76" s="61">
        <f t="shared" si="55"/>
        <v>4492.02224542699</v>
      </c>
      <c r="K76" s="61">
        <f t="shared" si="56"/>
        <v>3975.24092515663</v>
      </c>
      <c r="L76" s="226">
        <v>52122440.73</v>
      </c>
      <c r="M76" s="188">
        <v>7510.602</v>
      </c>
      <c r="N76" s="188">
        <v>20964712.92</v>
      </c>
      <c r="O76" s="107">
        <f t="shared" si="57"/>
        <v>2910.41018566573</v>
      </c>
      <c r="P76" s="228">
        <f t="shared" si="58"/>
        <v>38160626.05</v>
      </c>
      <c r="Q76" s="188">
        <f t="shared" si="59"/>
        <v>5913.713</v>
      </c>
      <c r="R76" s="227">
        <f t="shared" si="60"/>
        <v>17211330.55</v>
      </c>
      <c r="S76" s="218"/>
      <c r="T76" s="218"/>
      <c r="U76" s="16">
        <v>72</v>
      </c>
      <c r="V76" s="18" t="s">
        <v>265</v>
      </c>
      <c r="W76" s="185" t="s">
        <v>90</v>
      </c>
      <c r="X76" s="188">
        <f t="shared" si="61"/>
        <v>60390.38</v>
      </c>
      <c r="Y76" s="189">
        <v>0.45</v>
      </c>
      <c r="Z76" s="172">
        <f t="shared" si="62"/>
        <v>27175.671</v>
      </c>
      <c r="AA76" s="45">
        <f t="shared" si="63"/>
        <v>163994695.42</v>
      </c>
      <c r="AB76" s="251">
        <f t="shared" si="64"/>
        <v>2715.57647790923</v>
      </c>
      <c r="AC76" s="252">
        <f t="shared" si="65"/>
        <v>62202.318</v>
      </c>
      <c r="AD76" s="154">
        <f t="shared" si="66"/>
        <v>3934.66159491194</v>
      </c>
      <c r="AE76" s="154">
        <f t="shared" si="67"/>
        <v>3482.0014114265</v>
      </c>
      <c r="AF76" s="253">
        <f t="shared" si="68"/>
        <v>216588559.07</v>
      </c>
      <c r="AG76" s="261">
        <v>7725.651</v>
      </c>
      <c r="AH76" s="261">
        <v>7310822.64</v>
      </c>
      <c r="AI76" s="253">
        <f t="shared" si="69"/>
        <v>2477.3061915474</v>
      </c>
      <c r="AJ76" s="253">
        <f t="shared" si="70"/>
        <v>154094187.51</v>
      </c>
      <c r="AK76" s="252">
        <f t="shared" si="71"/>
        <v>5913.713</v>
      </c>
      <c r="AL76" s="253">
        <f t="shared" si="72"/>
        <v>17211330.55</v>
      </c>
      <c r="AM76" s="262"/>
      <c r="AN76" s="263"/>
      <c r="AO76" s="123">
        <v>72</v>
      </c>
      <c r="AP76" s="18" t="s">
        <v>265</v>
      </c>
      <c r="AQ76" s="185" t="s">
        <v>90</v>
      </c>
      <c r="AR76" s="188">
        <v>48875.5</v>
      </c>
      <c r="AS76" s="189">
        <v>0.45</v>
      </c>
      <c r="AT76" s="172">
        <v>21993.975</v>
      </c>
      <c r="AU76" s="45">
        <v>129587451.74</v>
      </c>
      <c r="AV76" s="61">
        <v>2651.37853812237</v>
      </c>
      <c r="AW76" s="25">
        <v>49090.549</v>
      </c>
      <c r="AX76" s="61">
        <v>3785.79416017939</v>
      </c>
      <c r="AY76" s="61">
        <v>3350.26031874282</v>
      </c>
      <c r="AZ76" s="59">
        <v>164466118.34</v>
      </c>
      <c r="BA76" s="227">
        <v>7725.651</v>
      </c>
      <c r="BB76" s="227">
        <v>7310822.64</v>
      </c>
      <c r="BC76" s="59">
        <v>2361.62690826701</v>
      </c>
      <c r="BD76" s="227">
        <v>115933561.46</v>
      </c>
      <c r="BE76" s="227">
        <v>7510.602</v>
      </c>
      <c r="BF76" s="227">
        <v>20964712.92</v>
      </c>
      <c r="BG76" s="262"/>
      <c r="BH76" s="101"/>
      <c r="BI76" s="101"/>
      <c r="BJ76" s="101"/>
      <c r="BK76" s="101"/>
    </row>
    <row r="77" s="2" customFormat="1" ht="15.95" customHeight="1" spans="1:63">
      <c r="A77" s="16">
        <v>73</v>
      </c>
      <c r="B77" s="18" t="s">
        <v>317</v>
      </c>
      <c r="C77" s="185" t="s">
        <v>90</v>
      </c>
      <c r="D77" s="188"/>
      <c r="E77" s="189">
        <v>0.65</v>
      </c>
      <c r="F77" s="172">
        <f t="shared" si="52"/>
        <v>0</v>
      </c>
      <c r="G77" s="191">
        <f t="shared" si="53"/>
        <v>0</v>
      </c>
      <c r="H77" s="190"/>
      <c r="I77" s="225"/>
      <c r="J77" s="61">
        <f t="shared" si="55"/>
        <v>0</v>
      </c>
      <c r="K77" s="61">
        <f t="shared" si="56"/>
        <v>0</v>
      </c>
      <c r="L77" s="226"/>
      <c r="M77" s="188">
        <v>0</v>
      </c>
      <c r="N77" s="188">
        <v>0</v>
      </c>
      <c r="O77" s="107">
        <f t="shared" si="57"/>
        <v>0</v>
      </c>
      <c r="P77" s="228">
        <f t="shared" si="58"/>
        <v>0</v>
      </c>
      <c r="Q77" s="188">
        <f t="shared" si="59"/>
        <v>0</v>
      </c>
      <c r="R77" s="227">
        <f t="shared" si="60"/>
        <v>0</v>
      </c>
      <c r="S77" s="218"/>
      <c r="T77" s="218"/>
      <c r="U77" s="123">
        <v>73</v>
      </c>
      <c r="V77" s="18" t="s">
        <v>79</v>
      </c>
      <c r="W77" s="185" t="s">
        <v>90</v>
      </c>
      <c r="X77" s="188">
        <f t="shared" si="61"/>
        <v>0</v>
      </c>
      <c r="Y77" s="189">
        <v>0.65</v>
      </c>
      <c r="Z77" s="172">
        <f t="shared" si="62"/>
        <v>0</v>
      </c>
      <c r="AA77" s="45">
        <f t="shared" si="63"/>
        <v>0</v>
      </c>
      <c r="AB77" s="251">
        <f t="shared" si="64"/>
        <v>0</v>
      </c>
      <c r="AC77" s="252">
        <f t="shared" si="65"/>
        <v>0</v>
      </c>
      <c r="AD77" s="154">
        <f t="shared" si="66"/>
        <v>0</v>
      </c>
      <c r="AE77" s="154">
        <f t="shared" si="67"/>
        <v>0</v>
      </c>
      <c r="AF77" s="253">
        <f t="shared" si="68"/>
        <v>0</v>
      </c>
      <c r="AG77" s="261">
        <v>0</v>
      </c>
      <c r="AH77" s="261">
        <v>0</v>
      </c>
      <c r="AI77" s="253">
        <f t="shared" si="69"/>
        <v>0</v>
      </c>
      <c r="AJ77" s="253">
        <f t="shared" si="70"/>
        <v>0</v>
      </c>
      <c r="AK77" s="252">
        <f t="shared" si="71"/>
        <v>0</v>
      </c>
      <c r="AL77" s="253">
        <f t="shared" si="72"/>
        <v>0</v>
      </c>
      <c r="AM77" s="262"/>
      <c r="AN77" s="263"/>
      <c r="AO77" s="123">
        <v>73</v>
      </c>
      <c r="AP77" s="18" t="s">
        <v>79</v>
      </c>
      <c r="AQ77" s="185" t="s">
        <v>90</v>
      </c>
      <c r="AR77" s="188">
        <v>0</v>
      </c>
      <c r="AS77" s="189">
        <v>0.65</v>
      </c>
      <c r="AT77" s="172">
        <v>0</v>
      </c>
      <c r="AU77" s="45">
        <v>0</v>
      </c>
      <c r="AV77" s="61">
        <v>0</v>
      </c>
      <c r="AW77" s="59">
        <v>0</v>
      </c>
      <c r="AX77" s="61">
        <v>0</v>
      </c>
      <c r="AY77" s="61">
        <v>0</v>
      </c>
      <c r="AZ77" s="59">
        <v>0</v>
      </c>
      <c r="BA77" s="227">
        <v>0</v>
      </c>
      <c r="BB77" s="227">
        <v>0</v>
      </c>
      <c r="BC77" s="59">
        <v>0</v>
      </c>
      <c r="BD77" s="227">
        <v>0</v>
      </c>
      <c r="BE77" s="227">
        <v>0</v>
      </c>
      <c r="BF77" s="227">
        <v>0</v>
      </c>
      <c r="BG77" s="262"/>
      <c r="BH77" s="101"/>
      <c r="BI77" s="101"/>
      <c r="BJ77" s="101"/>
      <c r="BK77" s="101"/>
    </row>
    <row r="78" s="2" customFormat="1" ht="19.5" customHeight="1" spans="1:60">
      <c r="A78" s="16">
        <v>74</v>
      </c>
      <c r="B78" s="192" t="s">
        <v>318</v>
      </c>
      <c r="C78" s="36"/>
      <c r="D78" s="193">
        <f t="shared" ref="D78:I78" si="74">SUM(D66:D77)</f>
        <v>154964.22</v>
      </c>
      <c r="E78" s="189">
        <f>IF(D78=0,0,F78/D78)</f>
        <v>0.853751878982129</v>
      </c>
      <c r="F78" s="172">
        <f t="shared" si="74"/>
        <v>132300.994</v>
      </c>
      <c r="G78" s="194">
        <f>G49-G64</f>
        <v>878498572.694518</v>
      </c>
      <c r="H78" s="195">
        <f>IF(D78=0,0,G78/D78)</f>
        <v>5669.04136125435</v>
      </c>
      <c r="I78" s="193">
        <f t="shared" si="74"/>
        <v>162504.111</v>
      </c>
      <c r="J78" s="178">
        <f t="shared" si="55"/>
        <v>6584.87473455794</v>
      </c>
      <c r="K78" s="178">
        <f t="shared" si="56"/>
        <v>5827.32277394508</v>
      </c>
      <c r="L78" s="231">
        <f t="shared" ref="L78:R78" si="75">SUM(L66:L77)</f>
        <v>946963906.89</v>
      </c>
      <c r="M78" s="193">
        <v>30821.942</v>
      </c>
      <c r="N78" s="193">
        <v>161545491.005</v>
      </c>
      <c r="O78" s="193">
        <f>IF(I78=0,0,P78/I78)</f>
        <v>5613.48964827111</v>
      </c>
      <c r="P78" s="193">
        <f t="shared" si="75"/>
        <v>912215144.9</v>
      </c>
      <c r="Q78" s="193">
        <f t="shared" si="75"/>
        <v>23282.051</v>
      </c>
      <c r="R78" s="193">
        <f t="shared" si="75"/>
        <v>127828918.795</v>
      </c>
      <c r="S78" s="218"/>
      <c r="T78" s="218"/>
      <c r="U78" s="16">
        <v>74</v>
      </c>
      <c r="V78" s="240" t="s">
        <v>318</v>
      </c>
      <c r="W78" s="129"/>
      <c r="X78" s="193">
        <f t="shared" ref="X78:AA78" si="76">SUM(X66:X77)</f>
        <v>962985.201</v>
      </c>
      <c r="Y78" s="189">
        <f>Z78/X78</f>
        <v>0.861017682762915</v>
      </c>
      <c r="Z78" s="172">
        <f t="shared" si="76"/>
        <v>829147.2863</v>
      </c>
      <c r="AA78" s="20">
        <f t="shared" si="76"/>
        <v>4927469080.53</v>
      </c>
      <c r="AB78" s="254">
        <f t="shared" si="64"/>
        <v>5116.86895646281</v>
      </c>
      <c r="AC78" s="255">
        <f>SUM(AC66:AC77)</f>
        <v>961090.093</v>
      </c>
      <c r="AD78" s="162">
        <f t="shared" si="66"/>
        <v>5721.58466255046</v>
      </c>
      <c r="AE78" s="162">
        <f>AF78/AC78</f>
        <v>5063.34925889422</v>
      </c>
      <c r="AF78" s="54">
        <f t="shared" ref="AF78:AL78" si="77">SUM(AF66:AF77)</f>
        <v>4866334810.12212</v>
      </c>
      <c r="AG78" s="54">
        <v>21386.943</v>
      </c>
      <c r="AH78" s="54">
        <v>30054595.7349999</v>
      </c>
      <c r="AI78" s="264">
        <f t="shared" si="69"/>
        <v>5025.2258270547</v>
      </c>
      <c r="AJ78" s="54">
        <f t="shared" si="77"/>
        <v>4829694757.47</v>
      </c>
      <c r="AK78" s="253">
        <f t="shared" si="77"/>
        <v>23282.0510000001</v>
      </c>
      <c r="AL78" s="252">
        <f t="shared" si="77"/>
        <v>127828918.795</v>
      </c>
      <c r="AM78" s="262"/>
      <c r="AN78" s="263"/>
      <c r="AO78" s="123">
        <v>74</v>
      </c>
      <c r="AP78" s="240" t="s">
        <v>318</v>
      </c>
      <c r="AQ78" s="129"/>
      <c r="AR78" s="193">
        <v>808020.981</v>
      </c>
      <c r="AS78" s="189">
        <v>0.86241113620291</v>
      </c>
      <c r="AT78" s="172">
        <v>696846.2923</v>
      </c>
      <c r="AU78" s="20">
        <v>4048970507.84</v>
      </c>
      <c r="AV78" s="178">
        <v>5010.97199583732</v>
      </c>
      <c r="AW78" s="269">
        <v>798585.982</v>
      </c>
      <c r="AX78" s="178">
        <v>5545.913928467</v>
      </c>
      <c r="AY78" s="178">
        <v>4907.88843227169</v>
      </c>
      <c r="AZ78" s="269">
        <v>3919370903.23212</v>
      </c>
      <c r="BA78" s="20">
        <v>21386.943</v>
      </c>
      <c r="BB78" s="20">
        <v>30054595.7349999</v>
      </c>
      <c r="BC78" s="20">
        <v>4905.52013292164</v>
      </c>
      <c r="BD78" s="20">
        <v>3917479612.57</v>
      </c>
      <c r="BE78" s="20">
        <v>30821.942</v>
      </c>
      <c r="BF78" s="20">
        <v>161545491.005</v>
      </c>
      <c r="BG78" s="262"/>
      <c r="BH78" s="101"/>
    </row>
    <row r="79" s="2" customFormat="1" ht="19.5" customHeight="1" spans="1:58">
      <c r="A79" s="16">
        <v>75</v>
      </c>
      <c r="B79" s="17" t="s">
        <v>319</v>
      </c>
      <c r="C79" s="36"/>
      <c r="D79" s="64"/>
      <c r="E79" s="189"/>
      <c r="F79" s="189"/>
      <c r="G79" s="196">
        <v>3703300.04</v>
      </c>
      <c r="H79" s="190"/>
      <c r="I79" s="76" t="s">
        <v>320</v>
      </c>
      <c r="J79" s="232"/>
      <c r="K79" s="232"/>
      <c r="L79" s="232"/>
      <c r="M79" s="232"/>
      <c r="N79" s="232"/>
      <c r="O79" s="233"/>
      <c r="P79" s="101"/>
      <c r="Q79" s="142"/>
      <c r="R79" s="101">
        <f>IF(ROUND(R78-AL78,2)=0,0,"累计库存不等本月库存")</f>
        <v>0</v>
      </c>
      <c r="U79" s="16">
        <v>75</v>
      </c>
      <c r="V79" s="205" t="s">
        <v>319</v>
      </c>
      <c r="W79" s="129"/>
      <c r="X79" s="241"/>
      <c r="Y79" s="163"/>
      <c r="Z79" s="163"/>
      <c r="AA79" s="161">
        <f t="shared" ref="AA79:AA86" si="78">AU79+G79</f>
        <v>51573389.96</v>
      </c>
      <c r="AB79" s="251"/>
      <c r="AC79" s="76" t="s">
        <v>320</v>
      </c>
      <c r="AD79" s="232"/>
      <c r="AE79" s="232"/>
      <c r="AF79" s="232"/>
      <c r="AG79" s="265"/>
      <c r="AH79" s="265"/>
      <c r="AI79" s="266"/>
      <c r="AJ79" s="267"/>
      <c r="AK79" s="151"/>
      <c r="AL79" s="151"/>
      <c r="AO79" s="123">
        <v>75</v>
      </c>
      <c r="AP79" s="205" t="s">
        <v>319</v>
      </c>
      <c r="AQ79" s="129"/>
      <c r="AR79" s="241"/>
      <c r="AS79" s="163"/>
      <c r="AT79" s="163"/>
      <c r="AU79" s="161">
        <v>47870089.92</v>
      </c>
      <c r="AV79" s="251"/>
      <c r="AW79" s="101" t="s">
        <v>320</v>
      </c>
      <c r="AX79" s="101"/>
      <c r="AY79" s="101"/>
      <c r="AZ79" s="101"/>
      <c r="BA79" s="266"/>
      <c r="BB79" s="266"/>
      <c r="BC79" s="266"/>
      <c r="BD79" s="101"/>
      <c r="BE79" s="151"/>
      <c r="BF79" s="151"/>
    </row>
    <row r="80" s="2" customFormat="1" ht="25.5" customHeight="1" spans="1:58">
      <c r="A80" s="16">
        <v>76</v>
      </c>
      <c r="B80" s="197" t="s">
        <v>321</v>
      </c>
      <c r="C80" s="36"/>
      <c r="D80" s="64"/>
      <c r="E80" s="189"/>
      <c r="F80" s="189"/>
      <c r="G80" s="198"/>
      <c r="H80" s="190"/>
      <c r="I80" s="76"/>
      <c r="J80" s="232"/>
      <c r="K80" s="232"/>
      <c r="L80" s="232"/>
      <c r="M80" s="232"/>
      <c r="N80" s="232"/>
      <c r="O80" s="233"/>
      <c r="P80" s="101"/>
      <c r="Q80" s="101"/>
      <c r="R80" s="101"/>
      <c r="U80" s="123">
        <v>76</v>
      </c>
      <c r="V80" s="17" t="s">
        <v>322</v>
      </c>
      <c r="W80" s="129"/>
      <c r="X80" s="241"/>
      <c r="Y80" s="163"/>
      <c r="Z80" s="163"/>
      <c r="AA80" s="161">
        <f t="shared" si="78"/>
        <v>0</v>
      </c>
      <c r="AB80" s="251"/>
      <c r="AC80" s="76"/>
      <c r="AD80" s="232"/>
      <c r="AE80" s="232"/>
      <c r="AF80" s="232"/>
      <c r="AG80" s="265"/>
      <c r="AH80" s="265"/>
      <c r="AI80" s="266"/>
      <c r="AJ80" s="267"/>
      <c r="AK80" s="151"/>
      <c r="AL80" s="151"/>
      <c r="AO80" s="123">
        <v>76</v>
      </c>
      <c r="AP80" s="17" t="s">
        <v>322</v>
      </c>
      <c r="AQ80" s="129"/>
      <c r="AR80" s="241"/>
      <c r="AS80" s="163"/>
      <c r="AT80" s="163"/>
      <c r="AU80" s="161">
        <v>0</v>
      </c>
      <c r="AV80" s="251"/>
      <c r="AW80" s="101"/>
      <c r="AX80" s="101"/>
      <c r="AY80" s="101"/>
      <c r="AZ80" s="101"/>
      <c r="BA80" s="266"/>
      <c r="BB80" s="266"/>
      <c r="BC80" s="266"/>
      <c r="BD80" s="101"/>
      <c r="BE80" s="151"/>
      <c r="BF80" s="151"/>
    </row>
    <row r="81" s="2" customFormat="1" ht="25.5" customHeight="1" spans="1:58">
      <c r="A81" s="16">
        <v>77</v>
      </c>
      <c r="B81" s="17" t="s">
        <v>323</v>
      </c>
      <c r="C81" s="36"/>
      <c r="D81" s="64"/>
      <c r="E81" s="189"/>
      <c r="F81" s="189"/>
      <c r="G81" s="199"/>
      <c r="H81" s="190"/>
      <c r="I81" s="76"/>
      <c r="J81" s="232">
        <f>I78-D78</f>
        <v>7539.89100000003</v>
      </c>
      <c r="K81" s="232"/>
      <c r="L81" s="232"/>
      <c r="M81" s="142">
        <f>N78/M78</f>
        <v>5241.24959436364</v>
      </c>
      <c r="O81" s="233"/>
      <c r="P81" s="233"/>
      <c r="Q81" s="142">
        <f>R78/Q78</f>
        <v>5490.4492218061</v>
      </c>
      <c r="R81" s="142">
        <f>Q81*1.13</f>
        <v>6204.20762064089</v>
      </c>
      <c r="U81" s="123"/>
      <c r="V81" s="17" t="s">
        <v>324</v>
      </c>
      <c r="W81" s="129"/>
      <c r="X81" s="241"/>
      <c r="Y81" s="163"/>
      <c r="Z81" s="163"/>
      <c r="AA81" s="161">
        <f t="shared" si="78"/>
        <v>0</v>
      </c>
      <c r="AB81" s="251"/>
      <c r="AC81" s="76"/>
      <c r="AD81" s="232"/>
      <c r="AE81" s="232"/>
      <c r="AF81" s="232"/>
      <c r="AG81" s="265"/>
      <c r="AH81" s="265"/>
      <c r="AI81" s="266"/>
      <c r="AJ81" s="267"/>
      <c r="AK81" s="151"/>
      <c r="AL81" s="151"/>
      <c r="AO81" s="123"/>
      <c r="AP81" s="17" t="s">
        <v>324</v>
      </c>
      <c r="AQ81" s="129"/>
      <c r="AR81" s="241"/>
      <c r="AS81" s="163"/>
      <c r="AT81" s="163"/>
      <c r="AU81" s="20">
        <v>0</v>
      </c>
      <c r="AV81" s="251"/>
      <c r="AW81" s="101"/>
      <c r="AX81" s="101"/>
      <c r="AY81" s="101"/>
      <c r="AZ81" s="101"/>
      <c r="BA81" s="266"/>
      <c r="BB81" s="266"/>
      <c r="BC81" s="266"/>
      <c r="BD81" s="101"/>
      <c r="BE81" s="151"/>
      <c r="BF81" s="151"/>
    </row>
    <row r="82" s="2" customFormat="1" ht="19.5" customHeight="1" spans="1:58">
      <c r="A82" s="16">
        <v>78</v>
      </c>
      <c r="B82" s="17" t="s">
        <v>325</v>
      </c>
      <c r="C82" s="21"/>
      <c r="D82" s="200"/>
      <c r="E82" s="40"/>
      <c r="F82" s="40"/>
      <c r="G82" s="45"/>
      <c r="H82" s="40"/>
      <c r="I82" s="234"/>
      <c r="J82" s="235"/>
      <c r="K82" s="235"/>
      <c r="L82" s="235"/>
      <c r="M82" s="236"/>
      <c r="N82" s="236"/>
      <c r="O82" s="233"/>
      <c r="P82" s="233"/>
      <c r="Q82" s="73"/>
      <c r="R82" s="242"/>
      <c r="U82" s="123">
        <v>76</v>
      </c>
      <c r="V82" s="17" t="s">
        <v>326</v>
      </c>
      <c r="W82" s="184"/>
      <c r="X82" s="243"/>
      <c r="Y82" s="163"/>
      <c r="Z82" s="163"/>
      <c r="AA82" s="161">
        <f t="shared" si="78"/>
        <v>26363.68</v>
      </c>
      <c r="AB82" s="163"/>
      <c r="AC82" s="256"/>
      <c r="AD82" s="235"/>
      <c r="AE82" s="235"/>
      <c r="AF82" s="257"/>
      <c r="AG82" s="268"/>
      <c r="AH82" s="268"/>
      <c r="AI82" s="268"/>
      <c r="AJ82" s="267"/>
      <c r="AK82" s="151"/>
      <c r="AL82" s="151"/>
      <c r="AO82" s="123">
        <v>76</v>
      </c>
      <c r="AP82" s="17" t="s">
        <v>326</v>
      </c>
      <c r="AQ82" s="129"/>
      <c r="AR82" s="241"/>
      <c r="AS82" s="163"/>
      <c r="AT82" s="163"/>
      <c r="AU82" s="161">
        <v>26363.68</v>
      </c>
      <c r="AV82" s="251"/>
      <c r="AW82" s="101"/>
      <c r="AX82" s="235"/>
      <c r="AY82" s="235"/>
      <c r="AZ82" s="101"/>
      <c r="BA82" s="101"/>
      <c r="BB82" s="101"/>
      <c r="BC82" s="101"/>
      <c r="BD82" s="101"/>
      <c r="BE82" s="151"/>
      <c r="BF82" s="151"/>
    </row>
    <row r="83" s="2" customFormat="1" ht="19.5" customHeight="1" spans="1:61">
      <c r="A83" s="16">
        <v>79</v>
      </c>
      <c r="B83" s="17" t="s">
        <v>327</v>
      </c>
      <c r="C83" s="21"/>
      <c r="D83" s="200"/>
      <c r="E83" s="40"/>
      <c r="F83" s="40"/>
      <c r="G83" s="201">
        <f>L78-P78-G79-I31-J31-K31-J48-G82+G80+G81</f>
        <v>13639595.65</v>
      </c>
      <c r="H83" s="40"/>
      <c r="I83" s="101"/>
      <c r="J83" s="235"/>
      <c r="K83" s="235"/>
      <c r="L83" s="235"/>
      <c r="M83" s="101"/>
      <c r="N83" s="101"/>
      <c r="O83" s="101"/>
      <c r="P83" s="101"/>
      <c r="Q83" s="101"/>
      <c r="R83" s="101"/>
      <c r="S83" s="101"/>
      <c r="T83" s="101"/>
      <c r="U83" s="123">
        <v>77</v>
      </c>
      <c r="V83" s="205" t="s">
        <v>327</v>
      </c>
      <c r="W83" s="184"/>
      <c r="X83" s="243"/>
      <c r="Y83" s="163"/>
      <c r="Z83" s="163"/>
      <c r="AA83" s="161">
        <f t="shared" si="78"/>
        <v>-91535444.2799521</v>
      </c>
      <c r="AB83" s="163"/>
      <c r="AF83" s="101"/>
      <c r="AG83" s="101"/>
      <c r="AH83" s="101"/>
      <c r="AI83" s="101"/>
      <c r="AJ83" s="101"/>
      <c r="AK83" s="101"/>
      <c r="AL83" s="101"/>
      <c r="AM83" s="101"/>
      <c r="AN83" s="101"/>
      <c r="AO83" s="123">
        <v>77</v>
      </c>
      <c r="AP83" s="17" t="s">
        <v>327</v>
      </c>
      <c r="AQ83" s="184"/>
      <c r="AR83" s="243"/>
      <c r="AS83" s="163"/>
      <c r="AT83" s="163"/>
      <c r="AU83" s="161">
        <v>-105175039.929952</v>
      </c>
      <c r="AV83" s="163"/>
      <c r="AW83" s="101"/>
      <c r="AX83" s="235"/>
      <c r="AY83" s="235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</row>
    <row r="84" s="2" customFormat="1" ht="18.75" customHeight="1" spans="1:61">
      <c r="A84" s="16">
        <v>80</v>
      </c>
      <c r="B84" s="202" t="s">
        <v>328</v>
      </c>
      <c r="C84" s="22"/>
      <c r="D84" s="203">
        <f>D86</f>
        <v>11477</v>
      </c>
      <c r="E84" s="204"/>
      <c r="F84" s="204"/>
      <c r="G84" s="114">
        <f>SUM(G85:G86)</f>
        <v>21806300</v>
      </c>
      <c r="H84" s="114">
        <f>G84/D5</f>
        <v>122.474689324304</v>
      </c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23">
        <v>78</v>
      </c>
      <c r="V84" s="205" t="s">
        <v>329</v>
      </c>
      <c r="W84" s="126"/>
      <c r="X84" s="188">
        <f>SUM(X85:X86)</f>
        <v>240105</v>
      </c>
      <c r="Y84" s="54"/>
      <c r="Z84" s="54"/>
      <c r="AA84" s="161">
        <f t="shared" si="78"/>
        <v>152644100</v>
      </c>
      <c r="AB84" s="161">
        <f>AA84/X5</f>
        <v>144.700953848868</v>
      </c>
      <c r="AC84" s="101"/>
      <c r="AD84" s="235"/>
      <c r="AE84" s="235"/>
      <c r="AF84" s="101"/>
      <c r="AG84" s="101"/>
      <c r="AH84" s="101"/>
      <c r="AI84" s="101"/>
      <c r="AJ84" s="101"/>
      <c r="AK84" s="101"/>
      <c r="AL84" s="101"/>
      <c r="AM84" s="101"/>
      <c r="AN84" s="101"/>
      <c r="AO84" s="123">
        <v>78</v>
      </c>
      <c r="AP84" s="205" t="s">
        <v>329</v>
      </c>
      <c r="AQ84" s="184"/>
      <c r="AR84" s="243">
        <v>228628</v>
      </c>
      <c r="AS84" s="163"/>
      <c r="AT84" s="163"/>
      <c r="AU84" s="161">
        <v>130837800</v>
      </c>
      <c r="AV84" s="163">
        <v>149.214093013104</v>
      </c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</row>
    <row r="85" s="2" customFormat="1" ht="19.5" customHeight="1" spans="1:61">
      <c r="A85" s="16">
        <v>81</v>
      </c>
      <c r="B85" s="205" t="s">
        <v>330</v>
      </c>
      <c r="C85" s="22" t="s">
        <v>90</v>
      </c>
      <c r="D85" s="206"/>
      <c r="E85" s="189"/>
      <c r="F85" s="207">
        <f>2470</f>
        <v>2470</v>
      </c>
      <c r="G85" s="189">
        <f>F85*D85</f>
        <v>0</v>
      </c>
      <c r="H85" s="107">
        <f>G85/D5</f>
        <v>0</v>
      </c>
      <c r="I85" s="101"/>
      <c r="J85" s="235"/>
      <c r="K85" s="235"/>
      <c r="L85" s="101"/>
      <c r="M85" s="101"/>
      <c r="N85" s="101"/>
      <c r="O85" s="101"/>
      <c r="P85" s="101"/>
      <c r="Q85" s="101"/>
      <c r="R85" s="101"/>
      <c r="S85" s="101"/>
      <c r="T85" s="101"/>
      <c r="U85" s="123">
        <v>79</v>
      </c>
      <c r="V85" s="205" t="s">
        <v>331</v>
      </c>
      <c r="W85" s="126" t="s">
        <v>90</v>
      </c>
      <c r="X85" s="132"/>
      <c r="Y85" s="163">
        <f>Z85*1.17</f>
        <v>0</v>
      </c>
      <c r="Z85" s="154">
        <f>IF(X85=0,0,AA85/X85)</f>
        <v>0</v>
      </c>
      <c r="AA85" s="161">
        <f t="shared" si="78"/>
        <v>0</v>
      </c>
      <c r="AB85" s="161">
        <f>AA85/X5</f>
        <v>0</v>
      </c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23">
        <v>79</v>
      </c>
      <c r="AP85" s="205" t="s">
        <v>331</v>
      </c>
      <c r="AQ85" s="22" t="s">
        <v>90</v>
      </c>
      <c r="AR85" s="101"/>
      <c r="AS85" s="54">
        <v>0</v>
      </c>
      <c r="AT85" s="54">
        <v>0</v>
      </c>
      <c r="AU85" s="161">
        <v>0</v>
      </c>
      <c r="AV85" s="101">
        <v>0</v>
      </c>
      <c r="AW85" s="101"/>
      <c r="AX85" s="235"/>
      <c r="AY85" s="235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</row>
    <row r="86" s="2" customFormat="1" ht="20.25" customHeight="1" spans="1:61">
      <c r="A86" s="16">
        <v>82</v>
      </c>
      <c r="B86" s="205" t="s">
        <v>332</v>
      </c>
      <c r="C86" s="22" t="s">
        <v>90</v>
      </c>
      <c r="D86" s="208">
        <v>11477</v>
      </c>
      <c r="E86" s="189"/>
      <c r="F86" s="209">
        <v>1900</v>
      </c>
      <c r="G86" s="189">
        <f>F86*D86</f>
        <v>21806300</v>
      </c>
      <c r="H86" s="107">
        <f>G86/D6</f>
        <v>4949.90239251827</v>
      </c>
      <c r="I86" s="101"/>
      <c r="J86" s="235"/>
      <c r="K86" s="235"/>
      <c r="L86" s="101"/>
      <c r="M86" s="101"/>
      <c r="N86" s="101"/>
      <c r="O86" s="101"/>
      <c r="P86" s="101"/>
      <c r="Q86" s="101"/>
      <c r="R86" s="101"/>
      <c r="S86" s="101"/>
      <c r="T86" s="101"/>
      <c r="U86" s="123">
        <v>80</v>
      </c>
      <c r="V86" s="205" t="s">
        <v>117</v>
      </c>
      <c r="W86" s="126" t="s">
        <v>90</v>
      </c>
      <c r="X86" s="132">
        <f>AR86+D86</f>
        <v>240105</v>
      </c>
      <c r="Y86" s="163">
        <f>Z86*1.13</f>
        <v>2340.74997272027</v>
      </c>
      <c r="Z86" s="154">
        <f>IF(X86=0,0,AA86/X86)</f>
        <v>2071.46015284979</v>
      </c>
      <c r="AA86" s="161">
        <f t="shared" si="78"/>
        <v>497367940</v>
      </c>
      <c r="AB86" s="161">
        <f>AA86/X5</f>
        <v>471.486387825319</v>
      </c>
      <c r="AC86" s="101"/>
      <c r="AD86" s="235"/>
      <c r="AE86" s="235"/>
      <c r="AF86" s="101"/>
      <c r="AG86" s="101"/>
      <c r="AH86" s="101"/>
      <c r="AI86" s="101"/>
      <c r="AJ86" s="101"/>
      <c r="AK86" s="101"/>
      <c r="AL86" s="101"/>
      <c r="AM86" s="101"/>
      <c r="AN86" s="101"/>
      <c r="AO86" s="123">
        <v>80</v>
      </c>
      <c r="AP86" s="243" t="s">
        <v>117</v>
      </c>
      <c r="AQ86" s="243" t="s">
        <v>90</v>
      </c>
      <c r="AR86" s="243">
        <v>228628</v>
      </c>
      <c r="AS86" s="243">
        <v>2350.47611491156</v>
      </c>
      <c r="AT86" s="243">
        <v>2080.06735832881</v>
      </c>
      <c r="AU86" s="243">
        <v>475561640</v>
      </c>
      <c r="AV86" s="243">
        <v>542.354723057283</v>
      </c>
      <c r="AW86" s="101"/>
      <c r="AX86" s="235"/>
      <c r="AY86" s="235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</row>
    <row r="87" s="2" customFormat="1" ht="19.5" customHeight="1" spans="1:61">
      <c r="A87" s="73"/>
      <c r="B87" s="210" t="s">
        <v>333</v>
      </c>
      <c r="C87" s="211">
        <f>D78/D5</f>
        <v>0.870353737263223</v>
      </c>
      <c r="D87" s="212"/>
      <c r="E87" s="210" t="s">
        <v>334</v>
      </c>
      <c r="F87" s="212">
        <f>H87-M32</f>
        <v>459.793117644615</v>
      </c>
      <c r="G87" s="210" t="s">
        <v>335</v>
      </c>
      <c r="H87" s="212">
        <f>H84+M31+H11+H12</f>
        <v>509.254470127157</v>
      </c>
      <c r="I87" s="101"/>
      <c r="J87" s="235"/>
      <c r="K87" s="235"/>
      <c r="L87" s="101"/>
      <c r="M87" s="101"/>
      <c r="N87" s="101"/>
      <c r="O87" s="101"/>
      <c r="P87" s="101"/>
      <c r="Q87" s="244"/>
      <c r="R87" s="101"/>
      <c r="S87" s="101"/>
      <c r="T87" s="101"/>
      <c r="U87" s="101"/>
      <c r="V87" s="245" t="s">
        <v>333</v>
      </c>
      <c r="W87" s="101">
        <f>X78/X5</f>
        <v>0.912874307798627</v>
      </c>
      <c r="X87" s="161"/>
      <c r="Y87" s="161" t="s">
        <v>334</v>
      </c>
      <c r="Z87" s="161">
        <f>AB87-AB32</f>
        <v>538.949880920182</v>
      </c>
      <c r="AA87" s="161" t="s">
        <v>335</v>
      </c>
      <c r="AB87" s="161">
        <f>AB84+AB12+AB11+AG31</f>
        <v>599.14669901992</v>
      </c>
      <c r="AC87" s="101"/>
      <c r="AD87" s="235"/>
      <c r="AE87" s="235"/>
      <c r="AF87" s="101"/>
      <c r="AG87" s="101"/>
      <c r="AH87" s="101"/>
      <c r="AI87" s="101"/>
      <c r="AJ87" s="101"/>
      <c r="AK87" s="101"/>
      <c r="AL87" s="101"/>
      <c r="AM87" s="101"/>
      <c r="AN87" s="101"/>
      <c r="AO87" s="123"/>
      <c r="AP87" s="243" t="s">
        <v>333</v>
      </c>
      <c r="AQ87" s="247">
        <v>0.921508293593085</v>
      </c>
      <c r="AR87" s="243"/>
      <c r="AS87" s="243" t="s">
        <v>334</v>
      </c>
      <c r="AT87" s="243">
        <v>555.023004141505</v>
      </c>
      <c r="AU87" s="243" t="s">
        <v>335</v>
      </c>
      <c r="AV87" s="243">
        <v>617.399704977261</v>
      </c>
      <c r="AW87" s="101"/>
      <c r="AX87" s="235"/>
      <c r="AY87" s="235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</row>
    <row r="88" s="2" customFormat="1" ht="18" customHeight="1" spans="1:61">
      <c r="A88" s="73"/>
      <c r="B88" s="210" t="s">
        <v>336</v>
      </c>
      <c r="C88" s="212">
        <f>D84/D5</f>
        <v>0.064460362802265</v>
      </c>
      <c r="D88" s="212"/>
      <c r="E88" s="210" t="s">
        <v>337</v>
      </c>
      <c r="F88" s="212">
        <f>F87-H84</f>
        <v>337.318428320312</v>
      </c>
      <c r="G88" s="210" t="s">
        <v>338</v>
      </c>
      <c r="H88" s="212">
        <f>H87-H84</f>
        <v>386.779780802853</v>
      </c>
      <c r="I88" s="101"/>
      <c r="J88" s="235"/>
      <c r="K88" s="235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245" t="s">
        <v>336</v>
      </c>
      <c r="W88" s="246">
        <f>X84/X5</f>
        <v>0.227610648062274</v>
      </c>
      <c r="X88" s="161"/>
      <c r="Y88" s="161" t="s">
        <v>337</v>
      </c>
      <c r="Z88" s="161">
        <f>AB88-AG32</f>
        <v>394.248927071314</v>
      </c>
      <c r="AA88" s="161" t="s">
        <v>338</v>
      </c>
      <c r="AB88" s="161">
        <f>AB87-AB84</f>
        <v>454.445745171051</v>
      </c>
      <c r="AC88" s="101"/>
      <c r="AD88" s="235"/>
      <c r="AE88" s="235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243" t="s">
        <v>336</v>
      </c>
      <c r="AQ88" s="247">
        <v>0.260739019284946</v>
      </c>
      <c r="AR88" s="243"/>
      <c r="AS88" s="243" t="s">
        <v>337</v>
      </c>
      <c r="AT88" s="243">
        <v>405.808911128401</v>
      </c>
      <c r="AU88" s="243" t="s">
        <v>338</v>
      </c>
      <c r="AV88" s="243">
        <v>468.185611964157</v>
      </c>
      <c r="AW88" s="101"/>
      <c r="AX88" s="235"/>
      <c r="AY88" s="235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</row>
    <row r="89" s="2" customFormat="1" ht="30.75" customHeight="1" spans="1:61">
      <c r="A89" s="73"/>
      <c r="B89" s="210" t="s">
        <v>339</v>
      </c>
      <c r="C89" s="212">
        <f>D64/D5</f>
        <v>0.035675893048705</v>
      </c>
      <c r="D89" s="210" t="s">
        <v>340</v>
      </c>
      <c r="E89" s="211">
        <f>(C89+C88+C87)</f>
        <v>0.970489993114193</v>
      </c>
      <c r="F89" s="210" t="s">
        <v>341</v>
      </c>
      <c r="G89" s="213">
        <f>(D85*F28+F29*D86-G84)</f>
        <v>17209498.266055</v>
      </c>
      <c r="H89" s="212">
        <f>G89/D5+H87</f>
        <v>605.911305700465</v>
      </c>
      <c r="I89" s="101"/>
      <c r="J89" s="235"/>
      <c r="K89" s="235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245" t="s">
        <v>339</v>
      </c>
      <c r="W89" s="246">
        <f>X64/X5</f>
        <v>-0.00219169037845933</v>
      </c>
      <c r="X89" s="161" t="s">
        <v>340</v>
      </c>
      <c r="Y89" s="247">
        <f>(W89+W88+W87)</f>
        <v>1.13829326548244</v>
      </c>
      <c r="Z89" s="161"/>
      <c r="AA89" s="161"/>
      <c r="AB89" s="161"/>
      <c r="AC89" s="101"/>
      <c r="AD89" s="235"/>
      <c r="AE89" s="235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243" t="s">
        <v>339</v>
      </c>
      <c r="AQ89" s="246">
        <v>-0.00988086701141054</v>
      </c>
      <c r="AR89" s="243" t="s">
        <v>340</v>
      </c>
      <c r="AS89" s="247">
        <v>1.17236644586662</v>
      </c>
      <c r="AT89" s="243"/>
      <c r="AU89" s="243"/>
      <c r="AV89" s="243"/>
      <c r="AW89" s="101"/>
      <c r="AX89" s="235"/>
      <c r="AY89" s="235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</row>
    <row r="90" s="2" customFormat="1" ht="21" customHeight="1" spans="1:61">
      <c r="A90" s="73"/>
      <c r="B90" s="210" t="s">
        <v>342</v>
      </c>
      <c r="C90" s="212">
        <f>1-C87-C88-C89</f>
        <v>0.0295100068858069</v>
      </c>
      <c r="D90" s="210" t="s">
        <v>343</v>
      </c>
      <c r="E90" s="214">
        <f>I78/D78</f>
        <v>1.04865568968114</v>
      </c>
      <c r="F90" s="212"/>
      <c r="G90" s="212"/>
      <c r="H90" s="212"/>
      <c r="I90" s="101"/>
      <c r="J90" s="235"/>
      <c r="K90" s="235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245" t="s">
        <v>342</v>
      </c>
      <c r="W90" s="246">
        <f>1-W87-W88-W89</f>
        <v>-0.138293265482441</v>
      </c>
      <c r="X90" s="161" t="s">
        <v>343</v>
      </c>
      <c r="Y90" s="101">
        <f>AC78/X78*100</f>
        <v>99.803204867735</v>
      </c>
      <c r="Z90" s="161"/>
      <c r="AA90" s="161"/>
      <c r="AB90" s="161"/>
      <c r="AC90" s="101"/>
      <c r="AD90" s="235"/>
      <c r="AE90" s="235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243" t="s">
        <v>342</v>
      </c>
      <c r="AQ90" s="246">
        <v>-0.17236644586662</v>
      </c>
      <c r="AR90" s="243" t="s">
        <v>343</v>
      </c>
      <c r="AS90" s="243">
        <v>98.8323324242988</v>
      </c>
      <c r="AT90" s="243"/>
      <c r="AU90" s="243"/>
      <c r="AV90" s="243"/>
      <c r="AW90" s="101"/>
      <c r="AX90" s="235"/>
      <c r="AY90" s="235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</row>
    <row r="91" s="2" customFormat="1" ht="19.5" customHeight="1" spans="1:61">
      <c r="A91" s="73"/>
      <c r="B91" s="212"/>
      <c r="C91" s="212"/>
      <c r="D91" s="212">
        <f>C90*D5</f>
        <v>5254.18000000002</v>
      </c>
      <c r="E91" s="212"/>
      <c r="F91" s="73"/>
      <c r="G91" s="212"/>
      <c r="H91" s="73"/>
      <c r="I91" s="101"/>
      <c r="J91" s="235"/>
      <c r="K91" s="235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246"/>
      <c r="X91" s="161">
        <f>W90*X5</f>
        <v>-145884.671</v>
      </c>
      <c r="Y91" s="161"/>
      <c r="Z91" s="161"/>
      <c r="AA91" s="161">
        <f>AA83+AA48+AA90</f>
        <v>-81244667.9799521</v>
      </c>
      <c r="AB91" s="161"/>
      <c r="AC91" s="101"/>
      <c r="AD91" s="235"/>
      <c r="AE91" s="235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243"/>
      <c r="AQ91" s="246"/>
      <c r="AR91" s="243">
        <v>-151138.851</v>
      </c>
      <c r="AS91" s="243"/>
      <c r="AT91" s="243"/>
      <c r="AU91" s="243">
        <v>-96354374.5299521</v>
      </c>
      <c r="AV91" s="243"/>
      <c r="AW91" s="101"/>
      <c r="AX91" s="235"/>
      <c r="AY91" s="235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</row>
    <row r="92" s="2" customFormat="1" ht="18.75" customHeight="1" spans="2:61">
      <c r="B92" s="210" t="s">
        <v>344</v>
      </c>
      <c r="C92" s="212"/>
      <c r="D92" s="212">
        <f>(D78+D64)/D5</f>
        <v>0.906029630311928</v>
      </c>
      <c r="E92" s="212"/>
      <c r="G92" s="215"/>
      <c r="I92" s="101"/>
      <c r="J92" s="235"/>
      <c r="K92" s="235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 t="s">
        <v>344</v>
      </c>
      <c r="W92" s="247">
        <f>(X78+X64)/X5</f>
        <v>0.910682617420167</v>
      </c>
      <c r="X92" s="161"/>
      <c r="Y92" s="161"/>
      <c r="Z92" s="161"/>
      <c r="AA92" s="161">
        <v>24236686.42</v>
      </c>
      <c r="AB92" s="16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243" t="s">
        <v>344</v>
      </c>
      <c r="AQ92" s="247">
        <v>0.911627426581674</v>
      </c>
      <c r="AR92" s="243"/>
      <c r="AS92" s="243"/>
      <c r="AT92" s="243"/>
      <c r="AU92" s="243">
        <v>24236686.42</v>
      </c>
      <c r="AV92" s="243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</row>
    <row r="93" s="2" customFormat="1" ht="15" customHeight="1" spans="4:61">
      <c r="D93" s="216"/>
      <c r="E93" s="212"/>
      <c r="G93" s="215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61"/>
      <c r="X93" s="161"/>
      <c r="Y93" s="161"/>
      <c r="Z93" s="161"/>
      <c r="AA93" s="161">
        <f>AA83-AA92+AA90</f>
        <v>-115772130.699952</v>
      </c>
      <c r="AB93" s="161"/>
      <c r="AC93" s="101"/>
      <c r="AD93" s="235"/>
      <c r="AE93" s="235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243"/>
      <c r="AQ93" s="243"/>
      <c r="AR93" s="243"/>
      <c r="AS93" s="243"/>
      <c r="AT93" s="243"/>
      <c r="AU93" s="243">
        <v>-129411726.349952</v>
      </c>
      <c r="AV93" s="243"/>
      <c r="AW93" s="101"/>
      <c r="AX93" s="235"/>
      <c r="AY93" s="235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</row>
    <row r="94" s="2" customFormat="1" spans="4:61">
      <c r="D94" s="216"/>
      <c r="E94" s="212"/>
      <c r="F94" s="4"/>
      <c r="G94" s="73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61"/>
      <c r="X94" s="161"/>
      <c r="Y94" s="161"/>
      <c r="Z94" s="161"/>
      <c r="AA94" s="161"/>
      <c r="AB94" s="16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</row>
    <row r="95" s="2" customFormat="1" ht="12" spans="5:42">
      <c r="E95" s="217"/>
      <c r="F95" s="4"/>
      <c r="G95" s="218"/>
      <c r="I95" s="218"/>
      <c r="J95" s="237"/>
      <c r="K95" s="238"/>
      <c r="L95" s="218"/>
      <c r="U95" s="70"/>
      <c r="V95" s="70"/>
      <c r="AO95" s="218"/>
      <c r="AP95" s="12"/>
    </row>
    <row r="96" s="2" customFormat="1" ht="12" spans="2:42">
      <c r="B96" s="219"/>
      <c r="E96" s="4"/>
      <c r="F96" s="4"/>
      <c r="G96" s="12"/>
      <c r="AO96" s="70"/>
      <c r="AP96" s="70"/>
    </row>
    <row r="97" s="2" customFormat="1" ht="12" spans="5:27">
      <c r="E97" s="4"/>
      <c r="F97" s="4"/>
      <c r="G97" s="12"/>
      <c r="V97" s="70"/>
      <c r="AA97" s="258"/>
    </row>
    <row r="98" s="2" customFormat="1" ht="12" spans="5:47">
      <c r="E98" s="4"/>
      <c r="F98" s="4"/>
      <c r="G98" s="12"/>
      <c r="I98" s="12"/>
      <c r="AP98" s="70"/>
      <c r="AU98" s="258"/>
    </row>
    <row r="99" s="2" customFormat="1" ht="12" spans="6:21">
      <c r="F99" s="4" t="s">
        <v>345</v>
      </c>
      <c r="G99" s="218">
        <f>G83*0.25</f>
        <v>3409898.9125</v>
      </c>
      <c r="I99" s="12"/>
      <c r="U99" s="70"/>
    </row>
    <row r="100" s="2" customFormat="1" ht="12" spans="5:41">
      <c r="E100" s="4"/>
      <c r="F100" s="4"/>
      <c r="G100" s="12"/>
      <c r="I100" s="12"/>
      <c r="U100" s="70"/>
      <c r="AO100" s="70"/>
    </row>
    <row r="101" s="2" customFormat="1" ht="12" spans="5:41">
      <c r="E101" s="4"/>
      <c r="F101" s="4"/>
      <c r="I101" s="12"/>
      <c r="AO101" s="70"/>
    </row>
    <row r="102" s="2" customFormat="1" ht="12" spans="5:9">
      <c r="E102" s="4"/>
      <c r="F102" s="4"/>
      <c r="G102" s="218"/>
      <c r="I102" s="12"/>
    </row>
    <row r="103" s="2" customFormat="1" ht="12" spans="5:9">
      <c r="E103" s="4"/>
      <c r="G103" s="220"/>
      <c r="I103" s="12"/>
    </row>
    <row r="104" s="2" customFormat="1" ht="12" spans="5:5">
      <c r="E104" s="4"/>
    </row>
    <row r="105" s="2" customFormat="1" ht="12" spans="5:6">
      <c r="E105" s="4"/>
      <c r="F105" s="4"/>
    </row>
    <row r="106" s="2" customFormat="1" ht="12" spans="5:7">
      <c r="E106" s="4"/>
      <c r="F106" s="4"/>
      <c r="G106" s="218"/>
    </row>
    <row r="107" s="2" customFormat="1" ht="12" spans="5:6">
      <c r="E107" s="4"/>
      <c r="F107" s="4"/>
    </row>
    <row r="108" s="2" customFormat="1" ht="12" spans="5:7">
      <c r="E108" s="4"/>
      <c r="F108" s="4"/>
      <c r="G108" s="216"/>
    </row>
    <row r="109" s="2" customFormat="1" ht="12" spans="5:6">
      <c r="E109" s="4"/>
      <c r="F109" s="4"/>
    </row>
    <row r="110" s="2" customFormat="1" ht="12" spans="5:6">
      <c r="E110" s="4"/>
      <c r="F110" s="4"/>
    </row>
    <row r="111" s="2" customFormat="1" ht="12" spans="5:7">
      <c r="E111" s="4"/>
      <c r="F111" s="4"/>
      <c r="G111" s="12"/>
    </row>
    <row r="112" s="2" customFormat="1" ht="12" spans="5:7">
      <c r="E112" s="4"/>
      <c r="F112" s="4"/>
      <c r="G112" s="12"/>
    </row>
    <row r="113" s="2" customFormat="1" ht="12" spans="5:7">
      <c r="E113" s="4"/>
      <c r="F113" s="4"/>
      <c r="G113" s="12"/>
    </row>
    <row r="114" s="2" customFormat="1" ht="12" spans="5:7">
      <c r="E114" s="4"/>
      <c r="F114" s="4"/>
      <c r="G114" s="218"/>
    </row>
    <row r="115" s="2" customFormat="1" ht="12" spans="5:6">
      <c r="E115" s="4"/>
      <c r="F115" s="4"/>
    </row>
    <row r="116" s="2" customFormat="1" ht="12" spans="5:8">
      <c r="E116" s="4"/>
      <c r="F116" s="4"/>
      <c r="H116" s="12"/>
    </row>
    <row r="117" s="2" customFormat="1" ht="12" spans="5:8">
      <c r="E117" s="4"/>
      <c r="F117" s="4"/>
      <c r="H117" s="12"/>
    </row>
    <row r="118" s="2" customFormat="1" ht="12" spans="5:6">
      <c r="E118" s="4"/>
      <c r="F118" s="4"/>
    </row>
    <row r="119" s="2" customFormat="1" spans="5:9">
      <c r="E119" s="4"/>
      <c r="F119" s="4"/>
      <c r="G119" s="1"/>
      <c r="H119" s="221"/>
      <c r="I119" s="1"/>
    </row>
    <row r="120" s="2" customFormat="1" spans="5:9">
      <c r="E120" s="4"/>
      <c r="F120" s="4"/>
      <c r="G120" s="1"/>
      <c r="H120" s="222"/>
      <c r="I120" s="1"/>
    </row>
    <row r="121" s="2" customFormat="1" spans="5:9">
      <c r="E121" s="4"/>
      <c r="F121" s="4"/>
      <c r="G121" s="1"/>
      <c r="H121" s="223"/>
      <c r="I121" s="1"/>
    </row>
    <row r="122" s="2" customFormat="1" spans="5:9">
      <c r="E122" s="4"/>
      <c r="F122" s="4"/>
      <c r="G122" s="1"/>
      <c r="H122" s="1"/>
      <c r="I122" s="1"/>
    </row>
    <row r="123" s="2" customFormat="1" spans="5:9">
      <c r="E123" s="4"/>
      <c r="F123" s="4"/>
      <c r="G123" s="1"/>
      <c r="H123" s="1"/>
      <c r="I123" s="1"/>
    </row>
    <row r="124" s="1" customFormat="1" spans="5:48">
      <c r="E124" s="5"/>
      <c r="F124" s="5"/>
      <c r="AO124" s="2"/>
      <c r="AP124" s="2"/>
      <c r="AQ124" s="2"/>
      <c r="AR124" s="2"/>
      <c r="AS124" s="2"/>
      <c r="AT124" s="2"/>
      <c r="AU124" s="2"/>
      <c r="AV124" s="2"/>
    </row>
  </sheetData>
  <sheetProtection formatCells="0" formatColumns="0" formatRows="0" deleteColumns="0" deleteRows="0" autoFilter="0" pivotTables="0"/>
  <printOptions horizontalCentered="1"/>
  <pageMargins left="0.393055555555556" right="0.393055555555556" top="0.590277777777778" bottom="0.629166666666667" header="0.511805555555556" footer="0.511805555555556"/>
  <pageSetup paperSize="9" scale="12" orientation="portrait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利润表</vt:lpstr>
      <vt:lpstr>销售收入</vt:lpstr>
      <vt:lpstr>产品成本</vt:lpstr>
      <vt:lpstr>生产经营</vt:lpstr>
      <vt:lpstr>费用</vt:lpstr>
      <vt:lpstr>半成品</vt:lpstr>
      <vt:lpstr>价格依据</vt:lpstr>
      <vt:lpstr>上月(实)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jiangzhg</dc:creator>
  <cp:lastModifiedBy>李布衣</cp:lastModifiedBy>
  <dcterms:created xsi:type="dcterms:W3CDTF">2013-03-27T01:16:00Z</dcterms:created>
  <cp:lastPrinted>2016-05-11T01:55:00Z</cp:lastPrinted>
  <dcterms:modified xsi:type="dcterms:W3CDTF">2022-02-04T04:18:47Z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